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3.xml" ContentType="application/vnd.ms-excel.controlproperties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4.xml" ContentType="application/vnd.ms-excel.controlproperties+xml"/>
  <Override PartName="/xl/comments4.xml" ContentType="application/vnd.openxmlformats-officedocument.spreadsheetml.comments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trlProps/ctrlProp5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6.xml" ContentType="application/vnd.ms-excel.controlproperties+xml"/>
  <Override PartName="/xl/comments6.xml" ContentType="application/vnd.openxmlformats-officedocument.spreadsheetml.comment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trlProps/ctrlProp7.xml" ContentType="application/vnd.ms-excel.controlproperties+xml"/>
  <Override PartName="/xl/comments7.xml" ContentType="application/vnd.openxmlformats-officedocument.spreadsheetml.comments+xml"/>
  <Override PartName="/xl/drawings/drawing12.xml" ContentType="application/vnd.openxmlformats-officedocument.drawing+xml"/>
  <Override PartName="/xl/ctrlProps/ctrlProp8.xml" ContentType="application/vnd.ms-excel.controlpropertie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Desktop\MATERIJALI ZA DIREKTORAT\MATERIJALI\Zakon o zavrsnom racunu budzeta\2015\"/>
    </mc:Choice>
  </mc:AlternateContent>
  <bookViews>
    <workbookView xWindow="0" yWindow="0" windowWidth="15570" windowHeight="7905" tabRatio="886" firstSheet="3" activeTab="3"/>
  </bookViews>
  <sheets>
    <sheet name="Cental Budget (2)" sheetId="41" state="hidden" r:id="rId1"/>
    <sheet name="Public Expenditure (2)" sheetId="48" state="hidden" r:id="rId2"/>
    <sheet name="Cental Budget (3)" sheetId="47" state="hidden" r:id="rId3"/>
    <sheet name="Cental Budget" sheetId="10" r:id="rId4"/>
    <sheet name="Local Government" sheetId="32" r:id="rId5"/>
    <sheet name="Public Expenditure" sheetId="33" r:id="rId6"/>
    <sheet name="PRIMICI" sheetId="29" state="hidden" r:id="rId7"/>
    <sheet name="DEFICIT Tabela" sheetId="30" state="hidden" r:id="rId8"/>
    <sheet name="MasterSheet" sheetId="13" state="hidden" r:id="rId9"/>
    <sheet name="Sheet1" sheetId="31" state="hidden" r:id="rId10"/>
    <sheet name="Sheet2" sheetId="36" state="hidden" r:id="rId11"/>
    <sheet name="Sheet3" sheetId="37" state="hidden" r:id="rId12"/>
    <sheet name="Cental Budget - kons II" sheetId="39" state="hidden" r:id="rId13"/>
    <sheet name="Public Expenditure - kons II" sheetId="40" state="hidden" r:id="rId14"/>
    <sheet name="Sheet4" sheetId="46" state="hidden" r:id="rId15"/>
  </sheets>
  <externalReferences>
    <externalReference r:id="rId16"/>
    <externalReference r:id="rId17"/>
    <externalReference r:id="rId18"/>
  </externalReferences>
  <definedNames>
    <definedName name="_Order1" hidden="1">0</definedName>
    <definedName name="_Order2" hidden="1">0</definedName>
    <definedName name="_Regression_Out" localSheetId="12" hidden="1">#REF!</definedName>
    <definedName name="_Regression_Out" localSheetId="0" hidden="1">#REF!</definedName>
    <definedName name="_Regression_Out" localSheetId="2" hidden="1">#REF!</definedName>
    <definedName name="_Regression_Out" localSheetId="7" hidden="1">#REF!</definedName>
    <definedName name="_Regression_Out" localSheetId="4" hidden="1">#REF!</definedName>
    <definedName name="_Regression_Out" localSheetId="6" hidden="1">#REF!</definedName>
    <definedName name="_Regression_Out" localSheetId="5" hidden="1">#REF!</definedName>
    <definedName name="_Regression_Out" localSheetId="13" hidden="1">#REF!</definedName>
    <definedName name="_Regression_Out" localSheetId="1" hidden="1">#REF!</definedName>
    <definedName name="_Regression_Out" hidden="1">#REF!</definedName>
    <definedName name="_Regression_X" localSheetId="12" hidden="1">#REF!</definedName>
    <definedName name="_Regression_X" localSheetId="0" hidden="1">#REF!</definedName>
    <definedName name="_Regression_X" localSheetId="2" hidden="1">#REF!</definedName>
    <definedName name="_Regression_X" localSheetId="7" hidden="1">#REF!</definedName>
    <definedName name="_Regression_X" localSheetId="4" hidden="1">#REF!</definedName>
    <definedName name="_Regression_X" localSheetId="6" hidden="1">#REF!</definedName>
    <definedName name="_Regression_X" localSheetId="5" hidden="1">#REF!</definedName>
    <definedName name="_Regression_X" localSheetId="13" hidden="1">#REF!</definedName>
    <definedName name="_Regression_X" localSheetId="1" hidden="1">#REF!</definedName>
    <definedName name="_Regression_X" hidden="1">#REF!</definedName>
    <definedName name="_Regression_Y" localSheetId="12" hidden="1">#REF!</definedName>
    <definedName name="_Regression_Y" localSheetId="0" hidden="1">#REF!</definedName>
    <definedName name="_Regression_Y" localSheetId="2" hidden="1">#REF!</definedName>
    <definedName name="_Regression_Y" localSheetId="4" hidden="1">#REF!</definedName>
    <definedName name="_Regression_Y" localSheetId="5" hidden="1">#REF!</definedName>
    <definedName name="_Regression_Y" localSheetId="13" hidden="1">#REF!</definedName>
    <definedName name="_Regression_Y" localSheetId="1" hidden="1">#REF!</definedName>
    <definedName name="_Regression_Y" hidden="1">#REF!</definedName>
    <definedName name="a" localSheetId="12" hidden="1">#REF!</definedName>
    <definedName name="a" localSheetId="0" hidden="1">#REF!</definedName>
    <definedName name="a" localSheetId="2" hidden="1">#REF!</definedName>
    <definedName name="a" localSheetId="13" hidden="1">#REF!</definedName>
    <definedName name="a" localSheetId="1" hidden="1">#REF!</definedName>
    <definedName name="a" hidden="1">#REF!</definedName>
    <definedName name="OLE_LINK1" localSheetId="14">Sheet4!$C$21</definedName>
    <definedName name="Z_05AB59A7_9F04_4F70_A17E_8EF60EF35C7C_.wvu.PrintArea" localSheetId="3" hidden="1">'Cental Budget'!$B$13:$C$93</definedName>
    <definedName name="Z_05AB59A7_9F04_4F70_A17E_8EF60EF35C7C_.wvu.PrintArea" localSheetId="12" hidden="1">'Cental Budget - kons II'!$B$13:$C$87</definedName>
    <definedName name="Z_05AB59A7_9F04_4F70_A17E_8EF60EF35C7C_.wvu.PrintArea" localSheetId="0" hidden="1">'Cental Budget (2)'!$B$13:$O$87</definedName>
    <definedName name="Z_05AB59A7_9F04_4F70_A17E_8EF60EF35C7C_.wvu.PrintArea" localSheetId="2" hidden="1">'Cental Budget (3)'!$B$13:$C$93</definedName>
    <definedName name="Z_05AB59A7_9F04_4F70_A17E_8EF60EF35C7C_.wvu.PrintArea" localSheetId="4" hidden="1">'Local Government'!$B$13:$C$79</definedName>
    <definedName name="Z_05AB59A7_9F04_4F70_A17E_8EF60EF35C7C_.wvu.PrintArea" localSheetId="5" hidden="1">'Public Expenditure'!$B$13:$C$78</definedName>
    <definedName name="Z_05AB59A7_9F04_4F70_A17E_8EF60EF35C7C_.wvu.PrintArea" localSheetId="13" hidden="1">'Public Expenditure - kons II'!$B$13:$C$74</definedName>
    <definedName name="Z_05AB59A7_9F04_4F70_A17E_8EF60EF35C7C_.wvu.PrintArea" localSheetId="1" hidden="1">'Public Expenditure (2)'!$B$13:$C$79</definedName>
    <definedName name="Z_636A372C_EE02_4B23_8381_E3299ADF8816_.wvu.Cols" localSheetId="3" hidden="1">'Cental Budget'!#REF!</definedName>
    <definedName name="Z_636A372C_EE02_4B23_8381_E3299ADF8816_.wvu.Cols" localSheetId="12" hidden="1">'Cental Budget - kons II'!#REF!</definedName>
    <definedName name="Z_636A372C_EE02_4B23_8381_E3299ADF8816_.wvu.Cols" localSheetId="0" hidden="1">'Cental Budget (2)'!#REF!</definedName>
    <definedName name="Z_636A372C_EE02_4B23_8381_E3299ADF8816_.wvu.Cols" localSheetId="2" hidden="1">'Cental Budget (3)'!#REF!</definedName>
    <definedName name="Z_636A372C_EE02_4B23_8381_E3299ADF8816_.wvu.Cols" localSheetId="4" hidden="1">'Local Government'!#REF!</definedName>
    <definedName name="Z_636A372C_EE02_4B23_8381_E3299ADF8816_.wvu.Cols" localSheetId="5" hidden="1">'Public Expenditure'!#REF!</definedName>
    <definedName name="Z_636A372C_EE02_4B23_8381_E3299ADF8816_.wvu.Cols" localSheetId="13" hidden="1">'Public Expenditure - kons II'!#REF!</definedName>
    <definedName name="Z_636A372C_EE02_4B23_8381_E3299ADF8816_.wvu.Cols" localSheetId="1" hidden="1">'Public Expenditure (2)'!#REF!</definedName>
    <definedName name="Z_7AC1CC92_093E_4DA9_98F8_470D5521A68C_.wvu.Rows" localSheetId="3" hidden="1">'Cental Budget'!#REF!,'Cental Budget'!#REF!,'Cental Budget'!#REF!,'Cental Budget'!#REF!</definedName>
    <definedName name="Z_7AC1CC92_093E_4DA9_98F8_470D5521A68C_.wvu.Rows" localSheetId="12" hidden="1">'Cental Budget - kons II'!#REF!,'Cental Budget - kons II'!#REF!,'Cental Budget - kons II'!#REF!,'Cental Budget - kons II'!#REF!</definedName>
    <definedName name="Z_7AC1CC92_093E_4DA9_98F8_470D5521A68C_.wvu.Rows" localSheetId="0" hidden="1">'Cental Budget (2)'!#REF!,'Cental Budget (2)'!#REF!,'Cental Budget (2)'!#REF!,'Cental Budget (2)'!#REF!</definedName>
    <definedName name="Z_7AC1CC92_093E_4DA9_98F8_470D5521A68C_.wvu.Rows" localSheetId="2" hidden="1">'Cental Budget (3)'!#REF!,'Cental Budget (3)'!#REF!,'Cental Budget (3)'!#REF!,'Cental Budget (3)'!#REF!</definedName>
    <definedName name="Z_7AC1CC92_093E_4DA9_98F8_470D5521A68C_.wvu.Rows" localSheetId="4" hidden="1">'Local Government'!#REF!,'Local Government'!#REF!,'Local Government'!#REF!,'Local Government'!#REF!</definedName>
    <definedName name="Z_7AC1CC92_093E_4DA9_98F8_470D5521A68C_.wvu.Rows" localSheetId="5" hidden="1">'Public Expenditure'!#REF!,'Public Expenditure'!#REF!,'Public Expenditure'!#REF!,'Public Expenditure'!#REF!</definedName>
    <definedName name="Z_7AC1CC92_093E_4DA9_98F8_470D5521A68C_.wvu.Rows" localSheetId="13" hidden="1">'Public Expenditure - kons II'!#REF!,'Public Expenditure - kons II'!#REF!,'Public Expenditure - kons II'!#REF!,'Public Expenditure - kons II'!#REF!</definedName>
    <definedName name="Z_7AC1CC92_093E_4DA9_98F8_470D5521A68C_.wvu.Rows" localSheetId="1" hidden="1">'Public Expenditure (2)'!#REF!,'Public Expenditure (2)'!#REF!,'Public Expenditure (2)'!#REF!,'Public Expenditure (2)'!#REF!</definedName>
    <definedName name="Z_A32CDCC2_9D7B_41FA_91EC_562A88521235_.wvu.Cols" localSheetId="3" hidden="1">'Cental Budget'!#REF!,'Cental Budget'!#REF!</definedName>
    <definedName name="Z_A32CDCC2_9D7B_41FA_91EC_562A88521235_.wvu.Cols" localSheetId="12" hidden="1">'Cental Budget - kons II'!#REF!,'Cental Budget - kons II'!#REF!</definedName>
    <definedName name="Z_A32CDCC2_9D7B_41FA_91EC_562A88521235_.wvu.Cols" localSheetId="0" hidden="1">'Cental Budget (2)'!#REF!,'Cental Budget (2)'!#REF!</definedName>
    <definedName name="Z_A32CDCC2_9D7B_41FA_91EC_562A88521235_.wvu.Cols" localSheetId="2" hidden="1">'Cental Budget (3)'!#REF!,'Cental Budget (3)'!#REF!</definedName>
    <definedName name="Z_A32CDCC2_9D7B_41FA_91EC_562A88521235_.wvu.Cols" localSheetId="4" hidden="1">'Local Government'!#REF!,'Local Government'!#REF!</definedName>
    <definedName name="Z_A32CDCC2_9D7B_41FA_91EC_562A88521235_.wvu.Cols" localSheetId="5" hidden="1">'Public Expenditure'!#REF!,'Public Expenditure'!#REF!</definedName>
    <definedName name="Z_A32CDCC2_9D7B_41FA_91EC_562A88521235_.wvu.Cols" localSheetId="13" hidden="1">'Public Expenditure - kons II'!#REF!,'Public Expenditure - kons II'!#REF!</definedName>
    <definedName name="Z_A32CDCC2_9D7B_41FA_91EC_562A88521235_.wvu.Cols" localSheetId="1" hidden="1">'Public Expenditure (2)'!#REF!,'Public Expenditure (2)'!#REF!</definedName>
    <definedName name="Z_F37FAB72_D883_4CEB_A5EC_0FA851AD2DC3_.wvu.Cols" localSheetId="3" hidden="1">'Cental Budget'!#REF!</definedName>
    <definedName name="Z_F37FAB72_D883_4CEB_A5EC_0FA851AD2DC3_.wvu.Cols" localSheetId="12" hidden="1">'Cental Budget - kons II'!#REF!</definedName>
    <definedName name="Z_F37FAB72_D883_4CEB_A5EC_0FA851AD2DC3_.wvu.Cols" localSheetId="0" hidden="1">'Cental Budget (2)'!#REF!</definedName>
    <definedName name="Z_F37FAB72_D883_4CEB_A5EC_0FA851AD2DC3_.wvu.Cols" localSheetId="2" hidden="1">'Cental Budget (3)'!#REF!</definedName>
    <definedName name="Z_F37FAB72_D883_4CEB_A5EC_0FA851AD2DC3_.wvu.Cols" localSheetId="4" hidden="1">'Local Government'!#REF!</definedName>
    <definedName name="Z_F37FAB72_D883_4CEB_A5EC_0FA851AD2DC3_.wvu.Cols" localSheetId="5" hidden="1">'Public Expenditure'!#REF!</definedName>
    <definedName name="Z_F37FAB72_D883_4CEB_A5EC_0FA851AD2DC3_.wvu.Cols" localSheetId="13" hidden="1">'Public Expenditure - kons II'!#REF!</definedName>
    <definedName name="Z_F37FAB72_D883_4CEB_A5EC_0FA851AD2DC3_.wvu.Cols" localSheetId="1" hidden="1">'Public Expenditure (2)'!#REF!</definedName>
  </definedNames>
  <calcPr calcId="152511" iterate="1" iterateCount="94" iterateDelta="0.1"/>
  <customWorkbookViews>
    <customWorkbookView name="RATKO - Personal View" guid="{A4D59F75-8091-4878-A19C-E6F7EFCC98D0}" mergeInterval="0" personalView="1" maximized="1" windowWidth="1276" windowHeight="850" activeSheetId="5"/>
    <customWorkbookView name="pc - Personal View" guid="{5F444141-AB98-4370-9413-F1F0A45DC16B}" mergeInterval="0" personalView="1" maximized="1" windowWidth="1276" windowHeight="874" activeSheetId="5"/>
    <customWorkbookView name="iva.vukovic - Personal View" guid="{E484E83A-8AE1-4ACE-A5D4-7D98A52A9B4B}" mergeInterval="0" personalView="1" maximized="1" windowWidth="1276" windowHeight="856" tabRatio="796" activeSheetId="3"/>
  </customWorkbookViews>
  <fileRecoveryPr autoRecover="0"/>
</workbook>
</file>

<file path=xl/calcChain.xml><?xml version="1.0" encoding="utf-8"?>
<calcChain xmlns="http://schemas.openxmlformats.org/spreadsheetml/2006/main">
  <c r="H64" i="32" l="1"/>
  <c r="D74" i="32" l="1"/>
  <c r="F88" i="10"/>
  <c r="D88" i="10"/>
  <c r="F76" i="33"/>
  <c r="H76" i="33" l="1"/>
  <c r="U76" i="33"/>
  <c r="W70" i="33"/>
  <c r="Y70" i="33"/>
  <c r="I63" i="33"/>
  <c r="U63" i="33"/>
  <c r="U66" i="33"/>
  <c r="W66" i="33"/>
  <c r="Y66" i="33"/>
  <c r="F11" i="32" l="1"/>
  <c r="G64" i="32" s="1"/>
  <c r="D21" i="32" l="1"/>
  <c r="D70" i="10" l="1"/>
  <c r="D61" i="10"/>
  <c r="D67" i="10"/>
  <c r="D82" i="10"/>
  <c r="D99" i="10" s="1"/>
  <c r="D42" i="10" l="1"/>
  <c r="D35" i="10"/>
  <c r="D30" i="10"/>
  <c r="F42" i="10"/>
  <c r="F35" i="10"/>
  <c r="F30" i="10"/>
  <c r="D17" i="10" l="1"/>
  <c r="D25" i="10"/>
  <c r="E25" i="10" s="1"/>
  <c r="D11" i="32"/>
  <c r="F11" i="33"/>
  <c r="H11" i="33"/>
  <c r="I76" i="33" s="1"/>
  <c r="H11" i="48"/>
  <c r="F39" i="33"/>
  <c r="F40" i="33"/>
  <c r="G40" i="33" s="1"/>
  <c r="F41" i="33"/>
  <c r="F42" i="33"/>
  <c r="F43" i="33"/>
  <c r="F44" i="33"/>
  <c r="G44" i="33" s="1"/>
  <c r="F45" i="33"/>
  <c r="F46" i="33"/>
  <c r="F47" i="33"/>
  <c r="F61" i="10"/>
  <c r="K61" i="10" s="1"/>
  <c r="F54" i="32"/>
  <c r="F55" i="33"/>
  <c r="F56" i="33"/>
  <c r="F70" i="10"/>
  <c r="F58" i="33"/>
  <c r="F59" i="33"/>
  <c r="F60" i="33"/>
  <c r="F61" i="33"/>
  <c r="G61" i="33" s="1"/>
  <c r="F51" i="10"/>
  <c r="F67" i="10"/>
  <c r="F27" i="48"/>
  <c r="F28" i="48"/>
  <c r="F29" i="48"/>
  <c r="F30" i="48"/>
  <c r="F52" i="47"/>
  <c r="K52" i="47" s="1"/>
  <c r="D39" i="33"/>
  <c r="D40" i="33"/>
  <c r="D41" i="33"/>
  <c r="D42" i="33"/>
  <c r="D43" i="33"/>
  <c r="D44" i="33"/>
  <c r="D45" i="33"/>
  <c r="D46" i="33"/>
  <c r="D47" i="33"/>
  <c r="D54" i="32"/>
  <c r="D49" i="40" s="1"/>
  <c r="E49" i="40" s="1"/>
  <c r="D55" i="33"/>
  <c r="D56" i="33"/>
  <c r="D57" i="33"/>
  <c r="D58" i="33"/>
  <c r="D59" i="33"/>
  <c r="D60" i="33"/>
  <c r="D61" i="33"/>
  <c r="D49" i="33"/>
  <c r="F49" i="33"/>
  <c r="D50" i="33"/>
  <c r="F50" i="33"/>
  <c r="G50" i="33" s="1"/>
  <c r="D51" i="33"/>
  <c r="F51" i="33"/>
  <c r="D52" i="33"/>
  <c r="F52" i="33"/>
  <c r="G52" i="33" s="1"/>
  <c r="D53" i="33"/>
  <c r="F53" i="33"/>
  <c r="F18" i="33"/>
  <c r="F19" i="33"/>
  <c r="G19" i="33" s="1"/>
  <c r="F20" i="33"/>
  <c r="F21" i="33"/>
  <c r="F22" i="33"/>
  <c r="F23" i="33"/>
  <c r="G23" i="33" s="1"/>
  <c r="F24" i="33"/>
  <c r="F25" i="33"/>
  <c r="F27" i="33"/>
  <c r="F28" i="33"/>
  <c r="G28" i="33" s="1"/>
  <c r="F29" i="33"/>
  <c r="F30" i="33"/>
  <c r="F21" i="32"/>
  <c r="K35" i="10"/>
  <c r="F27" i="32"/>
  <c r="F32" i="33" s="1"/>
  <c r="F35" i="32"/>
  <c r="F34" i="33"/>
  <c r="F35" i="33"/>
  <c r="G35" i="33" s="1"/>
  <c r="D18" i="33"/>
  <c r="D19" i="33"/>
  <c r="D20" i="33"/>
  <c r="D21" i="33"/>
  <c r="D22" i="33"/>
  <c r="D23" i="33"/>
  <c r="D24" i="33"/>
  <c r="D25" i="33"/>
  <c r="D27" i="33"/>
  <c r="D28" i="33"/>
  <c r="D29" i="33"/>
  <c r="D30" i="33"/>
  <c r="D31" i="40"/>
  <c r="E31" i="40" s="1"/>
  <c r="D27" i="32"/>
  <c r="D32" i="33" s="1"/>
  <c r="D35" i="32"/>
  <c r="D33" i="33" s="1"/>
  <c r="D34" i="33"/>
  <c r="D35" i="33"/>
  <c r="F93" i="47"/>
  <c r="F79" i="48"/>
  <c r="M79" i="48" s="1"/>
  <c r="D16" i="47"/>
  <c r="D51" i="47"/>
  <c r="D61" i="47"/>
  <c r="D67" i="47"/>
  <c r="D70" i="47"/>
  <c r="D82" i="47"/>
  <c r="D99" i="47" s="1"/>
  <c r="D103" i="47" s="1"/>
  <c r="D17" i="32"/>
  <c r="D44" i="32"/>
  <c r="D56" i="32"/>
  <c r="D68" i="32"/>
  <c r="F78" i="48"/>
  <c r="D78" i="48"/>
  <c r="E78" i="48" s="1"/>
  <c r="F78" i="32"/>
  <c r="F76" i="48"/>
  <c r="D76" i="48"/>
  <c r="E76" i="48" s="1"/>
  <c r="F75" i="48"/>
  <c r="K75" i="48" s="1"/>
  <c r="D75" i="48"/>
  <c r="F74" i="48"/>
  <c r="D74" i="48"/>
  <c r="D70" i="48"/>
  <c r="F69" i="48"/>
  <c r="M69" i="48" s="1"/>
  <c r="D69" i="48"/>
  <c r="F68" i="48"/>
  <c r="D68" i="48"/>
  <c r="F63" i="48"/>
  <c r="F61" i="48"/>
  <c r="D61" i="48"/>
  <c r="E61" i="48" s="1"/>
  <c r="F60" i="48"/>
  <c r="D60" i="48"/>
  <c r="F59" i="48"/>
  <c r="D59" i="48"/>
  <c r="F58" i="48"/>
  <c r="D58" i="48"/>
  <c r="F71" i="47"/>
  <c r="F72" i="47"/>
  <c r="H72" i="47" s="1"/>
  <c r="I72" i="47" s="1"/>
  <c r="F70" i="47"/>
  <c r="F56" i="48"/>
  <c r="D56" i="48"/>
  <c r="F55" i="48"/>
  <c r="D55" i="48"/>
  <c r="F53" i="48"/>
  <c r="J53" i="48" s="1"/>
  <c r="D53" i="48"/>
  <c r="F52" i="48"/>
  <c r="J52" i="48" s="1"/>
  <c r="D52" i="48"/>
  <c r="F51" i="48"/>
  <c r="J51" i="48" s="1"/>
  <c r="D51" i="48"/>
  <c r="F50" i="48"/>
  <c r="D50" i="48"/>
  <c r="F49" i="48"/>
  <c r="D49" i="48"/>
  <c r="F61" i="47"/>
  <c r="F47" i="48"/>
  <c r="J47" i="48" s="1"/>
  <c r="D47" i="48"/>
  <c r="F46" i="48"/>
  <c r="D46" i="48"/>
  <c r="F45" i="48"/>
  <c r="D45" i="48"/>
  <c r="F44" i="48"/>
  <c r="J44" i="48" s="1"/>
  <c r="D44" i="48"/>
  <c r="F43" i="48"/>
  <c r="J43" i="48" s="1"/>
  <c r="D43" i="48"/>
  <c r="F42" i="48"/>
  <c r="J42" i="48" s="1"/>
  <c r="D42" i="48"/>
  <c r="F41" i="48"/>
  <c r="J41" i="48" s="1"/>
  <c r="D41" i="48"/>
  <c r="F40" i="48"/>
  <c r="J40" i="48" s="1"/>
  <c r="D40" i="48"/>
  <c r="D39" i="48"/>
  <c r="F35" i="48"/>
  <c r="D35" i="48"/>
  <c r="F34" i="48"/>
  <c r="D34" i="48"/>
  <c r="F42" i="47"/>
  <c r="F35" i="47"/>
  <c r="F30" i="47"/>
  <c r="D30" i="48"/>
  <c r="D29" i="48"/>
  <c r="D28" i="48"/>
  <c r="D27" i="48"/>
  <c r="F25" i="48"/>
  <c r="D25" i="48"/>
  <c r="F24" i="48"/>
  <c r="D24" i="48"/>
  <c r="F23" i="48"/>
  <c r="D23" i="48"/>
  <c r="F22" i="48"/>
  <c r="D22" i="48"/>
  <c r="F21" i="48"/>
  <c r="D21" i="48"/>
  <c r="F20" i="48"/>
  <c r="D20" i="48"/>
  <c r="F19" i="48"/>
  <c r="D19" i="48"/>
  <c r="F18" i="48"/>
  <c r="D18" i="48"/>
  <c r="F11" i="48"/>
  <c r="D11" i="48"/>
  <c r="F25" i="47"/>
  <c r="C80" i="48"/>
  <c r="M56" i="48"/>
  <c r="C37" i="48"/>
  <c r="C36" i="48"/>
  <c r="C34" i="48"/>
  <c r="C33" i="48"/>
  <c r="C32" i="48"/>
  <c r="C31" i="48"/>
  <c r="C30" i="48"/>
  <c r="C29" i="48"/>
  <c r="C28" i="48"/>
  <c r="C27" i="48"/>
  <c r="C26" i="48"/>
  <c r="C25" i="48"/>
  <c r="C23" i="48"/>
  <c r="C22" i="48"/>
  <c r="C21" i="48"/>
  <c r="C20" i="48"/>
  <c r="C19" i="48"/>
  <c r="C18" i="48"/>
  <c r="C17" i="48"/>
  <c r="C16" i="48"/>
  <c r="C15" i="48"/>
  <c r="C11" i="48"/>
  <c r="F9" i="48"/>
  <c r="F8" i="48"/>
  <c r="L105" i="47"/>
  <c r="L104" i="47"/>
  <c r="L103" i="47"/>
  <c r="L106" i="47"/>
  <c r="F101" i="47"/>
  <c r="D101" i="47"/>
  <c r="K98" i="47"/>
  <c r="C94" i="47"/>
  <c r="G93" i="47"/>
  <c r="H92" i="47"/>
  <c r="I92" i="47" s="1"/>
  <c r="G92" i="47"/>
  <c r="E92" i="47"/>
  <c r="H91" i="47"/>
  <c r="I91" i="47" s="1"/>
  <c r="G91" i="47"/>
  <c r="E91" i="47"/>
  <c r="H90" i="47"/>
  <c r="I90" i="47" s="1"/>
  <c r="G90" i="47"/>
  <c r="E90" i="47"/>
  <c r="H89" i="47"/>
  <c r="I89" i="47" s="1"/>
  <c r="G89" i="47"/>
  <c r="E89" i="47"/>
  <c r="F88" i="47"/>
  <c r="G88" i="47" s="1"/>
  <c r="E85" i="47"/>
  <c r="H84" i="47"/>
  <c r="I84" i="47" s="1"/>
  <c r="G84" i="47"/>
  <c r="E84" i="47"/>
  <c r="H83" i="47"/>
  <c r="I83" i="47" s="1"/>
  <c r="G83" i="47"/>
  <c r="E83" i="47"/>
  <c r="F82" i="47"/>
  <c r="E82" i="47"/>
  <c r="D108" i="47"/>
  <c r="D110" i="47"/>
  <c r="H78" i="47"/>
  <c r="I78" i="47" s="1"/>
  <c r="G78" i="47"/>
  <c r="E78" i="47"/>
  <c r="H76" i="47"/>
  <c r="I76" i="47" s="1"/>
  <c r="G76" i="47"/>
  <c r="E76" i="47"/>
  <c r="H75" i="47"/>
  <c r="I75" i="47" s="1"/>
  <c r="G75" i="47"/>
  <c r="E75" i="47"/>
  <c r="H74" i="47"/>
  <c r="I74" i="47" s="1"/>
  <c r="G74" i="47"/>
  <c r="E74" i="47"/>
  <c r="H73" i="47"/>
  <c r="I73" i="47" s="1"/>
  <c r="G73" i="47"/>
  <c r="E73" i="47"/>
  <c r="E72" i="47"/>
  <c r="H71" i="47"/>
  <c r="I71" i="47" s="1"/>
  <c r="G71" i="47"/>
  <c r="E71" i="47"/>
  <c r="H69" i="47"/>
  <c r="I69" i="47" s="1"/>
  <c r="G69" i="47"/>
  <c r="E69" i="47"/>
  <c r="H68" i="47"/>
  <c r="I68" i="47" s="1"/>
  <c r="G68" i="47"/>
  <c r="E68" i="47"/>
  <c r="F67" i="47"/>
  <c r="H66" i="47"/>
  <c r="I66" i="47"/>
  <c r="G66" i="47"/>
  <c r="E66" i="47"/>
  <c r="H65" i="47"/>
  <c r="I65" i="47"/>
  <c r="G65" i="47"/>
  <c r="E65" i="47"/>
  <c r="H64" i="47"/>
  <c r="I64" i="47"/>
  <c r="G64" i="47"/>
  <c r="E64" i="47"/>
  <c r="K63" i="47"/>
  <c r="H63" i="47"/>
  <c r="I63" i="47"/>
  <c r="G63" i="47"/>
  <c r="E63" i="47"/>
  <c r="K62" i="47"/>
  <c r="J62" i="47"/>
  <c r="H62" i="47"/>
  <c r="I62" i="47" s="1"/>
  <c r="G62" i="47"/>
  <c r="E62" i="47"/>
  <c r="H61" i="47"/>
  <c r="I61" i="47" s="1"/>
  <c r="E61" i="47"/>
  <c r="K60" i="47"/>
  <c r="H60" i="47"/>
  <c r="I60" i="47" s="1"/>
  <c r="G60" i="47"/>
  <c r="E60" i="47"/>
  <c r="K59" i="47"/>
  <c r="H59" i="47"/>
  <c r="I59" i="47"/>
  <c r="G59" i="47"/>
  <c r="E59" i="47"/>
  <c r="K58" i="47"/>
  <c r="H58" i="47"/>
  <c r="I58" i="47"/>
  <c r="G58" i="47"/>
  <c r="E58" i="47"/>
  <c r="K57" i="47"/>
  <c r="H57" i="47"/>
  <c r="I57" i="47" s="1"/>
  <c r="G57" i="47"/>
  <c r="E57" i="47"/>
  <c r="K56" i="47"/>
  <c r="H56" i="47"/>
  <c r="I56" i="47" s="1"/>
  <c r="G56" i="47"/>
  <c r="E56" i="47"/>
  <c r="K55" i="47"/>
  <c r="H55" i="47"/>
  <c r="I55" i="47"/>
  <c r="G55" i="47"/>
  <c r="E55" i="47"/>
  <c r="K54" i="47"/>
  <c r="H54" i="47"/>
  <c r="I54" i="47" s="1"/>
  <c r="G54" i="47"/>
  <c r="E54" i="47"/>
  <c r="K53" i="47"/>
  <c r="H53" i="47"/>
  <c r="I53" i="47" s="1"/>
  <c r="G53" i="47"/>
  <c r="E53" i="47"/>
  <c r="E52" i="47"/>
  <c r="E51" i="47"/>
  <c r="C50" i="47"/>
  <c r="C49" i="47"/>
  <c r="K48" i="47"/>
  <c r="H48" i="47"/>
  <c r="I48" i="47"/>
  <c r="G48" i="47"/>
  <c r="E48" i="47"/>
  <c r="K47" i="47"/>
  <c r="H47" i="47"/>
  <c r="I47" i="47"/>
  <c r="G47" i="47"/>
  <c r="E47" i="47"/>
  <c r="C47" i="47"/>
  <c r="K46" i="47"/>
  <c r="H46" i="47"/>
  <c r="I46" i="47" s="1"/>
  <c r="G46" i="47"/>
  <c r="E46" i="47"/>
  <c r="C46" i="47"/>
  <c r="K45" i="47"/>
  <c r="H45" i="47"/>
  <c r="I45" i="47"/>
  <c r="G45" i="47"/>
  <c r="E45" i="47"/>
  <c r="C45" i="47"/>
  <c r="K44" i="47"/>
  <c r="H44" i="47"/>
  <c r="I44" i="47" s="1"/>
  <c r="G44" i="47"/>
  <c r="E44" i="47"/>
  <c r="C44" i="47"/>
  <c r="K43" i="47"/>
  <c r="H43" i="47"/>
  <c r="I43" i="47"/>
  <c r="G43" i="47"/>
  <c r="E43" i="47"/>
  <c r="C43" i="47"/>
  <c r="H42" i="47"/>
  <c r="I42" i="47"/>
  <c r="E42" i="47"/>
  <c r="C42" i="47"/>
  <c r="K41" i="47"/>
  <c r="H41" i="47"/>
  <c r="I41" i="47"/>
  <c r="G41" i="47"/>
  <c r="E41" i="47"/>
  <c r="C41" i="47"/>
  <c r="K40" i="47"/>
  <c r="H40" i="47"/>
  <c r="I40" i="47" s="1"/>
  <c r="G40" i="47"/>
  <c r="E40" i="47"/>
  <c r="C40" i="47"/>
  <c r="K39" i="47"/>
  <c r="H39" i="47"/>
  <c r="I39" i="47"/>
  <c r="G39" i="47"/>
  <c r="E39" i="47"/>
  <c r="C39" i="47"/>
  <c r="K38" i="47"/>
  <c r="H38" i="47"/>
  <c r="I38" i="47" s="1"/>
  <c r="G38" i="47"/>
  <c r="E38" i="47"/>
  <c r="C38" i="47"/>
  <c r="K37" i="47"/>
  <c r="H37" i="47"/>
  <c r="I37" i="47"/>
  <c r="G37" i="47"/>
  <c r="E37" i="47"/>
  <c r="C37" i="47"/>
  <c r="K36" i="47"/>
  <c r="H36" i="47"/>
  <c r="I36" i="47" s="1"/>
  <c r="G36" i="47"/>
  <c r="E36" i="47"/>
  <c r="C36" i="47"/>
  <c r="H35" i="47"/>
  <c r="I35" i="47"/>
  <c r="G35" i="47"/>
  <c r="K35" i="47"/>
  <c r="E35" i="47"/>
  <c r="C35" i="47"/>
  <c r="K34" i="47"/>
  <c r="H34" i="47"/>
  <c r="I34" i="47" s="1"/>
  <c r="G34" i="47"/>
  <c r="E34" i="47"/>
  <c r="C34" i="47"/>
  <c r="K33" i="47"/>
  <c r="H33" i="47"/>
  <c r="I33" i="47"/>
  <c r="G33" i="47"/>
  <c r="E33" i="47"/>
  <c r="C33" i="47"/>
  <c r="K32" i="47"/>
  <c r="H32" i="47"/>
  <c r="I32" i="47" s="1"/>
  <c r="G32" i="47"/>
  <c r="E32" i="47"/>
  <c r="C32" i="47"/>
  <c r="K31" i="47"/>
  <c r="H31" i="47"/>
  <c r="I31" i="47"/>
  <c r="G31" i="47"/>
  <c r="E31" i="47"/>
  <c r="C31" i="47"/>
  <c r="G30" i="47"/>
  <c r="K30" i="47"/>
  <c r="E30" i="47"/>
  <c r="C30" i="47"/>
  <c r="K29" i="47"/>
  <c r="H29" i="47"/>
  <c r="I29" i="47" s="1"/>
  <c r="G29" i="47"/>
  <c r="E29" i="47"/>
  <c r="C29" i="47"/>
  <c r="K28" i="47"/>
  <c r="H28" i="47"/>
  <c r="I28" i="47"/>
  <c r="G28" i="47"/>
  <c r="E28" i="47"/>
  <c r="C28" i="47"/>
  <c r="K27" i="47"/>
  <c r="H27" i="47"/>
  <c r="I27" i="47" s="1"/>
  <c r="G27" i="47"/>
  <c r="E27" i="47"/>
  <c r="C27" i="47"/>
  <c r="K26" i="47"/>
  <c r="H26" i="47"/>
  <c r="I26" i="47"/>
  <c r="G26" i="47"/>
  <c r="E26" i="47"/>
  <c r="C26" i="47"/>
  <c r="E25" i="47"/>
  <c r="C25" i="47"/>
  <c r="K24" i="47"/>
  <c r="H24" i="47"/>
  <c r="I24" i="47"/>
  <c r="G24" i="47"/>
  <c r="E24" i="47"/>
  <c r="C24" i="47"/>
  <c r="K23" i="47"/>
  <c r="H23" i="47"/>
  <c r="I23" i="47" s="1"/>
  <c r="G23" i="47"/>
  <c r="E23" i="47"/>
  <c r="C23" i="47"/>
  <c r="K22" i="47"/>
  <c r="H22" i="47"/>
  <c r="I22" i="47"/>
  <c r="G22" i="47"/>
  <c r="E22" i="47"/>
  <c r="C22" i="47"/>
  <c r="K21" i="47"/>
  <c r="H21" i="47"/>
  <c r="I21" i="47" s="1"/>
  <c r="G21" i="47"/>
  <c r="E21" i="47"/>
  <c r="C21" i="47"/>
  <c r="K20" i="47"/>
  <c r="H20" i="47"/>
  <c r="I20" i="47"/>
  <c r="G20" i="47"/>
  <c r="E20" i="47"/>
  <c r="C20" i="47"/>
  <c r="K19" i="47"/>
  <c r="H19" i="47"/>
  <c r="I19" i="47" s="1"/>
  <c r="G19" i="47"/>
  <c r="E19" i="47"/>
  <c r="C19" i="47"/>
  <c r="K18" i="47"/>
  <c r="H18" i="47"/>
  <c r="I18" i="47"/>
  <c r="G18" i="47"/>
  <c r="E18" i="47"/>
  <c r="C18" i="47"/>
  <c r="F17" i="47"/>
  <c r="H17" i="47" s="1"/>
  <c r="I17" i="47" s="1"/>
  <c r="G17" i="47"/>
  <c r="E17" i="47"/>
  <c r="C17" i="47"/>
  <c r="C16" i="47"/>
  <c r="C15" i="47"/>
  <c r="C14" i="47"/>
  <c r="C11" i="47"/>
  <c r="F9" i="47"/>
  <c r="F8" i="47"/>
  <c r="F77" i="33"/>
  <c r="F74" i="33"/>
  <c r="W74" i="33" s="1"/>
  <c r="F75" i="33"/>
  <c r="F73" i="33"/>
  <c r="W73" i="33" s="1"/>
  <c r="F17" i="10"/>
  <c r="F25" i="10"/>
  <c r="F16" i="10"/>
  <c r="G16" i="10" s="1"/>
  <c r="F82" i="10"/>
  <c r="D70" i="33"/>
  <c r="U70" i="33" s="1"/>
  <c r="F63" i="33"/>
  <c r="F17" i="32"/>
  <c r="F44" i="32"/>
  <c r="F56" i="32"/>
  <c r="C21" i="46"/>
  <c r="E92" i="10"/>
  <c r="E76" i="10"/>
  <c r="H78" i="10"/>
  <c r="G78" i="10"/>
  <c r="E78" i="10"/>
  <c r="E85" i="10"/>
  <c r="J18" i="32"/>
  <c r="J19" i="32"/>
  <c r="J20" i="32"/>
  <c r="J22" i="32"/>
  <c r="J23" i="32"/>
  <c r="J24" i="32"/>
  <c r="J25" i="32"/>
  <c r="J26" i="32"/>
  <c r="J28" i="32"/>
  <c r="J29" i="32"/>
  <c r="J30" i="32"/>
  <c r="J31" i="32"/>
  <c r="J32" i="32"/>
  <c r="J33" i="32"/>
  <c r="J34" i="32"/>
  <c r="J36" i="32"/>
  <c r="J37" i="32"/>
  <c r="J38" i="32"/>
  <c r="J39" i="32"/>
  <c r="J40" i="32"/>
  <c r="J41" i="32"/>
  <c r="L104" i="10"/>
  <c r="L105" i="10"/>
  <c r="L103" i="10"/>
  <c r="L106" i="10" s="1"/>
  <c r="K52" i="10"/>
  <c r="K53" i="10"/>
  <c r="K54" i="10"/>
  <c r="K55" i="10"/>
  <c r="K56" i="10"/>
  <c r="K57" i="10"/>
  <c r="K58" i="10"/>
  <c r="K59" i="10"/>
  <c r="K60" i="10"/>
  <c r="K62" i="10"/>
  <c r="K63" i="10"/>
  <c r="K18" i="10"/>
  <c r="K19" i="10"/>
  <c r="K20" i="10"/>
  <c r="K21" i="10"/>
  <c r="K22" i="10"/>
  <c r="K23" i="10"/>
  <c r="K24" i="10"/>
  <c r="K26" i="10"/>
  <c r="K27" i="10"/>
  <c r="K28" i="10"/>
  <c r="K29" i="10"/>
  <c r="K32" i="10"/>
  <c r="K33" i="10"/>
  <c r="K34" i="10"/>
  <c r="K36" i="10"/>
  <c r="K37" i="10"/>
  <c r="K38" i="10"/>
  <c r="K39" i="10"/>
  <c r="K40" i="10"/>
  <c r="K41" i="10"/>
  <c r="K43" i="10"/>
  <c r="K44" i="10"/>
  <c r="K45" i="10"/>
  <c r="K46" i="10"/>
  <c r="K47" i="10"/>
  <c r="K48" i="10"/>
  <c r="M56" i="33"/>
  <c r="K17" i="47"/>
  <c r="H30" i="47"/>
  <c r="I30" i="47"/>
  <c r="G61" i="47"/>
  <c r="E67" i="47"/>
  <c r="K61" i="47"/>
  <c r="H92" i="10"/>
  <c r="G92" i="10"/>
  <c r="D11" i="33"/>
  <c r="D101" i="10"/>
  <c r="D103" i="10" s="1"/>
  <c r="D108" i="10" s="1"/>
  <c r="D110" i="10" s="1"/>
  <c r="D77" i="33"/>
  <c r="U77" i="33" s="1"/>
  <c r="H71" i="10"/>
  <c r="I71" i="10" s="1"/>
  <c r="G72" i="10"/>
  <c r="G71" i="10"/>
  <c r="E72" i="10"/>
  <c r="E71" i="10"/>
  <c r="H72" i="10"/>
  <c r="I72" i="10" s="1"/>
  <c r="H79" i="32"/>
  <c r="H77" i="32"/>
  <c r="H76" i="32"/>
  <c r="H75" i="32"/>
  <c r="H70" i="32"/>
  <c r="H69" i="32"/>
  <c r="H62" i="32"/>
  <c r="H61" i="32"/>
  <c r="H60" i="32"/>
  <c r="H59" i="32"/>
  <c r="H58" i="32"/>
  <c r="H57" i="32"/>
  <c r="H55" i="32"/>
  <c r="H53" i="32"/>
  <c r="H52" i="32"/>
  <c r="H51" i="32"/>
  <c r="H50" i="32"/>
  <c r="H49" i="32"/>
  <c r="H48" i="32"/>
  <c r="H47" i="32"/>
  <c r="H46" i="32"/>
  <c r="H45" i="32"/>
  <c r="H41" i="32"/>
  <c r="H40" i="32"/>
  <c r="H39" i="32"/>
  <c r="H38" i="32"/>
  <c r="H37" i="32"/>
  <c r="H36" i="32"/>
  <c r="H34" i="32"/>
  <c r="H33" i="32"/>
  <c r="H32" i="32"/>
  <c r="H31" i="32"/>
  <c r="H30" i="32"/>
  <c r="H29" i="32"/>
  <c r="H28" i="32"/>
  <c r="H26" i="32"/>
  <c r="H25" i="32"/>
  <c r="H24" i="32"/>
  <c r="H23" i="32"/>
  <c r="H22" i="32"/>
  <c r="H20" i="32"/>
  <c r="H19" i="32"/>
  <c r="H18" i="32"/>
  <c r="H91" i="10"/>
  <c r="I91" i="10" s="1"/>
  <c r="H90" i="10"/>
  <c r="I90" i="10" s="1"/>
  <c r="H89" i="10"/>
  <c r="I89" i="10" s="1"/>
  <c r="H84" i="10"/>
  <c r="I84" i="10" s="1"/>
  <c r="H76" i="10"/>
  <c r="I76" i="10" s="1"/>
  <c r="H75" i="10"/>
  <c r="I75" i="10" s="1"/>
  <c r="H74" i="10"/>
  <c r="I74" i="10" s="1"/>
  <c r="H73" i="10"/>
  <c r="I73" i="10" s="1"/>
  <c r="H69" i="10"/>
  <c r="I69" i="10" s="1"/>
  <c r="H68" i="10"/>
  <c r="I68" i="10" s="1"/>
  <c r="H66" i="10"/>
  <c r="I66" i="10" s="1"/>
  <c r="H65" i="10"/>
  <c r="I65" i="10" s="1"/>
  <c r="H64" i="10"/>
  <c r="I64" i="10" s="1"/>
  <c r="H63" i="10"/>
  <c r="I63" i="10" s="1"/>
  <c r="H62" i="10"/>
  <c r="I62" i="10" s="1"/>
  <c r="H60" i="10"/>
  <c r="I60" i="10" s="1"/>
  <c r="H59" i="10"/>
  <c r="I59" i="10" s="1"/>
  <c r="H58" i="10"/>
  <c r="I58" i="10" s="1"/>
  <c r="H57" i="10"/>
  <c r="I57" i="10" s="1"/>
  <c r="H56" i="10"/>
  <c r="I56" i="10" s="1"/>
  <c r="H55" i="10"/>
  <c r="I55" i="10" s="1"/>
  <c r="H54" i="10"/>
  <c r="I54" i="10" s="1"/>
  <c r="H53" i="10"/>
  <c r="I53" i="10" s="1"/>
  <c r="H52" i="10"/>
  <c r="I52" i="10" s="1"/>
  <c r="H48" i="10"/>
  <c r="I48" i="10" s="1"/>
  <c r="H47" i="10"/>
  <c r="I47" i="10" s="1"/>
  <c r="H46" i="10"/>
  <c r="I46" i="10" s="1"/>
  <c r="H45" i="10"/>
  <c r="I45" i="10" s="1"/>
  <c r="H44" i="10"/>
  <c r="I44" i="10" s="1"/>
  <c r="H43" i="10"/>
  <c r="I43" i="10" s="1"/>
  <c r="H41" i="10"/>
  <c r="I41" i="10" s="1"/>
  <c r="H40" i="10"/>
  <c r="I40" i="10" s="1"/>
  <c r="H39" i="10"/>
  <c r="I39" i="10" s="1"/>
  <c r="H38" i="10"/>
  <c r="I38" i="10" s="1"/>
  <c r="H37" i="10"/>
  <c r="I37" i="10" s="1"/>
  <c r="H36" i="10"/>
  <c r="I36" i="10"/>
  <c r="H34" i="10"/>
  <c r="I34" i="10" s="1"/>
  <c r="H33" i="10"/>
  <c r="I33" i="10" s="1"/>
  <c r="H32" i="10"/>
  <c r="I32" i="10" s="1"/>
  <c r="H29" i="10"/>
  <c r="I29" i="10" s="1"/>
  <c r="H28" i="10"/>
  <c r="I28" i="10" s="1"/>
  <c r="H27" i="10"/>
  <c r="I27" i="10"/>
  <c r="H26" i="10"/>
  <c r="I26" i="10" s="1"/>
  <c r="H24" i="10"/>
  <c r="H23" i="10"/>
  <c r="I23" i="10"/>
  <c r="H22" i="10"/>
  <c r="I22" i="10" s="1"/>
  <c r="H21" i="10"/>
  <c r="I21" i="10"/>
  <c r="H20" i="10"/>
  <c r="I20" i="10" s="1"/>
  <c r="H19" i="10"/>
  <c r="I19" i="10"/>
  <c r="H18" i="10"/>
  <c r="I18" i="10" s="1"/>
  <c r="I24" i="10"/>
  <c r="H11" i="32"/>
  <c r="I11" i="32"/>
  <c r="H83" i="10"/>
  <c r="I83" i="10" s="1"/>
  <c r="J62" i="10"/>
  <c r="G76" i="10"/>
  <c r="H25" i="10"/>
  <c r="I25" i="10" s="1"/>
  <c r="K25" i="10"/>
  <c r="F27" i="40"/>
  <c r="V51" i="41"/>
  <c r="P51" i="41"/>
  <c r="P62" i="41"/>
  <c r="T69" i="41"/>
  <c r="AA69" i="41" s="1"/>
  <c r="AQ76" i="41"/>
  <c r="K98" i="10"/>
  <c r="U104" i="41"/>
  <c r="AK102" i="41"/>
  <c r="AJ102" i="41"/>
  <c r="AI102" i="41"/>
  <c r="AK97" i="41"/>
  <c r="AJ97" i="41"/>
  <c r="AI97" i="41"/>
  <c r="AB95" i="41"/>
  <c r="V95" i="41"/>
  <c r="Q95" i="41"/>
  <c r="Q94" i="41"/>
  <c r="C88" i="41"/>
  <c r="AI87" i="41"/>
  <c r="AJ87" i="41"/>
  <c r="AO86" i="41"/>
  <c r="AM86" i="41"/>
  <c r="AJ86" i="41"/>
  <c r="AH86" i="41"/>
  <c r="AE86" i="41"/>
  <c r="W86" i="41"/>
  <c r="U86" i="41"/>
  <c r="S86" i="41"/>
  <c r="Q86" i="41"/>
  <c r="O86" i="41"/>
  <c r="M86" i="41"/>
  <c r="K86" i="41"/>
  <c r="I86" i="41"/>
  <c r="G86" i="41"/>
  <c r="E86" i="41"/>
  <c r="AO85" i="41"/>
  <c r="AM85" i="41"/>
  <c r="AJ85" i="41"/>
  <c r="AH85" i="41"/>
  <c r="AE85" i="41"/>
  <c r="W85" i="41"/>
  <c r="U85" i="41"/>
  <c r="S85" i="41"/>
  <c r="Q85" i="41"/>
  <c r="O85" i="41"/>
  <c r="M85" i="41"/>
  <c r="K85" i="41"/>
  <c r="I85" i="41"/>
  <c r="G85" i="41"/>
  <c r="E85" i="41"/>
  <c r="AS84" i="41"/>
  <c r="AO84" i="41"/>
  <c r="AM84" i="41"/>
  <c r="AJ84" i="41"/>
  <c r="AH84" i="41"/>
  <c r="AE84" i="41"/>
  <c r="W84" i="41"/>
  <c r="U84" i="41"/>
  <c r="S84" i="41"/>
  <c r="Q84" i="41"/>
  <c r="O84" i="41"/>
  <c r="M84" i="41"/>
  <c r="K84" i="41"/>
  <c r="I84" i="41"/>
  <c r="G84" i="41"/>
  <c r="E84" i="41"/>
  <c r="AJ83" i="41"/>
  <c r="AJ82" i="41"/>
  <c r="AO81" i="41"/>
  <c r="AM81" i="41"/>
  <c r="AJ81" i="41"/>
  <c r="AH81" i="41"/>
  <c r="AE81" i="41"/>
  <c r="W81" i="41"/>
  <c r="S81" i="41"/>
  <c r="Q81" i="41"/>
  <c r="O81" i="41"/>
  <c r="M81" i="41"/>
  <c r="K81" i="41"/>
  <c r="I81" i="41"/>
  <c r="G81" i="41"/>
  <c r="E81" i="41"/>
  <c r="AO80" i="41"/>
  <c r="AM80" i="41"/>
  <c r="AJ80" i="41"/>
  <c r="AH80" i="41"/>
  <c r="AE80" i="41"/>
  <c r="W80" i="41"/>
  <c r="U80" i="41"/>
  <c r="S80" i="41"/>
  <c r="Q80" i="41"/>
  <c r="O80" i="41"/>
  <c r="M80" i="41"/>
  <c r="K80" i="41"/>
  <c r="I80" i="41"/>
  <c r="G80" i="41"/>
  <c r="E80" i="41"/>
  <c r="AO79" i="41"/>
  <c r="AM79" i="41"/>
  <c r="AJ79" i="41"/>
  <c r="AH79" i="41"/>
  <c r="AE79" i="41"/>
  <c r="W79" i="41"/>
  <c r="U79" i="41"/>
  <c r="S79" i="41"/>
  <c r="Q79" i="41"/>
  <c r="O79" i="41"/>
  <c r="M79" i="41"/>
  <c r="K79" i="41"/>
  <c r="I79" i="41"/>
  <c r="G79" i="41"/>
  <c r="E79" i="41"/>
  <c r="AN78" i="41"/>
  <c r="AO78" i="41"/>
  <c r="AN93" i="41"/>
  <c r="AN97" i="41"/>
  <c r="AO97" i="41" s="1"/>
  <c r="AL78" i="41"/>
  <c r="AM78" i="41"/>
  <c r="AL93" i="41"/>
  <c r="AL97" i="41"/>
  <c r="AL102" i="41" s="1"/>
  <c r="AM102" i="41" s="1"/>
  <c r="AJ78" i="41"/>
  <c r="AG78" i="41"/>
  <c r="AG93" i="41"/>
  <c r="AG97" i="41"/>
  <c r="AH97" i="41" s="1"/>
  <c r="AD78" i="41"/>
  <c r="AE78" i="41"/>
  <c r="AB78" i="41"/>
  <c r="AC78" i="41" s="1"/>
  <c r="AB93" i="41"/>
  <c r="AB97" i="41" s="1"/>
  <c r="AB102" i="41" s="1"/>
  <c r="V78" i="41"/>
  <c r="V93" i="41"/>
  <c r="V97" i="41"/>
  <c r="V102" i="41" s="1"/>
  <c r="V104" i="41" s="1"/>
  <c r="R78" i="41"/>
  <c r="P78" i="41"/>
  <c r="Q78" i="41" s="1"/>
  <c r="N78" i="41"/>
  <c r="O78" i="41"/>
  <c r="L78" i="41"/>
  <c r="M78" i="41" s="1"/>
  <c r="J78" i="41"/>
  <c r="K78" i="41"/>
  <c r="H78" i="41"/>
  <c r="I78" i="41" s="1"/>
  <c r="F78" i="41"/>
  <c r="G78" i="41"/>
  <c r="D78" i="41"/>
  <c r="E78" i="41" s="1"/>
  <c r="AJ77" i="41"/>
  <c r="AS76" i="41"/>
  <c r="T75" i="41" s="1"/>
  <c r="AJ76" i="41"/>
  <c r="AO75" i="41"/>
  <c r="AM75" i="41"/>
  <c r="AJ75" i="41"/>
  <c r="AH75" i="41"/>
  <c r="AE75" i="41"/>
  <c r="Z75" i="41"/>
  <c r="W75" i="41"/>
  <c r="S75" i="41"/>
  <c r="Q75" i="41"/>
  <c r="O75" i="41"/>
  <c r="M75" i="41"/>
  <c r="K75" i="41"/>
  <c r="I75" i="41"/>
  <c r="G75" i="41"/>
  <c r="E75" i="41"/>
  <c r="AO74" i="41"/>
  <c r="AM74" i="41"/>
  <c r="AJ74" i="41"/>
  <c r="AH74" i="41"/>
  <c r="AE74" i="41"/>
  <c r="AB74" i="41"/>
  <c r="Z74" i="41"/>
  <c r="W74" i="41"/>
  <c r="T74" i="41"/>
  <c r="U74" i="41" s="1"/>
  <c r="R74" i="41"/>
  <c r="S74" i="41" s="1"/>
  <c r="Q74" i="41"/>
  <c r="O74" i="41"/>
  <c r="M74" i="41"/>
  <c r="K74" i="41"/>
  <c r="I74" i="41"/>
  <c r="G74" i="41"/>
  <c r="E74" i="41"/>
  <c r="AO73" i="41"/>
  <c r="AM73" i="41"/>
  <c r="AJ73" i="41"/>
  <c r="AG73" i="41"/>
  <c r="AH73" i="41" s="1"/>
  <c r="AE73" i="41"/>
  <c r="Z73" i="41"/>
  <c r="W73" i="41"/>
  <c r="T73" i="41"/>
  <c r="AA73" i="41" s="1"/>
  <c r="R73" i="41"/>
  <c r="S73" i="41" s="1"/>
  <c r="Q73" i="41"/>
  <c r="O73" i="41"/>
  <c r="M73" i="41"/>
  <c r="K73" i="41"/>
  <c r="I73" i="41"/>
  <c r="G73" i="41"/>
  <c r="E73" i="41"/>
  <c r="AO72" i="41"/>
  <c r="AM72" i="41"/>
  <c r="AJ72" i="41"/>
  <c r="AH72" i="41"/>
  <c r="AE72" i="41"/>
  <c r="Z72" i="41"/>
  <c r="W72" i="41"/>
  <c r="T72" i="41"/>
  <c r="AA72" i="41" s="1"/>
  <c r="R72" i="41"/>
  <c r="S72" i="41" s="1"/>
  <c r="Q72" i="41"/>
  <c r="O72" i="41"/>
  <c r="M72" i="41"/>
  <c r="K72" i="41"/>
  <c r="I72" i="41"/>
  <c r="G72" i="41"/>
  <c r="E72" i="41"/>
  <c r="AO71" i="41"/>
  <c r="AM71" i="41"/>
  <c r="AJ71" i="41"/>
  <c r="AH71" i="41"/>
  <c r="AE71" i="41"/>
  <c r="Z71" i="41"/>
  <c r="W71" i="41"/>
  <c r="T71" i="41"/>
  <c r="AA71" i="41" s="1"/>
  <c r="R71" i="41"/>
  <c r="S71" i="41" s="1"/>
  <c r="Q71" i="41"/>
  <c r="O71" i="41"/>
  <c r="M71" i="41"/>
  <c r="K71" i="41"/>
  <c r="I71" i="41"/>
  <c r="G71" i="41"/>
  <c r="E71" i="41"/>
  <c r="AO70" i="41"/>
  <c r="AM70" i="41"/>
  <c r="AJ70" i="41"/>
  <c r="AH70" i="41"/>
  <c r="AE70" i="41"/>
  <c r="Z70" i="41"/>
  <c r="W70" i="41"/>
  <c r="T70" i="41"/>
  <c r="AA70" i="41" s="1"/>
  <c r="R70" i="41"/>
  <c r="S70" i="41" s="1"/>
  <c r="Q70" i="41"/>
  <c r="O70" i="41"/>
  <c r="M70" i="41"/>
  <c r="K70" i="41"/>
  <c r="I70" i="41"/>
  <c r="G70" i="41"/>
  <c r="E70" i="41"/>
  <c r="AO69" i="41"/>
  <c r="AM69" i="41"/>
  <c r="AJ69" i="41"/>
  <c r="AH69" i="41"/>
  <c r="AE69" i="41"/>
  <c r="Z69" i="41"/>
  <c r="W69" i="41"/>
  <c r="R69" i="41"/>
  <c r="S69" i="41" s="1"/>
  <c r="Q69" i="41"/>
  <c r="O69" i="41"/>
  <c r="M69" i="41"/>
  <c r="K69" i="41"/>
  <c r="I69" i="41"/>
  <c r="G69" i="41"/>
  <c r="E69" i="41"/>
  <c r="AN68" i="41"/>
  <c r="AO68" i="41"/>
  <c r="AL68" i="41"/>
  <c r="AM68" i="41" s="1"/>
  <c r="AJ68" i="41"/>
  <c r="AG68" i="41"/>
  <c r="AH68" i="41" s="1"/>
  <c r="AE68" i="41"/>
  <c r="AB68" i="41"/>
  <c r="AB51" i="41"/>
  <c r="AB49" i="41" s="1"/>
  <c r="AB50" i="41" s="1"/>
  <c r="AB62" i="41"/>
  <c r="V68" i="41"/>
  <c r="Z68" i="41" s="1"/>
  <c r="P68" i="41"/>
  <c r="N68" i="41"/>
  <c r="O68" i="41" s="1"/>
  <c r="L68" i="41"/>
  <c r="M68" i="41"/>
  <c r="J68" i="41"/>
  <c r="K68" i="41" s="1"/>
  <c r="H68" i="41"/>
  <c r="I68" i="41" s="1"/>
  <c r="F68" i="41"/>
  <c r="G68" i="41" s="1"/>
  <c r="D68" i="41"/>
  <c r="E68" i="41" s="1"/>
  <c r="AO67" i="41"/>
  <c r="AM67" i="41"/>
  <c r="AJ67" i="41"/>
  <c r="AH67" i="41"/>
  <c r="AE67" i="41"/>
  <c r="Z67" i="41"/>
  <c r="W67" i="41"/>
  <c r="T67" i="41"/>
  <c r="AA67" i="41" s="1"/>
  <c r="R67" i="41"/>
  <c r="S67" i="41" s="1"/>
  <c r="Q67" i="41"/>
  <c r="O67" i="41"/>
  <c r="M67" i="41"/>
  <c r="K67" i="41"/>
  <c r="I67" i="41"/>
  <c r="G67" i="41"/>
  <c r="E67" i="41"/>
  <c r="AO66" i="41"/>
  <c r="AM66" i="41"/>
  <c r="AJ66" i="41"/>
  <c r="AH66" i="41"/>
  <c r="AE66" i="41"/>
  <c r="Z66" i="41"/>
  <c r="W66" i="41"/>
  <c r="T66" i="41"/>
  <c r="AA66" i="41" s="1"/>
  <c r="R66" i="41"/>
  <c r="S66" i="41" s="1"/>
  <c r="Q66" i="41"/>
  <c r="O66" i="41"/>
  <c r="M66" i="41"/>
  <c r="K66" i="41"/>
  <c r="I66" i="41"/>
  <c r="G66" i="41"/>
  <c r="E66" i="41"/>
  <c r="AO65" i="41"/>
  <c r="AM65" i="41"/>
  <c r="AW21" i="41" s="1"/>
  <c r="AJ65" i="41"/>
  <c r="AH65" i="41"/>
  <c r="AV21" i="41" s="1"/>
  <c r="AE65" i="41"/>
  <c r="Z65" i="41"/>
  <c r="W65" i="41"/>
  <c r="T65" i="41"/>
  <c r="AA65" i="41" s="1"/>
  <c r="R65" i="41"/>
  <c r="S65" i="41" s="1"/>
  <c r="Q65" i="41"/>
  <c r="O65" i="41"/>
  <c r="M65" i="41"/>
  <c r="K65" i="41"/>
  <c r="I65" i="41"/>
  <c r="G65" i="41"/>
  <c r="E65" i="41"/>
  <c r="AO64" i="41"/>
  <c r="AM64" i="41"/>
  <c r="AJ64" i="41"/>
  <c r="AH64" i="41"/>
  <c r="AE64" i="41"/>
  <c r="Z64" i="41"/>
  <c r="W64" i="41"/>
  <c r="T64" i="41"/>
  <c r="AA64" i="41" s="1"/>
  <c r="R64" i="41"/>
  <c r="S64" i="41" s="1"/>
  <c r="Q64" i="41"/>
  <c r="O64" i="41"/>
  <c r="M64" i="41"/>
  <c r="K64" i="41"/>
  <c r="I64" i="41"/>
  <c r="G64" i="41"/>
  <c r="E64" i="41"/>
  <c r="AO63" i="41"/>
  <c r="AM63" i="41"/>
  <c r="AJ63" i="41"/>
  <c r="AH63" i="41"/>
  <c r="AE63" i="41"/>
  <c r="Z63" i="41"/>
  <c r="W63" i="41"/>
  <c r="T63" i="41"/>
  <c r="AA63" i="41" s="1"/>
  <c r="R63" i="41"/>
  <c r="S63" i="41" s="1"/>
  <c r="Q63" i="41"/>
  <c r="O63" i="41"/>
  <c r="M63" i="41"/>
  <c r="K63" i="41"/>
  <c r="I63" i="41"/>
  <c r="G63" i="41"/>
  <c r="E63" i="41"/>
  <c r="AN62" i="41"/>
  <c r="AN49" i="41" s="1"/>
  <c r="AO62" i="41"/>
  <c r="AL62" i="41"/>
  <c r="AI62" i="41"/>
  <c r="AJ62" i="41"/>
  <c r="AG62" i="41"/>
  <c r="AD62" i="41"/>
  <c r="AE62" i="41" s="1"/>
  <c r="V62" i="41"/>
  <c r="W62" i="41"/>
  <c r="N62" i="41"/>
  <c r="O62" i="41" s="1"/>
  <c r="L62" i="41"/>
  <c r="J62" i="41"/>
  <c r="K62" i="41"/>
  <c r="H62" i="41"/>
  <c r="F62" i="41"/>
  <c r="G62" i="41" s="1"/>
  <c r="D62" i="41"/>
  <c r="AO61" i="41"/>
  <c r="AM61" i="41"/>
  <c r="AH61" i="41"/>
  <c r="AE61" i="41"/>
  <c r="Z61" i="41"/>
  <c r="W61" i="41"/>
  <c r="T61" i="41"/>
  <c r="AA61" i="41" s="1"/>
  <c r="R61" i="41"/>
  <c r="S61" i="41" s="1"/>
  <c r="Q61" i="41"/>
  <c r="O61" i="41"/>
  <c r="M61" i="41"/>
  <c r="K61" i="41"/>
  <c r="I61" i="41"/>
  <c r="G61" i="41"/>
  <c r="E61" i="41"/>
  <c r="AO60" i="41"/>
  <c r="AM60" i="41"/>
  <c r="AJ60" i="41"/>
  <c r="AH60" i="41"/>
  <c r="AE60" i="41"/>
  <c r="Z60" i="41"/>
  <c r="W60" i="41"/>
  <c r="T60" i="41"/>
  <c r="AA60" i="41" s="1"/>
  <c r="R60" i="41"/>
  <c r="S60" i="41" s="1"/>
  <c r="Q60" i="41"/>
  <c r="O60" i="41"/>
  <c r="M60" i="41"/>
  <c r="K60" i="41"/>
  <c r="I60" i="41"/>
  <c r="G60" i="41"/>
  <c r="E60" i="41"/>
  <c r="AO59" i="41"/>
  <c r="AM59" i="41"/>
  <c r="AJ59" i="41"/>
  <c r="AH59" i="41"/>
  <c r="AE59" i="41"/>
  <c r="Z59" i="41"/>
  <c r="W59" i="41"/>
  <c r="T59" i="41"/>
  <c r="R59" i="41"/>
  <c r="S59" i="41" s="1"/>
  <c r="Q59" i="41"/>
  <c r="O59" i="41"/>
  <c r="M59" i="41"/>
  <c r="K59" i="41"/>
  <c r="I59" i="41"/>
  <c r="G59" i="41"/>
  <c r="E59" i="41"/>
  <c r="AO58" i="41"/>
  <c r="AM58" i="41"/>
  <c r="AJ58" i="41"/>
  <c r="AH58" i="41"/>
  <c r="AE58" i="41"/>
  <c r="Z58" i="41"/>
  <c r="W58" i="41"/>
  <c r="T58" i="41"/>
  <c r="U58" i="41" s="1"/>
  <c r="R58" i="41"/>
  <c r="S58" i="41" s="1"/>
  <c r="Q58" i="41"/>
  <c r="O58" i="41"/>
  <c r="M58" i="41"/>
  <c r="K58" i="41"/>
  <c r="I58" i="41"/>
  <c r="G58" i="41"/>
  <c r="E58" i="41"/>
  <c r="AO57" i="41"/>
  <c r="AM57" i="41"/>
  <c r="AJ57" i="41"/>
  <c r="AH57" i="41"/>
  <c r="AE57" i="41"/>
  <c r="Z57" i="41"/>
  <c r="W57" i="41"/>
  <c r="T57" i="41"/>
  <c r="R57" i="41"/>
  <c r="S57" i="41" s="1"/>
  <c r="Q57" i="41"/>
  <c r="O57" i="41"/>
  <c r="M57" i="41"/>
  <c r="K57" i="41"/>
  <c r="I57" i="41"/>
  <c r="G57" i="41"/>
  <c r="E57" i="41"/>
  <c r="AO56" i="41"/>
  <c r="AM56" i="41"/>
  <c r="AJ56" i="41"/>
  <c r="AH56" i="41"/>
  <c r="AE56" i="41"/>
  <c r="Z56" i="41"/>
  <c r="W56" i="41"/>
  <c r="T56" i="41"/>
  <c r="R56" i="41"/>
  <c r="S56" i="41" s="1"/>
  <c r="Q56" i="41"/>
  <c r="O56" i="41"/>
  <c r="M56" i="41"/>
  <c r="K56" i="41"/>
  <c r="I56" i="41"/>
  <c r="G56" i="41"/>
  <c r="E56" i="41"/>
  <c r="AQ55" i="41"/>
  <c r="AO55" i="41"/>
  <c r="AM55" i="41"/>
  <c r="AJ55" i="41"/>
  <c r="AH55" i="41"/>
  <c r="AE55" i="41"/>
  <c r="Z55" i="41"/>
  <c r="W55" i="41"/>
  <c r="T55" i="41"/>
  <c r="AA55" i="41" s="1"/>
  <c r="R55" i="41"/>
  <c r="S55" i="41" s="1"/>
  <c r="Q55" i="41"/>
  <c r="O55" i="41"/>
  <c r="M55" i="41"/>
  <c r="K55" i="41"/>
  <c r="I55" i="41"/>
  <c r="G55" i="41"/>
  <c r="E55" i="41"/>
  <c r="AO54" i="41"/>
  <c r="AM54" i="41"/>
  <c r="AJ54" i="41"/>
  <c r="AH54" i="41"/>
  <c r="AE54" i="41"/>
  <c r="Z54" i="41"/>
  <c r="W54" i="41"/>
  <c r="T54" i="41"/>
  <c r="U54" i="41" s="1"/>
  <c r="R54" i="41"/>
  <c r="S54" i="41" s="1"/>
  <c r="Q54" i="41"/>
  <c r="O54" i="41"/>
  <c r="M54" i="41"/>
  <c r="K54" i="41"/>
  <c r="I54" i="41"/>
  <c r="G54" i="41"/>
  <c r="E54" i="41"/>
  <c r="AO53" i="41"/>
  <c r="AM53" i="41"/>
  <c r="AJ53" i="41"/>
  <c r="AH53" i="41"/>
  <c r="AE53" i="41"/>
  <c r="Z53" i="41"/>
  <c r="W53" i="41"/>
  <c r="T53" i="41"/>
  <c r="AA53" i="41" s="1"/>
  <c r="R53" i="41"/>
  <c r="S53" i="41" s="1"/>
  <c r="Q53" i="41"/>
  <c r="O53" i="41"/>
  <c r="M53" i="41"/>
  <c r="K53" i="41"/>
  <c r="I53" i="41"/>
  <c r="G53" i="41"/>
  <c r="E53" i="41"/>
  <c r="AO52" i="41"/>
  <c r="AM52" i="41"/>
  <c r="AJ52" i="41"/>
  <c r="AH52" i="41"/>
  <c r="AE52" i="41"/>
  <c r="Z52" i="41"/>
  <c r="W52" i="41"/>
  <c r="AT20" i="41" s="1"/>
  <c r="AT21" i="41"/>
  <c r="T52" i="41"/>
  <c r="AA52" i="41" s="1"/>
  <c r="R52" i="41"/>
  <c r="Q52" i="41"/>
  <c r="O52" i="41"/>
  <c r="M52" i="41"/>
  <c r="K52" i="41"/>
  <c r="I52" i="41"/>
  <c r="G52" i="41"/>
  <c r="E52" i="41"/>
  <c r="AN51" i="41"/>
  <c r="AO51" i="41"/>
  <c r="AL51" i="41"/>
  <c r="AM51" i="41" s="1"/>
  <c r="AI51" i="41"/>
  <c r="AJ51" i="41"/>
  <c r="AG51" i="41"/>
  <c r="AH51" i="41" s="1"/>
  <c r="AD51" i="41"/>
  <c r="AE51" i="41"/>
  <c r="Z51" i="41"/>
  <c r="W51" i="41"/>
  <c r="Q51" i="41"/>
  <c r="N51" i="41"/>
  <c r="O51" i="41"/>
  <c r="L51" i="41"/>
  <c r="M51" i="41" s="1"/>
  <c r="J51" i="41"/>
  <c r="K51" i="41"/>
  <c r="H51" i="41"/>
  <c r="I51" i="41" s="1"/>
  <c r="F51" i="41"/>
  <c r="F49" i="41" s="1"/>
  <c r="G51" i="41"/>
  <c r="D51" i="41"/>
  <c r="E51" i="41" s="1"/>
  <c r="C50" i="41"/>
  <c r="AD49" i="41"/>
  <c r="AE49" i="41"/>
  <c r="C49" i="41"/>
  <c r="AO48" i="41"/>
  <c r="AM48" i="41"/>
  <c r="AJ48" i="41"/>
  <c r="AH48" i="41"/>
  <c r="AE48" i="41"/>
  <c r="W48" i="41"/>
  <c r="U48" i="41"/>
  <c r="S48" i="41"/>
  <c r="Q48" i="41"/>
  <c r="O48" i="41"/>
  <c r="M48" i="41"/>
  <c r="K48" i="41"/>
  <c r="I48" i="41"/>
  <c r="G48" i="41"/>
  <c r="E48" i="41"/>
  <c r="AD47" i="41"/>
  <c r="AE47" i="41"/>
  <c r="AI47" i="41"/>
  <c r="AJ47" i="41" s="1"/>
  <c r="AB47" i="41"/>
  <c r="W47" i="41"/>
  <c r="U47" i="41"/>
  <c r="S47" i="41"/>
  <c r="Q47" i="41"/>
  <c r="O47" i="41"/>
  <c r="M47" i="41"/>
  <c r="K47" i="41"/>
  <c r="I47" i="41"/>
  <c r="G47" i="41"/>
  <c r="E47" i="41"/>
  <c r="C47" i="41"/>
  <c r="AD46" i="41"/>
  <c r="AE46" i="41"/>
  <c r="AB46" i="41"/>
  <c r="Z46" i="41" s="1"/>
  <c r="W46" i="41"/>
  <c r="U46" i="41"/>
  <c r="S46" i="41"/>
  <c r="Q46" i="41"/>
  <c r="O46" i="41"/>
  <c r="M46" i="41"/>
  <c r="K46" i="41"/>
  <c r="I46" i="41"/>
  <c r="G46" i="41"/>
  <c r="E46" i="41"/>
  <c r="C46" i="41"/>
  <c r="AD45" i="41"/>
  <c r="AB45" i="41"/>
  <c r="AG45" i="41"/>
  <c r="AL45" i="41" s="1"/>
  <c r="AN45" i="41" s="1"/>
  <c r="AO45" i="41" s="1"/>
  <c r="AA45" i="41"/>
  <c r="Z45" i="41"/>
  <c r="W45" i="41"/>
  <c r="U45" i="41"/>
  <c r="S45" i="41"/>
  <c r="Q45" i="41"/>
  <c r="O45" i="41"/>
  <c r="M45" i="41"/>
  <c r="K45" i="41"/>
  <c r="I45" i="41"/>
  <c r="G45" i="41"/>
  <c r="E45" i="41"/>
  <c r="C45" i="41"/>
  <c r="AD44" i="41"/>
  <c r="AB44" i="41"/>
  <c r="Z44" i="41" s="1"/>
  <c r="W44" i="41"/>
  <c r="U44" i="41"/>
  <c r="S44" i="41"/>
  <c r="Q44" i="41"/>
  <c r="O44" i="41"/>
  <c r="M44" i="41"/>
  <c r="K44" i="41"/>
  <c r="I44" i="41"/>
  <c r="G44" i="41"/>
  <c r="E44" i="41"/>
  <c r="C44" i="41"/>
  <c r="AI43" i="41"/>
  <c r="AJ43" i="41"/>
  <c r="AE43" i="41"/>
  <c r="AB43" i="41"/>
  <c r="Z43" i="41" s="1"/>
  <c r="W43" i="41"/>
  <c r="U43" i="41"/>
  <c r="S43" i="41"/>
  <c r="Q43" i="41"/>
  <c r="O43" i="41"/>
  <c r="M43" i="41"/>
  <c r="K43" i="41"/>
  <c r="I43" i="41"/>
  <c r="G43" i="41"/>
  <c r="E43" i="41"/>
  <c r="C43" i="41"/>
  <c r="W42" i="41"/>
  <c r="T42" i="41"/>
  <c r="U42" i="41" s="1"/>
  <c r="R42" i="41"/>
  <c r="S42" i="41" s="1"/>
  <c r="P42" i="41"/>
  <c r="N42" i="41"/>
  <c r="O42" i="41" s="1"/>
  <c r="L42" i="41"/>
  <c r="J42" i="41"/>
  <c r="K42" i="41" s="1"/>
  <c r="H42" i="41"/>
  <c r="I42" i="41" s="1"/>
  <c r="F42" i="41"/>
  <c r="G42" i="41" s="1"/>
  <c r="D42" i="41"/>
  <c r="E42" i="41" s="1"/>
  <c r="C42" i="41"/>
  <c r="AD41" i="41"/>
  <c r="AI41" i="41" s="1"/>
  <c r="AJ41" i="41"/>
  <c r="AB41" i="41"/>
  <c r="W41" i="41"/>
  <c r="U41" i="41"/>
  <c r="S41" i="41"/>
  <c r="Q41" i="41"/>
  <c r="O41" i="41"/>
  <c r="M41" i="41"/>
  <c r="K41" i="41"/>
  <c r="I41" i="41"/>
  <c r="G41" i="41"/>
  <c r="E41" i="41"/>
  <c r="C41" i="41"/>
  <c r="AD40" i="41"/>
  <c r="AB40" i="41"/>
  <c r="AG40" i="41" s="1"/>
  <c r="AA40" i="41"/>
  <c r="Z40" i="41"/>
  <c r="W40" i="41"/>
  <c r="U40" i="41"/>
  <c r="S40" i="41"/>
  <c r="Q40" i="41"/>
  <c r="O40" i="41"/>
  <c r="M40" i="41"/>
  <c r="K40" i="41"/>
  <c r="I40" i="41"/>
  <c r="G40" i="41"/>
  <c r="E40" i="41"/>
  <c r="C40" i="41"/>
  <c r="AT39" i="41"/>
  <c r="AD39" i="41"/>
  <c r="AI39" i="41" s="1"/>
  <c r="AJ39" i="41" s="1"/>
  <c r="AB39" i="41"/>
  <c r="W39" i="41"/>
  <c r="U39" i="41"/>
  <c r="S39" i="41"/>
  <c r="Q39" i="41"/>
  <c r="O39" i="41"/>
  <c r="M39" i="41"/>
  <c r="K39" i="41"/>
  <c r="I39" i="41"/>
  <c r="G39" i="41"/>
  <c r="E39" i="41"/>
  <c r="C39" i="41"/>
  <c r="AT38" i="41"/>
  <c r="AS38" i="41"/>
  <c r="AD38" i="41"/>
  <c r="AB38" i="41"/>
  <c r="W38" i="41"/>
  <c r="U38" i="41"/>
  <c r="S38" i="41"/>
  <c r="Q38" i="41"/>
  <c r="O38" i="41"/>
  <c r="M38" i="41"/>
  <c r="K38" i="41"/>
  <c r="I38" i="41"/>
  <c r="G38" i="41"/>
  <c r="E38" i="41"/>
  <c r="C38" i="41"/>
  <c r="AT37" i="41"/>
  <c r="AD37" i="41"/>
  <c r="AI37" i="41" s="1"/>
  <c r="AJ37" i="41"/>
  <c r="AB37" i="41"/>
  <c r="W37" i="41"/>
  <c r="U37" i="41"/>
  <c r="S37" i="41"/>
  <c r="Q37" i="41"/>
  <c r="O37" i="41"/>
  <c r="M37" i="41"/>
  <c r="K37" i="41"/>
  <c r="I37" i="41"/>
  <c r="G37" i="41"/>
  <c r="E37" i="41"/>
  <c r="C37" i="41"/>
  <c r="AD36" i="41"/>
  <c r="AB36" i="41"/>
  <c r="AG36" i="41" s="1"/>
  <c r="AA36" i="41"/>
  <c r="Z36" i="41"/>
  <c r="W36" i="41"/>
  <c r="U36" i="41"/>
  <c r="S36" i="41"/>
  <c r="Q36" i="41"/>
  <c r="O36" i="41"/>
  <c r="M36" i="41"/>
  <c r="K36" i="41"/>
  <c r="I36" i="41"/>
  <c r="G36" i="41"/>
  <c r="E36" i="41"/>
  <c r="C36" i="41"/>
  <c r="AB35" i="41"/>
  <c r="W35" i="41"/>
  <c r="T35" i="41"/>
  <c r="R35" i="41"/>
  <c r="S35" i="41" s="1"/>
  <c r="P35" i="41"/>
  <c r="Q35" i="41" s="1"/>
  <c r="N35" i="41"/>
  <c r="O35" i="41" s="1"/>
  <c r="L35" i="41"/>
  <c r="M35" i="41" s="1"/>
  <c r="J35" i="41"/>
  <c r="K35" i="41" s="1"/>
  <c r="H35" i="41"/>
  <c r="F35" i="41"/>
  <c r="G35" i="41" s="1"/>
  <c r="D35" i="41"/>
  <c r="E35" i="41" s="1"/>
  <c r="C35" i="41"/>
  <c r="AD34" i="41"/>
  <c r="AB34" i="41"/>
  <c r="W34" i="41"/>
  <c r="U34" i="41"/>
  <c r="S34" i="41"/>
  <c r="Q34" i="41"/>
  <c r="O34" i="41"/>
  <c r="M34" i="41"/>
  <c r="K34" i="41"/>
  <c r="I34" i="41"/>
  <c r="G34" i="41"/>
  <c r="E34" i="41"/>
  <c r="C34" i="41"/>
  <c r="AD33" i="41"/>
  <c r="AB33" i="41"/>
  <c r="Z33" i="41"/>
  <c r="W33" i="41"/>
  <c r="U33" i="41"/>
  <c r="S33" i="41"/>
  <c r="Q33" i="41"/>
  <c r="O33" i="41"/>
  <c r="M33" i="41"/>
  <c r="K33" i="41"/>
  <c r="I33" i="41"/>
  <c r="G33" i="41"/>
  <c r="E33" i="41"/>
  <c r="C33" i="41"/>
  <c r="AD32" i="41"/>
  <c r="AE32" i="41" s="1"/>
  <c r="AI32" i="41"/>
  <c r="AJ32" i="41" s="1"/>
  <c r="AB32" i="41"/>
  <c r="W32" i="41"/>
  <c r="U32" i="41"/>
  <c r="S32" i="41"/>
  <c r="Q32" i="41"/>
  <c r="O32" i="41"/>
  <c r="M32" i="41"/>
  <c r="K32" i="41"/>
  <c r="I32" i="41"/>
  <c r="G32" i="41"/>
  <c r="E32" i="41"/>
  <c r="C32" i="41"/>
  <c r="AD31" i="41"/>
  <c r="AB31" i="41"/>
  <c r="AG31" i="41"/>
  <c r="AL31" i="41" s="1"/>
  <c r="AM31" i="41" s="1"/>
  <c r="W31" i="41"/>
  <c r="U31" i="41"/>
  <c r="S31" i="41"/>
  <c r="Q31" i="41"/>
  <c r="O31" i="41"/>
  <c r="M31" i="41"/>
  <c r="K31" i="41"/>
  <c r="I31" i="41"/>
  <c r="G31" i="41"/>
  <c r="E31" i="41"/>
  <c r="C31" i="41"/>
  <c r="W30" i="41"/>
  <c r="T30" i="41"/>
  <c r="U30" i="41" s="1"/>
  <c r="R30" i="41"/>
  <c r="S30" i="41" s="1"/>
  <c r="P30" i="41"/>
  <c r="Q30" i="41" s="1"/>
  <c r="N30" i="41"/>
  <c r="O30" i="41" s="1"/>
  <c r="L30" i="41"/>
  <c r="M30" i="41" s="1"/>
  <c r="J30" i="41"/>
  <c r="K30" i="41" s="1"/>
  <c r="H30" i="41"/>
  <c r="I30" i="41"/>
  <c r="F30" i="41"/>
  <c r="G30" i="41" s="1"/>
  <c r="D30" i="41"/>
  <c r="E30" i="41"/>
  <c r="C30" i="41"/>
  <c r="AD29" i="41"/>
  <c r="AI29" i="41" s="1"/>
  <c r="AJ29" i="41" s="1"/>
  <c r="AB29" i="41"/>
  <c r="W29" i="41"/>
  <c r="U29" i="41"/>
  <c r="S29" i="41"/>
  <c r="Q29" i="41"/>
  <c r="O29" i="41"/>
  <c r="M29" i="41"/>
  <c r="K29" i="41"/>
  <c r="I29" i="41"/>
  <c r="G29" i="41"/>
  <c r="E29" i="41"/>
  <c r="C29" i="41"/>
  <c r="AD28" i="41"/>
  <c r="AB28" i="41"/>
  <c r="AG28" i="41" s="1"/>
  <c r="AA28" i="41"/>
  <c r="Z28" i="41"/>
  <c r="W28" i="41"/>
  <c r="U28" i="41"/>
  <c r="S28" i="41"/>
  <c r="Q28" i="41"/>
  <c r="O28" i="41"/>
  <c r="M28" i="41"/>
  <c r="K28" i="41"/>
  <c r="I28" i="41"/>
  <c r="G28" i="41"/>
  <c r="E28" i="41"/>
  <c r="C28" i="41"/>
  <c r="AD27" i="41"/>
  <c r="AI27" i="41" s="1"/>
  <c r="AJ27" i="41" s="1"/>
  <c r="AB27" i="41"/>
  <c r="W27" i="41"/>
  <c r="U27" i="41"/>
  <c r="S27" i="41"/>
  <c r="Q27" i="41"/>
  <c r="O27" i="41"/>
  <c r="M27" i="41"/>
  <c r="K27" i="41"/>
  <c r="I27" i="41"/>
  <c r="G27" i="41"/>
  <c r="E27" i="41"/>
  <c r="C27" i="41"/>
  <c r="AD26" i="41"/>
  <c r="AB26" i="41"/>
  <c r="Z26" i="41" s="1"/>
  <c r="W26" i="41"/>
  <c r="U26" i="41"/>
  <c r="S26" i="41"/>
  <c r="Q26" i="41"/>
  <c r="O26" i="41"/>
  <c r="M26" i="41"/>
  <c r="K26" i="41"/>
  <c r="I26" i="41"/>
  <c r="G26" i="41"/>
  <c r="E26" i="41"/>
  <c r="C26" i="41"/>
  <c r="W25" i="41"/>
  <c r="T25" i="41"/>
  <c r="AS37" i="41" s="1"/>
  <c r="R25" i="41"/>
  <c r="S25" i="41" s="1"/>
  <c r="P25" i="41"/>
  <c r="Q25" i="41" s="1"/>
  <c r="N25" i="41"/>
  <c r="O25" i="41" s="1"/>
  <c r="L25" i="41"/>
  <c r="M25" i="41" s="1"/>
  <c r="J25" i="41"/>
  <c r="K25" i="41" s="1"/>
  <c r="H25" i="41"/>
  <c r="I25" i="41" s="1"/>
  <c r="F25" i="41"/>
  <c r="G25" i="41" s="1"/>
  <c r="D25" i="41"/>
  <c r="E25" i="41" s="1"/>
  <c r="C25" i="41"/>
  <c r="AD24" i="41"/>
  <c r="AI24" i="41" s="1"/>
  <c r="AB24" i="41"/>
  <c r="W24" i="41"/>
  <c r="U24" i="41"/>
  <c r="S24" i="41"/>
  <c r="Q24" i="41"/>
  <c r="O24" i="41"/>
  <c r="M24" i="41"/>
  <c r="K24" i="41"/>
  <c r="I24" i="41"/>
  <c r="G24" i="41"/>
  <c r="E24" i="41"/>
  <c r="C24" i="41"/>
  <c r="AD23" i="41"/>
  <c r="AE23" i="41" s="1"/>
  <c r="AB23" i="41"/>
  <c r="W23" i="41"/>
  <c r="U23" i="41"/>
  <c r="S23" i="41"/>
  <c r="Q23" i="41"/>
  <c r="O23" i="41"/>
  <c r="M23" i="41"/>
  <c r="K23" i="41"/>
  <c r="I23" i="41"/>
  <c r="G23" i="41"/>
  <c r="E23" i="41"/>
  <c r="C23" i="41"/>
  <c r="AD22" i="41"/>
  <c r="AE22" i="41"/>
  <c r="AB22" i="41"/>
  <c r="AB17" i="41" s="1"/>
  <c r="AC17" i="41" s="1"/>
  <c r="W22" i="41"/>
  <c r="U22" i="41"/>
  <c r="S22" i="41"/>
  <c r="Q22" i="41"/>
  <c r="O22" i="41"/>
  <c r="M22" i="41"/>
  <c r="K22" i="41"/>
  <c r="I22" i="41"/>
  <c r="G22" i="41"/>
  <c r="E22" i="41"/>
  <c r="C22" i="41"/>
  <c r="AD21" i="41"/>
  <c r="AE21" i="41" s="1"/>
  <c r="AB21" i="41"/>
  <c r="Z21" i="41"/>
  <c r="W21" i="41"/>
  <c r="U21" i="41"/>
  <c r="S21" i="41"/>
  <c r="Q21" i="41"/>
  <c r="O21" i="41"/>
  <c r="M21" i="41"/>
  <c r="K21" i="41"/>
  <c r="I21" i="41"/>
  <c r="G21" i="41"/>
  <c r="E21" i="41"/>
  <c r="C21" i="41"/>
  <c r="AW20" i="41"/>
  <c r="AV20" i="41"/>
  <c r="AD20" i="41"/>
  <c r="AE20" i="41"/>
  <c r="AB20" i="41"/>
  <c r="Z20" i="41"/>
  <c r="W20" i="41"/>
  <c r="U20" i="41"/>
  <c r="S20" i="41"/>
  <c r="Q20" i="41"/>
  <c r="O20" i="41"/>
  <c r="M20" i="41"/>
  <c r="K20" i="41"/>
  <c r="I20" i="41"/>
  <c r="G20" i="41"/>
  <c r="E20" i="41"/>
  <c r="C20" i="41"/>
  <c r="AW19" i="41"/>
  <c r="AV19" i="41"/>
  <c r="AV36" i="41"/>
  <c r="AU19" i="41"/>
  <c r="AU36" i="41"/>
  <c r="AT19" i="41"/>
  <c r="AT36" i="41"/>
  <c r="AS19" i="41"/>
  <c r="AS36" i="41"/>
  <c r="AD19" i="41"/>
  <c r="AB19" i="41"/>
  <c r="AG19" i="41"/>
  <c r="Z19" i="41"/>
  <c r="W19" i="41"/>
  <c r="U19" i="41"/>
  <c r="S19" i="41"/>
  <c r="Q19" i="41"/>
  <c r="O19" i="41"/>
  <c r="M19" i="41"/>
  <c r="K19" i="41"/>
  <c r="I19" i="41"/>
  <c r="G19" i="41"/>
  <c r="E19" i="41"/>
  <c r="C19" i="41"/>
  <c r="AD18" i="41"/>
  <c r="AI18" i="41" s="1"/>
  <c r="AB18" i="41"/>
  <c r="AG18" i="41"/>
  <c r="Z18" i="41"/>
  <c r="W18" i="41"/>
  <c r="U18" i="41"/>
  <c r="S18" i="41"/>
  <c r="Q18" i="41"/>
  <c r="O18" i="41"/>
  <c r="M18" i="41"/>
  <c r="K18" i="41"/>
  <c r="I18" i="41"/>
  <c r="G18" i="41"/>
  <c r="E18" i="41"/>
  <c r="C18" i="41"/>
  <c r="W17" i="41"/>
  <c r="T17" i="41"/>
  <c r="R17" i="41"/>
  <c r="S17" i="41" s="1"/>
  <c r="P17" i="41"/>
  <c r="Q17" i="41" s="1"/>
  <c r="N17" i="41"/>
  <c r="O17" i="41" s="1"/>
  <c r="L17" i="41"/>
  <c r="M17" i="41" s="1"/>
  <c r="J17" i="41"/>
  <c r="H17" i="41"/>
  <c r="I17" i="41" s="1"/>
  <c r="F17" i="41"/>
  <c r="D17" i="41"/>
  <c r="E17" i="41" s="1"/>
  <c r="C17" i="41"/>
  <c r="V16" i="41"/>
  <c r="W16" i="41"/>
  <c r="C16" i="41"/>
  <c r="AO15" i="41"/>
  <c r="AN15" i="41"/>
  <c r="AE15" i="41"/>
  <c r="AH15" i="41" s="1"/>
  <c r="AD15" i="41"/>
  <c r="AG15" i="41" s="1"/>
  <c r="U15" i="41"/>
  <c r="S15" i="41" s="1"/>
  <c r="T15" i="41"/>
  <c r="R15" i="41" s="1"/>
  <c r="Q15" i="41"/>
  <c r="P15" i="41"/>
  <c r="O15" i="41"/>
  <c r="N15" i="41"/>
  <c r="M15" i="41"/>
  <c r="L15" i="41"/>
  <c r="K15" i="41"/>
  <c r="J15" i="41"/>
  <c r="I15" i="41"/>
  <c r="H15" i="41"/>
  <c r="G15" i="41"/>
  <c r="F15" i="41"/>
  <c r="E15" i="41"/>
  <c r="D15" i="41"/>
  <c r="C15" i="41"/>
  <c r="C14" i="41"/>
  <c r="AB11" i="41"/>
  <c r="C11" i="41"/>
  <c r="AC23" i="41"/>
  <c r="Z23" i="41"/>
  <c r="AG38" i="41"/>
  <c r="AH38" i="41" s="1"/>
  <c r="AA38" i="41"/>
  <c r="AG41" i="41"/>
  <c r="AH41" i="41" s="1"/>
  <c r="AI45" i="41"/>
  <c r="AJ45" i="41"/>
  <c r="AE45" i="41"/>
  <c r="AG47" i="41"/>
  <c r="AL47" i="41"/>
  <c r="AN47" i="41"/>
  <c r="AO47" i="41" s="1"/>
  <c r="AA47" i="41"/>
  <c r="AD50" i="41"/>
  <c r="AE50" i="41"/>
  <c r="S52" i="41"/>
  <c r="U61" i="41"/>
  <c r="AH62" i="41"/>
  <c r="AG49" i="41"/>
  <c r="AH49" i="41" s="1"/>
  <c r="AM62" i="41"/>
  <c r="AL49" i="41"/>
  <c r="AA19" i="41"/>
  <c r="AI19" i="41"/>
  <c r="AJ19" i="41" s="1"/>
  <c r="AE19" i="41"/>
  <c r="AC22" i="41"/>
  <c r="Z22" i="41"/>
  <c r="AG24" i="41"/>
  <c r="AL24" i="41"/>
  <c r="Z24" i="41"/>
  <c r="AI26" i="41"/>
  <c r="AI28" i="41"/>
  <c r="AE26" i="41"/>
  <c r="AD25" i="41"/>
  <c r="AE25" i="41"/>
  <c r="AG27" i="41"/>
  <c r="Z27" i="41"/>
  <c r="AJ28" i="41"/>
  <c r="AE28" i="41"/>
  <c r="AG29" i="41"/>
  <c r="Z29" i="41"/>
  <c r="AI31" i="41"/>
  <c r="AE31" i="41"/>
  <c r="AD30" i="41"/>
  <c r="AG32" i="41"/>
  <c r="AG34" i="41"/>
  <c r="AH34" i="41" s="1"/>
  <c r="Z32" i="41"/>
  <c r="AI33" i="41"/>
  <c r="AJ33" i="41"/>
  <c r="AE33" i="41"/>
  <c r="Z34" i="41"/>
  <c r="AI36" i="41"/>
  <c r="AJ36" i="41"/>
  <c r="AE36" i="41"/>
  <c r="AG37" i="41"/>
  <c r="AL37" i="41" s="1"/>
  <c r="Z37" i="41"/>
  <c r="Z38" i="41"/>
  <c r="Z47" i="41"/>
  <c r="J49" i="41"/>
  <c r="J50" i="41" s="1"/>
  <c r="K50" i="41" s="1"/>
  <c r="AI49" i="41"/>
  <c r="AA54" i="41"/>
  <c r="I62" i="41"/>
  <c r="H49" i="41"/>
  <c r="M62" i="41"/>
  <c r="L49" i="41"/>
  <c r="L50" i="41" s="1"/>
  <c r="AC20" i="41"/>
  <c r="AC21" i="41"/>
  <c r="Q68" i="41"/>
  <c r="AV71" i="41"/>
  <c r="AH19" i="41"/>
  <c r="AL19" i="41"/>
  <c r="AJ26" i="41"/>
  <c r="AH31" i="41"/>
  <c r="AH37" i="41"/>
  <c r="AL38" i="41"/>
  <c r="AL18" i="41"/>
  <c r="AH18" i="41"/>
  <c r="AH24" i="41"/>
  <c r="AJ31" i="41"/>
  <c r="AL32" i="41"/>
  <c r="AN32" i="41" s="1"/>
  <c r="AO32" i="41" s="1"/>
  <c r="AH36" i="41"/>
  <c r="AL36" i="41"/>
  <c r="AH40" i="41"/>
  <c r="AL40" i="41"/>
  <c r="AN40" i="41" s="1"/>
  <c r="AC50" i="41"/>
  <c r="AC86" i="41"/>
  <c r="AC85" i="41"/>
  <c r="AC68" i="41"/>
  <c r="AC62" i="41"/>
  <c r="AC61" i="41"/>
  <c r="AC60" i="41"/>
  <c r="AC59" i="41"/>
  <c r="AC58" i="41"/>
  <c r="AC57" i="41"/>
  <c r="AC84" i="41"/>
  <c r="AC81" i="41"/>
  <c r="AC80" i="41"/>
  <c r="AC79" i="41"/>
  <c r="AC75" i="41"/>
  <c r="AC73" i="41"/>
  <c r="AC72" i="41"/>
  <c r="AC71" i="41"/>
  <c r="AC70" i="41"/>
  <c r="AC69" i="41"/>
  <c r="AC67" i="41"/>
  <c r="AC66" i="41"/>
  <c r="AC65" i="41"/>
  <c r="AU21" i="41"/>
  <c r="AC64" i="41"/>
  <c r="AC63" i="41"/>
  <c r="AC56" i="41"/>
  <c r="AC48" i="41"/>
  <c r="V90" i="41"/>
  <c r="AC44" i="41"/>
  <c r="AA44" i="41"/>
  <c r="AC97" i="41"/>
  <c r="AG102" i="41"/>
  <c r="AH102" i="41" s="1"/>
  <c r="AM97" i="41"/>
  <c r="AN102" i="41"/>
  <c r="AO102" i="41" s="1"/>
  <c r="AA17" i="41"/>
  <c r="AA18" i="41"/>
  <c r="AC18" i="41"/>
  <c r="AG20" i="41"/>
  <c r="AH20" i="41" s="1"/>
  <c r="AI20" i="41"/>
  <c r="AJ20" i="41" s="1"/>
  <c r="AG21" i="41"/>
  <c r="AI21" i="41"/>
  <c r="AV38" i="41" s="1"/>
  <c r="AG22" i="41"/>
  <c r="AH22" i="41" s="1"/>
  <c r="AI22" i="41"/>
  <c r="AJ22" i="41"/>
  <c r="AG23" i="41"/>
  <c r="AL23" i="41" s="1"/>
  <c r="AI23" i="41"/>
  <c r="AJ23" i="41" s="1"/>
  <c r="AA24" i="41"/>
  <c r="AC24" i="41"/>
  <c r="AE24" i="41"/>
  <c r="AA27" i="41"/>
  <c r="AC27" i="41"/>
  <c r="AE27" i="41"/>
  <c r="AA29" i="41"/>
  <c r="AC29" i="41"/>
  <c r="AE29" i="41"/>
  <c r="AA32" i="41"/>
  <c r="AC32" i="41"/>
  <c r="AA34" i="41"/>
  <c r="AC34" i="41"/>
  <c r="AA37" i="41"/>
  <c r="AC37" i="41"/>
  <c r="AE37" i="41"/>
  <c r="AU38" i="41"/>
  <c r="AA39" i="41"/>
  <c r="AC39" i="41"/>
  <c r="AE39" i="41"/>
  <c r="AA41" i="41"/>
  <c r="AE41" i="41"/>
  <c r="AG44" i="41"/>
  <c r="AH44" i="41" s="1"/>
  <c r="AC45" i="41"/>
  <c r="AI46" i="41"/>
  <c r="AJ46" i="41"/>
  <c r="AM47" i="41"/>
  <c r="AG50" i="41"/>
  <c r="AH50" i="41" s="1"/>
  <c r="AC52" i="41"/>
  <c r="AU20" i="41"/>
  <c r="AC54" i="41"/>
  <c r="AC74" i="41"/>
  <c r="AG43" i="41"/>
  <c r="AC43" i="41"/>
  <c r="AA43" i="41"/>
  <c r="AB42" i="41"/>
  <c r="AC42" i="41" s="1"/>
  <c r="AC46" i="41"/>
  <c r="AA46" i="41"/>
  <c r="AC49" i="41"/>
  <c r="AC51" i="41"/>
  <c r="AC19" i="41"/>
  <c r="AA20" i="41"/>
  <c r="AA21" i="41"/>
  <c r="AA22" i="41"/>
  <c r="AA23" i="41"/>
  <c r="AC28" i="41"/>
  <c r="AC31" i="41"/>
  <c r="AC33" i="41"/>
  <c r="AC36" i="41"/>
  <c r="AC38" i="41"/>
  <c r="AC40" i="41"/>
  <c r="AH45" i="41"/>
  <c r="AM45" i="41"/>
  <c r="AG46" i="41"/>
  <c r="AL46" i="41" s="1"/>
  <c r="AN46" i="41" s="1"/>
  <c r="AC47" i="41"/>
  <c r="AC53" i="41"/>
  <c r="AC55" i="41"/>
  <c r="AQ56" i="41"/>
  <c r="U63" i="41"/>
  <c r="U64" i="41"/>
  <c r="U66" i="41"/>
  <c r="U67" i="41"/>
  <c r="R68" i="41"/>
  <c r="S68" i="41" s="1"/>
  <c r="U69" i="41"/>
  <c r="U70" i="41"/>
  <c r="U71" i="41"/>
  <c r="U73" i="41"/>
  <c r="AA74" i="41"/>
  <c r="S78" i="41"/>
  <c r="W78" i="41"/>
  <c r="AH78" i="41"/>
  <c r="T81" i="41"/>
  <c r="AV70" i="41"/>
  <c r="Q93" i="41"/>
  <c r="U75" i="41"/>
  <c r="AA75" i="41"/>
  <c r="AJ49" i="41"/>
  <c r="AI50" i="41"/>
  <c r="AJ50" i="41" s="1"/>
  <c r="AH47" i="41"/>
  <c r="AH32" i="41"/>
  <c r="Z17" i="41"/>
  <c r="AH46" i="41"/>
  <c r="AL43" i="41"/>
  <c r="AG42" i="41"/>
  <c r="AH42" i="41" s="1"/>
  <c r="AH43" i="41"/>
  <c r="AB104" i="41"/>
  <c r="AC102" i="41"/>
  <c r="AM40" i="41"/>
  <c r="AO40" i="41"/>
  <c r="AN36" i="41"/>
  <c r="AM32" i="41"/>
  <c r="AN18" i="41"/>
  <c r="AM18" i="41"/>
  <c r="AM38" i="41"/>
  <c r="AN38" i="41"/>
  <c r="AO38" i="41" s="1"/>
  <c r="AN31" i="41"/>
  <c r="AU22" i="41"/>
  <c r="Z42" i="41"/>
  <c r="AL44" i="41"/>
  <c r="AL42" i="41" s="1"/>
  <c r="AM42" i="41" s="1"/>
  <c r="AH23" i="41"/>
  <c r="AL22" i="41"/>
  <c r="AH21" i="41"/>
  <c r="AL21" i="41"/>
  <c r="AN21" i="41" s="1"/>
  <c r="AL20" i="41"/>
  <c r="AN24" i="41"/>
  <c r="AO24" i="41" s="1"/>
  <c r="AM24" i="41"/>
  <c r="AN37" i="41"/>
  <c r="AO37" i="41" s="1"/>
  <c r="AM37" i="41"/>
  <c r="AM19" i="41"/>
  <c r="AN19" i="41"/>
  <c r="AG17" i="41"/>
  <c r="AH17" i="41" s="1"/>
  <c r="U81" i="41"/>
  <c r="T78" i="41"/>
  <c r="U78" i="41" s="1"/>
  <c r="AO31" i="41"/>
  <c r="AN43" i="41"/>
  <c r="AO43" i="41" s="1"/>
  <c r="AM43" i="41"/>
  <c r="AM20" i="41"/>
  <c r="AN20" i="41"/>
  <c r="AO20" i="41" s="1"/>
  <c r="AM21" i="41"/>
  <c r="AO21" i="41"/>
  <c r="AM44" i="41"/>
  <c r="AO18" i="41"/>
  <c r="AM46" i="41"/>
  <c r="AO46" i="41"/>
  <c r="J26" i="39"/>
  <c r="K52" i="39"/>
  <c r="J52" i="39"/>
  <c r="C75" i="40"/>
  <c r="F54" i="40"/>
  <c r="F53" i="40"/>
  <c r="G53" i="40" s="1"/>
  <c r="F52" i="40"/>
  <c r="G52" i="40" s="1"/>
  <c r="F51" i="40"/>
  <c r="F50" i="40"/>
  <c r="F39" i="40"/>
  <c r="C37" i="40"/>
  <c r="C36" i="40"/>
  <c r="C34" i="40"/>
  <c r="C33" i="40"/>
  <c r="C32" i="40"/>
  <c r="C31" i="40"/>
  <c r="C30" i="40"/>
  <c r="C29" i="40"/>
  <c r="C28" i="40"/>
  <c r="C27" i="40"/>
  <c r="C26" i="40"/>
  <c r="C25" i="40"/>
  <c r="C23" i="40"/>
  <c r="C22" i="40"/>
  <c r="C21" i="40"/>
  <c r="C20" i="40"/>
  <c r="C19" i="40"/>
  <c r="C18" i="40"/>
  <c r="C17" i="40"/>
  <c r="C16" i="40"/>
  <c r="C15" i="40"/>
  <c r="F11" i="40"/>
  <c r="C11" i="40"/>
  <c r="F95" i="39"/>
  <c r="D95" i="39"/>
  <c r="C88" i="39"/>
  <c r="E86" i="39"/>
  <c r="E85" i="39"/>
  <c r="E84" i="39"/>
  <c r="E81" i="39"/>
  <c r="E80" i="39"/>
  <c r="E79" i="39"/>
  <c r="F78" i="39"/>
  <c r="F93" i="39" s="1"/>
  <c r="D78" i="39"/>
  <c r="E78" i="39"/>
  <c r="D93" i="39"/>
  <c r="D97" i="39" s="1"/>
  <c r="D102" i="39" s="1"/>
  <c r="D104" i="39" s="1"/>
  <c r="E75" i="39"/>
  <c r="E74" i="39"/>
  <c r="E73" i="39"/>
  <c r="E72" i="39"/>
  <c r="E71" i="39"/>
  <c r="E70" i="39"/>
  <c r="E69" i="39"/>
  <c r="F68" i="39"/>
  <c r="G68" i="39" s="1"/>
  <c r="D68" i="39"/>
  <c r="E68" i="39" s="1"/>
  <c r="E67" i="39"/>
  <c r="E66" i="39"/>
  <c r="E65" i="39"/>
  <c r="E64" i="39"/>
  <c r="E63" i="39"/>
  <c r="F62" i="39"/>
  <c r="G62" i="39" s="1"/>
  <c r="D62" i="39"/>
  <c r="E62" i="39" s="1"/>
  <c r="E61" i="39"/>
  <c r="E60" i="39"/>
  <c r="E59" i="39"/>
  <c r="E58" i="39"/>
  <c r="E57" i="39"/>
  <c r="E56" i="39"/>
  <c r="E55" i="39"/>
  <c r="E54" i="39"/>
  <c r="E53" i="39"/>
  <c r="E52" i="39"/>
  <c r="F51" i="39"/>
  <c r="D51" i="39"/>
  <c r="C50" i="39"/>
  <c r="C49" i="39"/>
  <c r="E48" i="39"/>
  <c r="E47" i="39"/>
  <c r="C47" i="39"/>
  <c r="E46" i="39"/>
  <c r="C46" i="39"/>
  <c r="E45" i="39"/>
  <c r="C45" i="39"/>
  <c r="E44" i="39"/>
  <c r="C44" i="39"/>
  <c r="E43" i="39"/>
  <c r="C43" i="39"/>
  <c r="E42" i="39"/>
  <c r="C42" i="39"/>
  <c r="E41" i="39"/>
  <c r="C41" i="39"/>
  <c r="E40" i="39"/>
  <c r="C40" i="39"/>
  <c r="E39" i="39"/>
  <c r="C39" i="39"/>
  <c r="E38" i="39"/>
  <c r="C38" i="39"/>
  <c r="E37" i="39"/>
  <c r="C37" i="39"/>
  <c r="F35" i="39"/>
  <c r="E36" i="39"/>
  <c r="C36" i="39"/>
  <c r="E35" i="39"/>
  <c r="C35" i="39"/>
  <c r="E34" i="39"/>
  <c r="C34" i="39"/>
  <c r="E33" i="39"/>
  <c r="C33" i="39"/>
  <c r="E32" i="39"/>
  <c r="C32" i="39"/>
  <c r="E31" i="39"/>
  <c r="C31" i="39"/>
  <c r="E30" i="39"/>
  <c r="C30" i="39"/>
  <c r="E29" i="39"/>
  <c r="C29" i="39"/>
  <c r="E28" i="39"/>
  <c r="C28" i="39"/>
  <c r="E27" i="39"/>
  <c r="C27" i="39"/>
  <c r="E26" i="39"/>
  <c r="C26" i="39"/>
  <c r="E25" i="39"/>
  <c r="C25" i="39"/>
  <c r="E24" i="39"/>
  <c r="C24" i="39"/>
  <c r="E23" i="39"/>
  <c r="C23" i="39"/>
  <c r="E22" i="39"/>
  <c r="C22" i="39"/>
  <c r="E21" i="39"/>
  <c r="C21" i="39"/>
  <c r="E20" i="39"/>
  <c r="C20" i="39"/>
  <c r="E19" i="39"/>
  <c r="C19" i="39"/>
  <c r="E18" i="39"/>
  <c r="C18" i="39"/>
  <c r="F17" i="39"/>
  <c r="E17" i="39"/>
  <c r="C17" i="39"/>
  <c r="D16" i="39"/>
  <c r="E16" i="39" s="1"/>
  <c r="C16" i="39"/>
  <c r="C15" i="39"/>
  <c r="C14" i="39"/>
  <c r="F11" i="39"/>
  <c r="G33" i="39" s="1"/>
  <c r="C11" i="39"/>
  <c r="F25" i="39"/>
  <c r="G39" i="40"/>
  <c r="G29" i="39"/>
  <c r="G35" i="39"/>
  <c r="G17" i="39"/>
  <c r="G24" i="39"/>
  <c r="F30" i="39"/>
  <c r="G30" i="39" s="1"/>
  <c r="G32" i="39"/>
  <c r="D49" i="39"/>
  <c r="G36" i="39"/>
  <c r="G19" i="39"/>
  <c r="G20" i="39"/>
  <c r="G22" i="39"/>
  <c r="G23" i="39"/>
  <c r="G26" i="39"/>
  <c r="G31" i="39"/>
  <c r="G86" i="39"/>
  <c r="G84" i="39"/>
  <c r="G81" i="39"/>
  <c r="G80" i="39"/>
  <c r="G78" i="39"/>
  <c r="G60" i="39"/>
  <c r="G59" i="39"/>
  <c r="G58" i="39"/>
  <c r="G55" i="39"/>
  <c r="G54" i="39"/>
  <c r="G53" i="39"/>
  <c r="G47" i="39"/>
  <c r="G45" i="39"/>
  <c r="G41" i="39"/>
  <c r="G37" i="39"/>
  <c r="G75" i="39"/>
  <c r="G73" i="39"/>
  <c r="G71" i="39"/>
  <c r="G70" i="39"/>
  <c r="G69" i="39"/>
  <c r="G66" i="39"/>
  <c r="G65" i="39"/>
  <c r="G64" i="39"/>
  <c r="G56" i="39"/>
  <c r="G48" i="39"/>
  <c r="D90" i="39"/>
  <c r="G38" i="39"/>
  <c r="G40" i="39"/>
  <c r="F42" i="39"/>
  <c r="G44" i="39"/>
  <c r="G46" i="39"/>
  <c r="E51" i="39"/>
  <c r="G42" i="39"/>
  <c r="F9" i="39"/>
  <c r="F8" i="39"/>
  <c r="F101" i="10"/>
  <c r="C94" i="10"/>
  <c r="P6" i="31"/>
  <c r="P7" i="31"/>
  <c r="P5" i="31"/>
  <c r="D16" i="10"/>
  <c r="E43" i="36"/>
  <c r="G43" i="36"/>
  <c r="I43" i="36"/>
  <c r="L18" i="36"/>
  <c r="M13" i="36"/>
  <c r="L13" i="36"/>
  <c r="D7" i="36"/>
  <c r="C7" i="36"/>
  <c r="D78" i="36"/>
  <c r="D77" i="36"/>
  <c r="D76" i="36"/>
  <c r="D73" i="36"/>
  <c r="D72" i="36"/>
  <c r="D71" i="36"/>
  <c r="D67" i="36"/>
  <c r="D66" i="36"/>
  <c r="D65" i="36"/>
  <c r="D64" i="36"/>
  <c r="D63" i="36"/>
  <c r="D62" i="36"/>
  <c r="D61" i="36"/>
  <c r="D59" i="36"/>
  <c r="D58" i="36"/>
  <c r="D57" i="36"/>
  <c r="D56" i="36"/>
  <c r="D55" i="36"/>
  <c r="D53" i="36"/>
  <c r="D52" i="36"/>
  <c r="D51" i="36"/>
  <c r="D50" i="36"/>
  <c r="D49" i="36"/>
  <c r="D48" i="36"/>
  <c r="D47" i="36"/>
  <c r="D46" i="36"/>
  <c r="D45" i="36"/>
  <c r="D44" i="36"/>
  <c r="D40" i="36"/>
  <c r="D39" i="36"/>
  <c r="D38" i="36"/>
  <c r="D37" i="36"/>
  <c r="D36" i="36"/>
  <c r="D35" i="36"/>
  <c r="D33" i="36"/>
  <c r="D32" i="36"/>
  <c r="D31" i="36"/>
  <c r="D30" i="36"/>
  <c r="D29" i="36"/>
  <c r="D28" i="36"/>
  <c r="D26" i="36"/>
  <c r="D25" i="36"/>
  <c r="D24" i="36"/>
  <c r="D23" i="36"/>
  <c r="D21" i="36"/>
  <c r="D20" i="36"/>
  <c r="D19" i="36"/>
  <c r="D18" i="36"/>
  <c r="D16" i="36"/>
  <c r="D15" i="36"/>
  <c r="D14" i="36"/>
  <c r="D13" i="36"/>
  <c r="D12" i="36"/>
  <c r="D11" i="36"/>
  <c r="D10" i="36"/>
  <c r="C70" i="36"/>
  <c r="D70" i="36" s="1"/>
  <c r="C60" i="36"/>
  <c r="D60" i="36"/>
  <c r="C54" i="36"/>
  <c r="D54" i="36" s="1"/>
  <c r="C43" i="36"/>
  <c r="D43" i="36"/>
  <c r="C34" i="36"/>
  <c r="D34" i="36" s="1"/>
  <c r="C27" i="36"/>
  <c r="D27" i="36"/>
  <c r="C22" i="36"/>
  <c r="D22" i="36" s="1"/>
  <c r="C17" i="36"/>
  <c r="D17" i="36"/>
  <c r="C9" i="36"/>
  <c r="D9" i="36" s="1"/>
  <c r="J52" i="36"/>
  <c r="J40" i="36"/>
  <c r="I40" i="36"/>
  <c r="I39" i="36"/>
  <c r="I38" i="36"/>
  <c r="I37" i="36"/>
  <c r="I36" i="36"/>
  <c r="I35" i="36"/>
  <c r="I33" i="36"/>
  <c r="I32" i="36"/>
  <c r="I31" i="36"/>
  <c r="I30" i="36"/>
  <c r="I29" i="36"/>
  <c r="I28" i="36"/>
  <c r="I26" i="36"/>
  <c r="I25" i="36"/>
  <c r="I24" i="36"/>
  <c r="I23" i="36"/>
  <c r="I21" i="36"/>
  <c r="I20" i="36"/>
  <c r="I19" i="36"/>
  <c r="I18" i="36"/>
  <c r="I16" i="36"/>
  <c r="I15" i="36"/>
  <c r="I14" i="36"/>
  <c r="I13" i="36"/>
  <c r="I12" i="36"/>
  <c r="I11" i="36"/>
  <c r="I10" i="36"/>
  <c r="H78" i="36"/>
  <c r="H77" i="36"/>
  <c r="H76" i="36"/>
  <c r="H74" i="36"/>
  <c r="H73" i="36"/>
  <c r="H72" i="36"/>
  <c r="H71" i="36"/>
  <c r="H67" i="36"/>
  <c r="H66" i="36"/>
  <c r="H65" i="36"/>
  <c r="H64" i="36"/>
  <c r="H63" i="36"/>
  <c r="H62" i="36"/>
  <c r="H61" i="36"/>
  <c r="H59" i="36"/>
  <c r="H58" i="36"/>
  <c r="H57" i="36"/>
  <c r="H56" i="36"/>
  <c r="H55" i="36"/>
  <c r="H53" i="36"/>
  <c r="H52" i="36"/>
  <c r="H51" i="36"/>
  <c r="H50" i="36"/>
  <c r="H49" i="36"/>
  <c r="H48" i="36"/>
  <c r="H47" i="36"/>
  <c r="H46" i="36"/>
  <c r="H45" i="36"/>
  <c r="H44" i="36"/>
  <c r="H43" i="36"/>
  <c r="H40" i="36"/>
  <c r="H39" i="36"/>
  <c r="H38" i="36"/>
  <c r="H37" i="36"/>
  <c r="H36" i="36"/>
  <c r="H35" i="36"/>
  <c r="H33" i="36"/>
  <c r="H32" i="36"/>
  <c r="H31" i="36"/>
  <c r="H30" i="36"/>
  <c r="H29" i="36"/>
  <c r="H28" i="36"/>
  <c r="H26" i="36"/>
  <c r="H25" i="36"/>
  <c r="H24" i="36"/>
  <c r="H23" i="36"/>
  <c r="H21" i="36"/>
  <c r="H20" i="36"/>
  <c r="H19" i="36"/>
  <c r="H18" i="36"/>
  <c r="H16" i="36"/>
  <c r="H15" i="36"/>
  <c r="H14" i="36"/>
  <c r="H13" i="36"/>
  <c r="H12" i="36"/>
  <c r="H11" i="36"/>
  <c r="H10" i="36"/>
  <c r="G60" i="36"/>
  <c r="H60" i="36" s="1"/>
  <c r="G54" i="36"/>
  <c r="G70" i="36"/>
  <c r="H70" i="36" s="1"/>
  <c r="G79" i="36"/>
  <c r="G75" i="36" s="1"/>
  <c r="H75" i="36"/>
  <c r="G34" i="36"/>
  <c r="J34" i="36" s="1"/>
  <c r="E34" i="36"/>
  <c r="F34" i="36" s="1"/>
  <c r="G27" i="36"/>
  <c r="H27" i="36"/>
  <c r="E27" i="36"/>
  <c r="E8" i="36" s="1"/>
  <c r="G22" i="36"/>
  <c r="E22" i="36"/>
  <c r="I22" i="36"/>
  <c r="G17" i="36"/>
  <c r="H17" i="36" s="1"/>
  <c r="E17" i="36"/>
  <c r="G9" i="36"/>
  <c r="H9" i="36" s="1"/>
  <c r="E9" i="36"/>
  <c r="F40" i="36"/>
  <c r="J10" i="36"/>
  <c r="J11" i="36"/>
  <c r="J12" i="36"/>
  <c r="J13" i="36"/>
  <c r="J14" i="36"/>
  <c r="J15" i="36"/>
  <c r="J16" i="36"/>
  <c r="J18" i="36"/>
  <c r="J19" i="36"/>
  <c r="J20" i="36"/>
  <c r="J21" i="36"/>
  <c r="J23" i="36"/>
  <c r="J24" i="36"/>
  <c r="J25" i="36"/>
  <c r="J26" i="36"/>
  <c r="J28" i="36"/>
  <c r="J29" i="36"/>
  <c r="J30" i="36"/>
  <c r="J31" i="36"/>
  <c r="J32" i="36"/>
  <c r="J33" i="36"/>
  <c r="J35" i="36"/>
  <c r="J36" i="36"/>
  <c r="J37" i="36"/>
  <c r="J38" i="36"/>
  <c r="J39" i="36"/>
  <c r="I44" i="36"/>
  <c r="J44" i="36"/>
  <c r="I45" i="36"/>
  <c r="J45" i="36"/>
  <c r="I46" i="36"/>
  <c r="J46" i="36"/>
  <c r="I47" i="36"/>
  <c r="J47" i="36"/>
  <c r="I48" i="36"/>
  <c r="J48" i="36"/>
  <c r="I49" i="36"/>
  <c r="J49" i="36"/>
  <c r="I50" i="36"/>
  <c r="J50" i="36"/>
  <c r="I51" i="36"/>
  <c r="J51" i="36"/>
  <c r="I52" i="36"/>
  <c r="I53" i="36"/>
  <c r="J53" i="36"/>
  <c r="I55" i="36"/>
  <c r="J55" i="36"/>
  <c r="I56" i="36"/>
  <c r="J56" i="36"/>
  <c r="I57" i="36"/>
  <c r="J57" i="36"/>
  <c r="I58" i="36"/>
  <c r="J58" i="36"/>
  <c r="I59" i="36"/>
  <c r="J59" i="36"/>
  <c r="I61" i="36"/>
  <c r="J61" i="36"/>
  <c r="I62" i="36"/>
  <c r="J62" i="36"/>
  <c r="I63" i="36"/>
  <c r="J63" i="36"/>
  <c r="I64" i="36"/>
  <c r="J64" i="36"/>
  <c r="I65" i="36"/>
  <c r="J65" i="36"/>
  <c r="I66" i="36"/>
  <c r="J66" i="36"/>
  <c r="I67" i="36"/>
  <c r="J67" i="36"/>
  <c r="I71" i="36"/>
  <c r="J71" i="36"/>
  <c r="I72" i="36"/>
  <c r="J72" i="36"/>
  <c r="I73" i="36"/>
  <c r="J73" i="36"/>
  <c r="I76" i="36"/>
  <c r="J76" i="36"/>
  <c r="I77" i="36"/>
  <c r="J77" i="36"/>
  <c r="I78" i="36"/>
  <c r="J78" i="36"/>
  <c r="F78" i="36"/>
  <c r="F77" i="36"/>
  <c r="F76" i="36"/>
  <c r="F73" i="36"/>
  <c r="F72" i="36"/>
  <c r="F71" i="36"/>
  <c r="E70" i="36"/>
  <c r="F70" i="36" s="1"/>
  <c r="F67" i="36"/>
  <c r="F66" i="36"/>
  <c r="F65" i="36"/>
  <c r="F64" i="36"/>
  <c r="F63" i="36"/>
  <c r="F62" i="36"/>
  <c r="F61" i="36"/>
  <c r="E60" i="36"/>
  <c r="F59" i="36"/>
  <c r="F58" i="36"/>
  <c r="F57" i="36"/>
  <c r="F56" i="36"/>
  <c r="F55" i="36"/>
  <c r="E54" i="36"/>
  <c r="J54" i="36" s="1"/>
  <c r="F53" i="36"/>
  <c r="F52" i="36"/>
  <c r="F51" i="36"/>
  <c r="F50" i="36"/>
  <c r="F49" i="36"/>
  <c r="F48" i="36"/>
  <c r="F47" i="36"/>
  <c r="F46" i="36"/>
  <c r="F45" i="36"/>
  <c r="F44" i="36"/>
  <c r="J43" i="36"/>
  <c r="F39" i="36"/>
  <c r="F38" i="36"/>
  <c r="F37" i="36"/>
  <c r="F36" i="36"/>
  <c r="F35" i="36"/>
  <c r="F33" i="36"/>
  <c r="F32" i="36"/>
  <c r="F31" i="36"/>
  <c r="F30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J60" i="36"/>
  <c r="C8" i="36"/>
  <c r="H22" i="36"/>
  <c r="H54" i="36"/>
  <c r="I9" i="36"/>
  <c r="I17" i="36"/>
  <c r="D8" i="36"/>
  <c r="H79" i="36"/>
  <c r="J27" i="36"/>
  <c r="J22" i="36"/>
  <c r="I60" i="36"/>
  <c r="F60" i="36"/>
  <c r="E41" i="36"/>
  <c r="F41" i="36" s="1"/>
  <c r="F43" i="36"/>
  <c r="E20" i="30"/>
  <c r="E21" i="30"/>
  <c r="E22" i="30"/>
  <c r="E19" i="30"/>
  <c r="E14" i="30"/>
  <c r="E15" i="30"/>
  <c r="E12" i="30" s="1"/>
  <c r="G12" i="30" s="1"/>
  <c r="E13" i="30"/>
  <c r="E9" i="30"/>
  <c r="D58" i="29"/>
  <c r="D57" i="29"/>
  <c r="D53" i="29"/>
  <c r="D37" i="29"/>
  <c r="F68" i="32"/>
  <c r="D54" i="40"/>
  <c r="E54" i="40" s="1"/>
  <c r="D53" i="40"/>
  <c r="E53" i="40" s="1"/>
  <c r="D52" i="40"/>
  <c r="E52" i="40" s="1"/>
  <c r="H67" i="10"/>
  <c r="I67" i="10" s="1"/>
  <c r="H61" i="10"/>
  <c r="I61" i="10" s="1"/>
  <c r="F48" i="40"/>
  <c r="G48" i="40" s="1"/>
  <c r="D48" i="40"/>
  <c r="E48" i="40" s="1"/>
  <c r="C79" i="33"/>
  <c r="C37" i="33"/>
  <c r="C36" i="33"/>
  <c r="C34" i="33"/>
  <c r="C33" i="33"/>
  <c r="C32" i="33"/>
  <c r="C31" i="33"/>
  <c r="C30" i="33"/>
  <c r="C29" i="33"/>
  <c r="C28" i="33"/>
  <c r="C27" i="33"/>
  <c r="C26" i="33"/>
  <c r="C25" i="33"/>
  <c r="C23" i="33"/>
  <c r="C22" i="33"/>
  <c r="C21" i="33"/>
  <c r="C20" i="33"/>
  <c r="C19" i="33"/>
  <c r="C18" i="33"/>
  <c r="C17" i="33"/>
  <c r="C16" i="33"/>
  <c r="C15" i="33"/>
  <c r="C11" i="33"/>
  <c r="H56" i="32"/>
  <c r="I56" i="32" s="1"/>
  <c r="E8" i="30"/>
  <c r="E7" i="30" s="1"/>
  <c r="G7" i="30" s="1"/>
  <c r="E11" i="32"/>
  <c r="C81" i="32"/>
  <c r="C43" i="32"/>
  <c r="C42" i="32"/>
  <c r="C40" i="32"/>
  <c r="C39" i="32"/>
  <c r="C38" i="32"/>
  <c r="C37" i="32"/>
  <c r="C36" i="32"/>
  <c r="C35" i="32"/>
  <c r="C34" i="32"/>
  <c r="C33" i="32"/>
  <c r="C29" i="32"/>
  <c r="C28" i="32"/>
  <c r="C27" i="32"/>
  <c r="C23" i="32"/>
  <c r="C22" i="32"/>
  <c r="C21" i="32"/>
  <c r="C19" i="32"/>
  <c r="C18" i="32"/>
  <c r="C17" i="32"/>
  <c r="C16" i="32"/>
  <c r="C15" i="32"/>
  <c r="F9" i="32"/>
  <c r="F8" i="32"/>
  <c r="E91" i="10"/>
  <c r="E48" i="10"/>
  <c r="E90" i="10"/>
  <c r="E89" i="10"/>
  <c r="E84" i="10"/>
  <c r="E83" i="10"/>
  <c r="E69" i="10"/>
  <c r="E68" i="10"/>
  <c r="E67" i="10"/>
  <c r="E66" i="10"/>
  <c r="E65" i="10"/>
  <c r="E64" i="10"/>
  <c r="E63" i="10"/>
  <c r="E62" i="10"/>
  <c r="E60" i="10"/>
  <c r="E59" i="10"/>
  <c r="E58" i="10"/>
  <c r="E57" i="10"/>
  <c r="E56" i="10"/>
  <c r="E54" i="10"/>
  <c r="E53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4" i="10"/>
  <c r="E23" i="10"/>
  <c r="E22" i="10"/>
  <c r="E21" i="10"/>
  <c r="E20" i="10"/>
  <c r="E19" i="10"/>
  <c r="E18" i="10"/>
  <c r="E17" i="10"/>
  <c r="H82" i="10"/>
  <c r="I82" i="10" s="1"/>
  <c r="F99" i="10"/>
  <c r="E82" i="10"/>
  <c r="E75" i="10"/>
  <c r="E74" i="10"/>
  <c r="E73" i="10"/>
  <c r="E70" i="10"/>
  <c r="E61" i="10"/>
  <c r="D7" i="29"/>
  <c r="D22" i="40"/>
  <c r="E22" i="40" s="1"/>
  <c r="D21" i="29"/>
  <c r="D23" i="29"/>
  <c r="G53" i="32"/>
  <c r="D20" i="29"/>
  <c r="G48" i="10"/>
  <c r="G89" i="10"/>
  <c r="G84" i="10"/>
  <c r="G82" i="10"/>
  <c r="G69" i="10"/>
  <c r="G67" i="10"/>
  <c r="G65" i="10"/>
  <c r="G63" i="10"/>
  <c r="G59" i="10"/>
  <c r="G57" i="10"/>
  <c r="G55" i="10"/>
  <c r="G53" i="10"/>
  <c r="G90" i="10"/>
  <c r="G83" i="10"/>
  <c r="G68" i="10"/>
  <c r="G64" i="10"/>
  <c r="G60" i="10"/>
  <c r="G56" i="10"/>
  <c r="G52" i="10"/>
  <c r="G91" i="10"/>
  <c r="G66" i="10"/>
  <c r="G62" i="10"/>
  <c r="G58" i="10"/>
  <c r="G54" i="10"/>
  <c r="G73" i="10"/>
  <c r="G61" i="10"/>
  <c r="G75" i="10"/>
  <c r="G51" i="10"/>
  <c r="G74" i="10"/>
  <c r="G18" i="10"/>
  <c r="G21" i="10"/>
  <c r="G34" i="10"/>
  <c r="G32" i="10"/>
  <c r="G22" i="10"/>
  <c r="D73" i="40"/>
  <c r="E73" i="40" s="1"/>
  <c r="D75" i="33"/>
  <c r="U75" i="33" s="1"/>
  <c r="F73" i="40"/>
  <c r="G73" i="40" s="1"/>
  <c r="D21" i="40"/>
  <c r="E21" i="40" s="1"/>
  <c r="D11" i="29"/>
  <c r="G20" i="10"/>
  <c r="G27" i="10"/>
  <c r="G19" i="10"/>
  <c r="G23" i="10"/>
  <c r="G26" i="10"/>
  <c r="G28" i="10"/>
  <c r="G47" i="10"/>
  <c r="G24" i="10"/>
  <c r="G29" i="10"/>
  <c r="H17" i="10"/>
  <c r="I17" i="10" s="1"/>
  <c r="K17" i="10"/>
  <c r="D66" i="40"/>
  <c r="E66" i="40" s="1"/>
  <c r="D68" i="33"/>
  <c r="U68" i="33" s="1"/>
  <c r="D43" i="40"/>
  <c r="E43" i="40" s="1"/>
  <c r="D50" i="40"/>
  <c r="E50" i="40" s="1"/>
  <c r="D67" i="40"/>
  <c r="E67" i="40" s="1"/>
  <c r="D69" i="33"/>
  <c r="U69" i="33" s="1"/>
  <c r="D68" i="40"/>
  <c r="E68" i="40" s="1"/>
  <c r="D62" i="40"/>
  <c r="E62" i="40" s="1"/>
  <c r="D60" i="40"/>
  <c r="E60" i="40" s="1"/>
  <c r="D40" i="40"/>
  <c r="E40" i="40" s="1"/>
  <c r="D71" i="40"/>
  <c r="E71" i="40" s="1"/>
  <c r="D73" i="33"/>
  <c r="D56" i="40"/>
  <c r="E56" i="40" s="1"/>
  <c r="D59" i="40"/>
  <c r="E59" i="40" s="1"/>
  <c r="D57" i="40"/>
  <c r="E57" i="40" s="1"/>
  <c r="D35" i="40"/>
  <c r="E35" i="40" s="1"/>
  <c r="D46" i="40"/>
  <c r="E46" i="40" s="1"/>
  <c r="D72" i="40"/>
  <c r="E72" i="40" s="1"/>
  <c r="D74" i="33"/>
  <c r="U74" i="33" s="1"/>
  <c r="D41" i="40"/>
  <c r="E41" i="40" s="1"/>
  <c r="D51" i="40"/>
  <c r="E51" i="40" s="1"/>
  <c r="D47" i="40"/>
  <c r="E47" i="40" s="1"/>
  <c r="D45" i="40"/>
  <c r="E45" i="40" s="1"/>
  <c r="D44" i="40"/>
  <c r="E44" i="40" s="1"/>
  <c r="D61" i="40"/>
  <c r="E61" i="40" s="1"/>
  <c r="D24" i="40"/>
  <c r="E24" i="40" s="1"/>
  <c r="D18" i="40"/>
  <c r="E18" i="40" s="1"/>
  <c r="F66" i="40"/>
  <c r="G66" i="40" s="1"/>
  <c r="F68" i="33"/>
  <c r="W68" i="33" s="1"/>
  <c r="F43" i="40"/>
  <c r="G43" i="40" s="1"/>
  <c r="F67" i="40"/>
  <c r="G67" i="40" s="1"/>
  <c r="F69" i="33"/>
  <c r="F68" i="40"/>
  <c r="G68" i="40" s="1"/>
  <c r="F62" i="40"/>
  <c r="G62" i="40" s="1"/>
  <c r="F60" i="40"/>
  <c r="G60" i="40" s="1"/>
  <c r="F40" i="40"/>
  <c r="G40" i="40" s="1"/>
  <c r="F71" i="40"/>
  <c r="G71" i="40" s="1"/>
  <c r="F56" i="40"/>
  <c r="F59" i="40"/>
  <c r="G59" i="40" s="1"/>
  <c r="F57" i="40"/>
  <c r="G57" i="40" s="1"/>
  <c r="F42" i="40"/>
  <c r="G42" i="40" s="1"/>
  <c r="F35" i="40"/>
  <c r="G35" i="40" s="1"/>
  <c r="F44" i="40"/>
  <c r="G44" i="40" s="1"/>
  <c r="F61" i="40"/>
  <c r="G61" i="40" s="1"/>
  <c r="F24" i="40"/>
  <c r="G24" i="40" s="1"/>
  <c r="F46" i="40"/>
  <c r="G46" i="40" s="1"/>
  <c r="F72" i="40"/>
  <c r="G72" i="40" s="1"/>
  <c r="F41" i="40"/>
  <c r="G41" i="40" s="1"/>
  <c r="F47" i="40"/>
  <c r="G47" i="40" s="1"/>
  <c r="F45" i="40"/>
  <c r="G45" i="40" s="1"/>
  <c r="D28" i="40"/>
  <c r="E28" i="40" s="1"/>
  <c r="D29" i="40"/>
  <c r="E29" i="40" s="1"/>
  <c r="D23" i="40"/>
  <c r="E23" i="40" s="1"/>
  <c r="D19" i="40"/>
  <c r="E19" i="40" s="1"/>
  <c r="D27" i="40"/>
  <c r="D30" i="40"/>
  <c r="E30" i="40" s="1"/>
  <c r="D20" i="40"/>
  <c r="E20" i="40" s="1"/>
  <c r="D34" i="40"/>
  <c r="E34" i="40" s="1"/>
  <c r="D25" i="40"/>
  <c r="E25" i="40" s="1"/>
  <c r="D10" i="29"/>
  <c r="G25" i="10"/>
  <c r="G17" i="10"/>
  <c r="D8" i="29"/>
  <c r="D16" i="29"/>
  <c r="D45" i="29"/>
  <c r="D18" i="29"/>
  <c r="D12" i="29"/>
  <c r="D17" i="29"/>
  <c r="D9" i="29"/>
  <c r="D15" i="29"/>
  <c r="D13" i="29"/>
  <c r="G37" i="10"/>
  <c r="G44" i="10"/>
  <c r="G33" i="10"/>
  <c r="G38" i="10"/>
  <c r="G40" i="10"/>
  <c r="G43" i="10"/>
  <c r="G45" i="10"/>
  <c r="G46" i="10"/>
  <c r="G39" i="10"/>
  <c r="G41" i="10"/>
  <c r="D32" i="29"/>
  <c r="D31" i="29" s="1"/>
  <c r="D22" i="29"/>
  <c r="H30" i="10"/>
  <c r="I30" i="10" s="1"/>
  <c r="K30" i="10"/>
  <c r="H42" i="10"/>
  <c r="I42" i="10" s="1"/>
  <c r="K42" i="10"/>
  <c r="D35" i="29"/>
  <c r="D30" i="29"/>
  <c r="D26" i="29"/>
  <c r="D34" i="29"/>
  <c r="D29" i="29"/>
  <c r="D33" i="29"/>
  <c r="D28" i="29"/>
  <c r="D27" i="29"/>
  <c r="G42" i="10"/>
  <c r="G30" i="10"/>
  <c r="D25" i="29"/>
  <c r="D24" i="29" s="1"/>
  <c r="G36" i="10"/>
  <c r="D52" i="29"/>
  <c r="D36" i="29"/>
  <c r="H35" i="10"/>
  <c r="I35" i="10" s="1"/>
  <c r="G35" i="10"/>
  <c r="F4" i="29"/>
  <c r="E11" i="30"/>
  <c r="F9" i="10"/>
  <c r="G88" i="10"/>
  <c r="C50" i="10"/>
  <c r="C49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D44" i="29"/>
  <c r="D19" i="29"/>
  <c r="E6" i="30" s="1"/>
  <c r="C16" i="10"/>
  <c r="C15" i="10"/>
  <c r="C14" i="10"/>
  <c r="C11" i="10"/>
  <c r="C11" i="32" s="1"/>
  <c r="F30" i="40"/>
  <c r="G30" i="40" s="1"/>
  <c r="F23" i="40"/>
  <c r="G23" i="40" s="1"/>
  <c r="F19" i="40"/>
  <c r="G19" i="40" s="1"/>
  <c r="F28" i="40"/>
  <c r="G28" i="40" s="1"/>
  <c r="F21" i="40"/>
  <c r="G21" i="40" s="1"/>
  <c r="F29" i="40"/>
  <c r="G29" i="40" s="1"/>
  <c r="F22" i="40"/>
  <c r="G22" i="40" s="1"/>
  <c r="F18" i="40"/>
  <c r="F34" i="40"/>
  <c r="G34" i="40" s="1"/>
  <c r="F25" i="40"/>
  <c r="G25" i="40" s="1"/>
  <c r="F20" i="40"/>
  <c r="G20" i="40" s="1"/>
  <c r="D14" i="29"/>
  <c r="E5" i="30" s="1"/>
  <c r="D6" i="29"/>
  <c r="F33" i="40"/>
  <c r="G33" i="40" s="1"/>
  <c r="D56" i="29"/>
  <c r="D55" i="29" s="1"/>
  <c r="E18" i="30"/>
  <c r="G18" i="30" s="1"/>
  <c r="F8" i="10"/>
  <c r="F9" i="33"/>
  <c r="F8" i="33"/>
  <c r="F8" i="40"/>
  <c r="F9" i="40"/>
  <c r="F58" i="40"/>
  <c r="G58" i="40" s="1"/>
  <c r="D58" i="40"/>
  <c r="E58" i="40" s="1"/>
  <c r="E52" i="10"/>
  <c r="D39" i="40"/>
  <c r="E39" i="40" s="1"/>
  <c r="E55" i="10"/>
  <c r="D51" i="10"/>
  <c r="K51" i="10" s="1"/>
  <c r="D42" i="40"/>
  <c r="E42" i="40" s="1"/>
  <c r="G93" i="10"/>
  <c r="F78" i="33"/>
  <c r="I48" i="32"/>
  <c r="G75" i="33"/>
  <c r="G20" i="32"/>
  <c r="M49" i="41"/>
  <c r="M50" i="41"/>
  <c r="H52" i="47"/>
  <c r="I52" i="47" s="1"/>
  <c r="F16" i="47"/>
  <c r="G16" i="47" s="1"/>
  <c r="K25" i="47"/>
  <c r="J49" i="48"/>
  <c r="G60" i="32"/>
  <c r="I47" i="32"/>
  <c r="G47" i="32"/>
  <c r="E8" i="47"/>
  <c r="G17" i="41"/>
  <c r="I35" i="41"/>
  <c r="R16" i="41"/>
  <c r="D5" i="29" l="1"/>
  <c r="D4" i="29" s="1"/>
  <c r="G4" i="29" s="1"/>
  <c r="E68" i="36"/>
  <c r="F8" i="36"/>
  <c r="D50" i="39"/>
  <c r="E50" i="39" s="1"/>
  <c r="D76" i="39"/>
  <c r="E49" i="39"/>
  <c r="AM22" i="41"/>
  <c r="AN22" i="41"/>
  <c r="AO22" i="41" s="1"/>
  <c r="AE30" i="41"/>
  <c r="AL29" i="41"/>
  <c r="AH29" i="41"/>
  <c r="AH27" i="41"/>
  <c r="AL27" i="41"/>
  <c r="E62" i="41"/>
  <c r="D49" i="41"/>
  <c r="D57" i="48"/>
  <c r="E70" i="47"/>
  <c r="E16" i="47"/>
  <c r="F57" i="33"/>
  <c r="G57" i="33" s="1"/>
  <c r="H70" i="10"/>
  <c r="I70" i="10" s="1"/>
  <c r="AO19" i="41"/>
  <c r="AL17" i="41"/>
  <c r="G70" i="10"/>
  <c r="E42" i="36"/>
  <c r="F42" i="36" s="1"/>
  <c r="F54" i="36"/>
  <c r="I70" i="36"/>
  <c r="C41" i="36"/>
  <c r="G41" i="36"/>
  <c r="G8" i="36"/>
  <c r="W68" i="41"/>
  <c r="U56" i="41"/>
  <c r="AA56" i="41"/>
  <c r="AA57" i="41"/>
  <c r="U57" i="41"/>
  <c r="U59" i="41"/>
  <c r="AA59" i="41"/>
  <c r="G25" i="39"/>
  <c r="F16" i="39"/>
  <c r="F103" i="10"/>
  <c r="J70" i="36"/>
  <c r="J17" i="36"/>
  <c r="I27" i="36"/>
  <c r="H34" i="36"/>
  <c r="J9" i="36"/>
  <c r="I34" i="36"/>
  <c r="F97" i="39"/>
  <c r="AN23" i="41"/>
  <c r="AO23" i="41" s="1"/>
  <c r="AM23" i="41"/>
  <c r="AM36" i="41"/>
  <c r="I54" i="36"/>
  <c r="F49" i="39"/>
  <c r="G51" i="39"/>
  <c r="AO36" i="41"/>
  <c r="AG104" i="41"/>
  <c r="AC104" i="41"/>
  <c r="AI17" i="41"/>
  <c r="AL50" i="41"/>
  <c r="AM50" i="41" s="1"/>
  <c r="AM49" i="41"/>
  <c r="AW22" i="41" s="1"/>
  <c r="AJ18" i="41"/>
  <c r="AI34" i="41"/>
  <c r="AJ34" i="41" s="1"/>
  <c r="AE34" i="41"/>
  <c r="AC35" i="41"/>
  <c r="Z35" i="41"/>
  <c r="G43" i="39"/>
  <c r="G74" i="39"/>
  <c r="G63" i="39"/>
  <c r="G67" i="39"/>
  <c r="G72" i="39"/>
  <c r="G39" i="39"/>
  <c r="G52" i="39"/>
  <c r="G57" i="39"/>
  <c r="G61" i="39"/>
  <c r="G79" i="39"/>
  <c r="G85" i="39"/>
  <c r="G28" i="39"/>
  <c r="G21" i="39"/>
  <c r="G34" i="39"/>
  <c r="G18" i="39"/>
  <c r="G27" i="39"/>
  <c r="G54" i="40"/>
  <c r="AJ21" i="41"/>
  <c r="AU37" i="41"/>
  <c r="AR49" i="41"/>
  <c r="AJ24" i="41"/>
  <c r="AB25" i="41"/>
  <c r="N49" i="41"/>
  <c r="F57" i="48"/>
  <c r="H70" i="47"/>
  <c r="I70" i="47" s="1"/>
  <c r="G70" i="47"/>
  <c r="G51" i="40"/>
  <c r="AN44" i="41"/>
  <c r="AI25" i="41"/>
  <c r="AJ25" i="41" s="1"/>
  <c r="AV22" i="41"/>
  <c r="AL41" i="41"/>
  <c r="AD17" i="41"/>
  <c r="AE18" i="41"/>
  <c r="AG26" i="41"/>
  <c r="AA26" i="41"/>
  <c r="AC26" i="41"/>
  <c r="AH28" i="41"/>
  <c r="AL28" i="41"/>
  <c r="AE40" i="41"/>
  <c r="AI40" i="41"/>
  <c r="AJ40" i="41" s="1"/>
  <c r="Z41" i="41"/>
  <c r="AC41" i="41"/>
  <c r="AV72" i="41"/>
  <c r="G27" i="40"/>
  <c r="I57" i="32"/>
  <c r="I64" i="32"/>
  <c r="AE38" i="41"/>
  <c r="AI38" i="41"/>
  <c r="AD35" i="41"/>
  <c r="AE35" i="41" s="1"/>
  <c r="AE44" i="41"/>
  <c r="AI44" i="41"/>
  <c r="AD42" i="41"/>
  <c r="AE42" i="41" s="1"/>
  <c r="AO49" i="41"/>
  <c r="AN50" i="41"/>
  <c r="AO50" i="41" s="1"/>
  <c r="Q62" i="41"/>
  <c r="P49" i="41"/>
  <c r="G67" i="47"/>
  <c r="H67" i="47"/>
  <c r="I67" i="47" s="1"/>
  <c r="G72" i="47"/>
  <c r="G82" i="47"/>
  <c r="F99" i="47"/>
  <c r="F103" i="47" s="1"/>
  <c r="H82" i="47"/>
  <c r="I82" i="47" s="1"/>
  <c r="D49" i="47"/>
  <c r="G27" i="33"/>
  <c r="G18" i="33"/>
  <c r="G60" i="33"/>
  <c r="G56" i="33"/>
  <c r="G47" i="33"/>
  <c r="J16" i="41"/>
  <c r="AA31" i="41"/>
  <c r="Z31" i="41"/>
  <c r="AB30" i="41"/>
  <c r="AG33" i="41"/>
  <c r="AA33" i="41"/>
  <c r="AG39" i="41"/>
  <c r="Z39" i="41"/>
  <c r="V49" i="41"/>
  <c r="Z62" i="41"/>
  <c r="D33" i="48"/>
  <c r="AL34" i="41"/>
  <c r="G19" i="48"/>
  <c r="E30" i="48"/>
  <c r="G42" i="47"/>
  <c r="K42" i="47"/>
  <c r="E41" i="48"/>
  <c r="E43" i="48"/>
  <c r="E45" i="48"/>
  <c r="H78" i="32"/>
  <c r="I78" i="32" s="1"/>
  <c r="F77" i="48"/>
  <c r="K77" i="48" s="1"/>
  <c r="K76" i="33"/>
  <c r="T16" i="41"/>
  <c r="U16" i="41" s="1"/>
  <c r="AS39" i="41"/>
  <c r="I36" i="32"/>
  <c r="E22" i="48"/>
  <c r="E24" i="48"/>
  <c r="E50" i="48"/>
  <c r="E69" i="48"/>
  <c r="F33" i="48"/>
  <c r="G30" i="33"/>
  <c r="G25" i="33"/>
  <c r="G21" i="33"/>
  <c r="G53" i="33"/>
  <c r="G51" i="33"/>
  <c r="G49" i="33"/>
  <c r="F49" i="10"/>
  <c r="G59" i="33"/>
  <c r="G46" i="33"/>
  <c r="G42" i="33"/>
  <c r="I92" i="10"/>
  <c r="I78" i="10"/>
  <c r="H63" i="33"/>
  <c r="Y63" i="33" s="1"/>
  <c r="H68" i="32"/>
  <c r="G32" i="33"/>
  <c r="G24" i="33"/>
  <c r="G20" i="33"/>
  <c r="G58" i="33"/>
  <c r="F48" i="33"/>
  <c r="G48" i="33" s="1"/>
  <c r="F74" i="32"/>
  <c r="G74" i="32" s="1"/>
  <c r="W76" i="33"/>
  <c r="U17" i="41"/>
  <c r="G25" i="48"/>
  <c r="G52" i="47"/>
  <c r="E4" i="30"/>
  <c r="G4" i="30" s="1"/>
  <c r="F16" i="41"/>
  <c r="F76" i="41" s="1"/>
  <c r="I18" i="32"/>
  <c r="I41" i="32"/>
  <c r="I58" i="32"/>
  <c r="I76" i="32"/>
  <c r="E42" i="48"/>
  <c r="E44" i="48"/>
  <c r="E46" i="48"/>
  <c r="E75" i="48"/>
  <c r="I68" i="32"/>
  <c r="E27" i="33"/>
  <c r="E18" i="33"/>
  <c r="H53" i="33"/>
  <c r="I53" i="33" s="1"/>
  <c r="H51" i="33"/>
  <c r="I51" i="33" s="1"/>
  <c r="J49" i="33"/>
  <c r="E40" i="33"/>
  <c r="K75" i="33"/>
  <c r="W75" i="33"/>
  <c r="E50" i="32"/>
  <c r="E62" i="32"/>
  <c r="G23" i="48"/>
  <c r="G56" i="48"/>
  <c r="G53" i="48"/>
  <c r="I45" i="32"/>
  <c r="I53" i="32"/>
  <c r="I59" i="32"/>
  <c r="F72" i="33"/>
  <c r="W72" i="33" s="1"/>
  <c r="E19" i="48"/>
  <c r="E21" i="48"/>
  <c r="E23" i="48"/>
  <c r="E25" i="48"/>
  <c r="E29" i="48"/>
  <c r="E35" i="48"/>
  <c r="E51" i="48"/>
  <c r="E53" i="48"/>
  <c r="E70" i="48"/>
  <c r="T62" i="41"/>
  <c r="U53" i="41"/>
  <c r="U60" i="41"/>
  <c r="R51" i="41"/>
  <c r="U55" i="41"/>
  <c r="U72" i="41"/>
  <c r="T68" i="41"/>
  <c r="U65" i="41"/>
  <c r="AS21" i="41" s="1"/>
  <c r="R62" i="41"/>
  <c r="S62" i="41" s="1"/>
  <c r="U73" i="33"/>
  <c r="D72" i="33"/>
  <c r="G78" i="33"/>
  <c r="W78" i="33"/>
  <c r="S51" i="41"/>
  <c r="T51" i="41"/>
  <c r="U52" i="41"/>
  <c r="AS20" i="41" s="1"/>
  <c r="AA58" i="41"/>
  <c r="H27" i="48"/>
  <c r="I27" i="48" s="1"/>
  <c r="G69" i="33"/>
  <c r="W69" i="33"/>
  <c r="F48" i="48"/>
  <c r="J48" i="48" s="1"/>
  <c r="G77" i="33"/>
  <c r="W77" i="33"/>
  <c r="F42" i="32"/>
  <c r="F43" i="32" s="1"/>
  <c r="G43" i="32" s="1"/>
  <c r="D42" i="32"/>
  <c r="E42" i="32" s="1"/>
  <c r="G63" i="33"/>
  <c r="W63" i="33"/>
  <c r="E38" i="32"/>
  <c r="E73" i="33"/>
  <c r="E74" i="33"/>
  <c r="E32" i="32"/>
  <c r="E45" i="33"/>
  <c r="E69" i="33"/>
  <c r="E68" i="33"/>
  <c r="E57" i="32"/>
  <c r="E30" i="33"/>
  <c r="E41" i="33"/>
  <c r="E75" i="33"/>
  <c r="E70" i="33"/>
  <c r="E60" i="33"/>
  <c r="E21" i="32"/>
  <c r="H68" i="33"/>
  <c r="H47" i="48"/>
  <c r="I47" i="48" s="1"/>
  <c r="D32" i="48"/>
  <c r="E32" i="48" s="1"/>
  <c r="H68" i="48"/>
  <c r="I68" i="48" s="1"/>
  <c r="D32" i="40"/>
  <c r="E32" i="40" s="1"/>
  <c r="I24" i="32"/>
  <c r="I62" i="32"/>
  <c r="I52" i="32"/>
  <c r="I37" i="32"/>
  <c r="I40" i="32"/>
  <c r="I23" i="32"/>
  <c r="D48" i="48"/>
  <c r="I46" i="32"/>
  <c r="I61" i="32"/>
  <c r="I51" i="32"/>
  <c r="G37" i="32"/>
  <c r="E76" i="32"/>
  <c r="E31" i="32"/>
  <c r="G27" i="32"/>
  <c r="G30" i="32"/>
  <c r="I75" i="32"/>
  <c r="E18" i="32"/>
  <c r="M75" i="33"/>
  <c r="H54" i="32"/>
  <c r="I54" i="32" s="1"/>
  <c r="I20" i="32"/>
  <c r="I25" i="32"/>
  <c r="I30" i="32"/>
  <c r="I34" i="32"/>
  <c r="I39" i="32"/>
  <c r="I50" i="32"/>
  <c r="I55" i="32"/>
  <c r="I60" i="32"/>
  <c r="I70" i="32"/>
  <c r="E17" i="32"/>
  <c r="J21" i="32"/>
  <c r="H52" i="33"/>
  <c r="I52" i="33" s="1"/>
  <c r="J50" i="33"/>
  <c r="I19" i="32"/>
  <c r="I29" i="32"/>
  <c r="I33" i="32"/>
  <c r="I38" i="32"/>
  <c r="I49" i="32"/>
  <c r="I69" i="32"/>
  <c r="I28" i="32"/>
  <c r="D48" i="33"/>
  <c r="E48" i="33" s="1"/>
  <c r="E49" i="32"/>
  <c r="E55" i="32"/>
  <c r="H44" i="32"/>
  <c r="I44" i="32" s="1"/>
  <c r="I22" i="32"/>
  <c r="I26" i="32"/>
  <c r="I31" i="32"/>
  <c r="H52" i="48"/>
  <c r="I52" i="48" s="1"/>
  <c r="F49" i="40"/>
  <c r="G49" i="40" s="1"/>
  <c r="H55" i="48"/>
  <c r="I55" i="48" s="1"/>
  <c r="H57" i="48"/>
  <c r="I57" i="48" s="1"/>
  <c r="H21" i="32"/>
  <c r="I21" i="32" s="1"/>
  <c r="F31" i="40"/>
  <c r="G31" i="40" s="1"/>
  <c r="H17" i="32"/>
  <c r="I17" i="32" s="1"/>
  <c r="J17" i="32"/>
  <c r="H35" i="32"/>
  <c r="I35" i="32" s="1"/>
  <c r="J35" i="32"/>
  <c r="H20" i="48"/>
  <c r="I20" i="48" s="1"/>
  <c r="K22" i="48"/>
  <c r="H41" i="48"/>
  <c r="I41" i="48" s="1"/>
  <c r="D26" i="48"/>
  <c r="E26" i="48" s="1"/>
  <c r="F32" i="40"/>
  <c r="G32" i="40" s="1"/>
  <c r="J27" i="32"/>
  <c r="F16" i="32"/>
  <c r="F32" i="48"/>
  <c r="J32" i="33"/>
  <c r="H27" i="32"/>
  <c r="I27" i="32" s="1"/>
  <c r="H22" i="48"/>
  <c r="I22" i="48" s="1"/>
  <c r="G55" i="48"/>
  <c r="H69" i="48"/>
  <c r="I69" i="48" s="1"/>
  <c r="K41" i="48"/>
  <c r="E27" i="48"/>
  <c r="H45" i="48"/>
  <c r="I45" i="48" s="1"/>
  <c r="D54" i="48"/>
  <c r="E54" i="48" s="1"/>
  <c r="H58" i="48"/>
  <c r="I58" i="48" s="1"/>
  <c r="H60" i="48"/>
  <c r="I60" i="48" s="1"/>
  <c r="D67" i="48"/>
  <c r="E67" i="48" s="1"/>
  <c r="H28" i="48"/>
  <c r="I28" i="48" s="1"/>
  <c r="G35" i="48"/>
  <c r="D38" i="48"/>
  <c r="E38" i="48" s="1"/>
  <c r="K16" i="10"/>
  <c r="F31" i="48"/>
  <c r="G31" i="48" s="1"/>
  <c r="E56" i="48"/>
  <c r="F54" i="48"/>
  <c r="G54" i="48" s="1"/>
  <c r="M68" i="48"/>
  <c r="H61" i="48"/>
  <c r="I61" i="48" s="1"/>
  <c r="D33" i="40"/>
  <c r="E33" i="40" s="1"/>
  <c r="D31" i="48"/>
  <c r="E31" i="48" s="1"/>
  <c r="D16" i="32"/>
  <c r="D31" i="33"/>
  <c r="E31" i="33" s="1"/>
  <c r="F33" i="33"/>
  <c r="G33" i="33" s="1"/>
  <c r="H40" i="48"/>
  <c r="I40" i="48" s="1"/>
  <c r="K40" i="48"/>
  <c r="F31" i="33"/>
  <c r="K43" i="48"/>
  <c r="I32" i="32"/>
  <c r="K21" i="48"/>
  <c r="E51" i="10"/>
  <c r="D49" i="10"/>
  <c r="H49" i="10" s="1"/>
  <c r="I49" i="10" s="1"/>
  <c r="H51" i="10"/>
  <c r="I51" i="10" s="1"/>
  <c r="E53" i="33"/>
  <c r="G16" i="41"/>
  <c r="G46" i="48"/>
  <c r="G52" i="48"/>
  <c r="G79" i="48"/>
  <c r="G40" i="48"/>
  <c r="J46" i="48"/>
  <c r="H56" i="48"/>
  <c r="I56" i="48" s="1"/>
  <c r="K17" i="41"/>
  <c r="S16" i="41"/>
  <c r="E34" i="48"/>
  <c r="E60" i="48"/>
  <c r="E40" i="48"/>
  <c r="E23" i="32"/>
  <c r="M78" i="33"/>
  <c r="E47" i="48"/>
  <c r="E28" i="48"/>
  <c r="D17" i="48"/>
  <c r="E17" i="48" s="1"/>
  <c r="E49" i="48"/>
  <c r="G75" i="32"/>
  <c r="G50" i="40"/>
  <c r="H44" i="48"/>
  <c r="I44" i="48" s="1"/>
  <c r="F73" i="48"/>
  <c r="M73" i="48" s="1"/>
  <c r="E18" i="48"/>
  <c r="G25" i="32"/>
  <c r="K42" i="48"/>
  <c r="G26" i="32"/>
  <c r="E77" i="33"/>
  <c r="E59" i="33"/>
  <c r="H39" i="33"/>
  <c r="I39" i="33" s="1"/>
  <c r="E74" i="48"/>
  <c r="G50" i="48"/>
  <c r="K44" i="48"/>
  <c r="G45" i="48"/>
  <c r="G42" i="48"/>
  <c r="H30" i="48"/>
  <c r="I30" i="48" s="1"/>
  <c r="G59" i="48"/>
  <c r="G49" i="48"/>
  <c r="E52" i="48"/>
  <c r="E55" i="48"/>
  <c r="E40" i="32"/>
  <c r="E27" i="32"/>
  <c r="E41" i="32"/>
  <c r="E57" i="48"/>
  <c r="E39" i="48"/>
  <c r="G18" i="32"/>
  <c r="G78" i="32"/>
  <c r="U25" i="41"/>
  <c r="G80" i="32"/>
  <c r="E60" i="32"/>
  <c r="G76" i="33"/>
  <c r="E68" i="48"/>
  <c r="G51" i="48"/>
  <c r="H53" i="48"/>
  <c r="I53" i="48" s="1"/>
  <c r="H16" i="10"/>
  <c r="I16" i="10" s="1"/>
  <c r="H41" i="33"/>
  <c r="I41" i="33" s="1"/>
  <c r="J22" i="33"/>
  <c r="J59" i="33"/>
  <c r="H47" i="33"/>
  <c r="I47" i="33" s="1"/>
  <c r="E39" i="33"/>
  <c r="J45" i="33"/>
  <c r="H40" i="33"/>
  <c r="I40" i="33" s="1"/>
  <c r="J40" i="33"/>
  <c r="F108" i="10"/>
  <c r="G103" i="10"/>
  <c r="E34" i="33"/>
  <c r="E29" i="33"/>
  <c r="E22" i="33"/>
  <c r="E56" i="33"/>
  <c r="E43" i="33"/>
  <c r="E35" i="33"/>
  <c r="E21" i="33"/>
  <c r="E19" i="33"/>
  <c r="E49" i="33"/>
  <c r="E58" i="33"/>
  <c r="G24" i="32"/>
  <c r="G48" i="32"/>
  <c r="G36" i="32"/>
  <c r="G46" i="32"/>
  <c r="G54" i="32"/>
  <c r="G57" i="32"/>
  <c r="G45" i="32"/>
  <c r="G76" i="32"/>
  <c r="G50" i="32"/>
  <c r="G68" i="32"/>
  <c r="G52" i="32"/>
  <c r="I79" i="32"/>
  <c r="I77" i="32"/>
  <c r="H19" i="48"/>
  <c r="I19" i="48" s="1"/>
  <c r="H25" i="48"/>
  <c r="I25" i="48" s="1"/>
  <c r="H42" i="48"/>
  <c r="I42" i="48" s="1"/>
  <c r="H43" i="48"/>
  <c r="I43" i="48" s="1"/>
  <c r="H78" i="48"/>
  <c r="I78" i="48" s="1"/>
  <c r="F26" i="48"/>
  <c r="E52" i="33"/>
  <c r="J42" i="33"/>
  <c r="F50" i="10"/>
  <c r="G50" i="10" s="1"/>
  <c r="M49" i="10"/>
  <c r="G49" i="10"/>
  <c r="F77" i="10"/>
  <c r="G77" i="10" s="1"/>
  <c r="J30" i="33"/>
  <c r="H23" i="33"/>
  <c r="I23" i="33" s="1"/>
  <c r="D54" i="33"/>
  <c r="E54" i="33" s="1"/>
  <c r="J35" i="33"/>
  <c r="E33" i="33"/>
  <c r="D17" i="33"/>
  <c r="E17" i="33" s="1"/>
  <c r="D65" i="40"/>
  <c r="E65" i="40" s="1"/>
  <c r="H75" i="33"/>
  <c r="E8" i="10"/>
  <c r="E9" i="10"/>
  <c r="E55" i="33"/>
  <c r="H35" i="33"/>
  <c r="I35" i="33" s="1"/>
  <c r="H61" i="33"/>
  <c r="I61" i="33" s="1"/>
  <c r="K44" i="33"/>
  <c r="E51" i="33"/>
  <c r="H49" i="33"/>
  <c r="I49" i="33" s="1"/>
  <c r="J20" i="33"/>
  <c r="J47" i="33"/>
  <c r="K24" i="33"/>
  <c r="J52" i="33"/>
  <c r="H18" i="33"/>
  <c r="I18" i="33" s="1"/>
  <c r="J18" i="33"/>
  <c r="F26" i="33"/>
  <c r="G26" i="33" s="1"/>
  <c r="J51" i="33"/>
  <c r="D55" i="40"/>
  <c r="E55" i="40" s="1"/>
  <c r="H77" i="33"/>
  <c r="H30" i="33"/>
  <c r="I30" i="33" s="1"/>
  <c r="H28" i="33"/>
  <c r="I28" i="33" s="1"/>
  <c r="H25" i="33"/>
  <c r="I25" i="33" s="1"/>
  <c r="J23" i="33"/>
  <c r="H21" i="33"/>
  <c r="I21" i="33" s="1"/>
  <c r="J29" i="33"/>
  <c r="E16" i="10"/>
  <c r="E25" i="33"/>
  <c r="E23" i="33"/>
  <c r="F67" i="33"/>
  <c r="J25" i="33"/>
  <c r="J28" i="33"/>
  <c r="E28" i="33"/>
  <c r="H59" i="33"/>
  <c r="I59" i="33" s="1"/>
  <c r="J46" i="33"/>
  <c r="K40" i="33"/>
  <c r="D67" i="33"/>
  <c r="G68" i="33"/>
  <c r="M68" i="33"/>
  <c r="J27" i="33"/>
  <c r="H20" i="33"/>
  <c r="I20" i="33" s="1"/>
  <c r="D26" i="40"/>
  <c r="E26" i="40" s="1"/>
  <c r="H16" i="47"/>
  <c r="I16" i="47" s="1"/>
  <c r="E9" i="47"/>
  <c r="K16" i="47"/>
  <c r="G18" i="40"/>
  <c r="F17" i="40"/>
  <c r="G17" i="40" s="1"/>
  <c r="M42" i="41"/>
  <c r="L16" i="41"/>
  <c r="Q42" i="41"/>
  <c r="P16" i="41"/>
  <c r="G49" i="41"/>
  <c r="F50" i="41"/>
  <c r="G50" i="41" s="1"/>
  <c r="K73" i="33"/>
  <c r="M73" i="33"/>
  <c r="K74" i="33"/>
  <c r="H74" i="33"/>
  <c r="J45" i="48"/>
  <c r="K45" i="48"/>
  <c r="J50" i="48"/>
  <c r="H50" i="48"/>
  <c r="I50" i="48" s="1"/>
  <c r="K74" i="48"/>
  <c r="M74" i="48"/>
  <c r="G74" i="48"/>
  <c r="H76" i="48"/>
  <c r="I76" i="48" s="1"/>
  <c r="K76" i="48"/>
  <c r="M76" i="48"/>
  <c r="G76" i="48"/>
  <c r="G34" i="33"/>
  <c r="J34" i="33"/>
  <c r="J61" i="33"/>
  <c r="E61" i="33"/>
  <c r="J57" i="33"/>
  <c r="H57" i="33"/>
  <c r="I57" i="33" s="1"/>
  <c r="E44" i="33"/>
  <c r="H44" i="33"/>
  <c r="I44" i="33" s="1"/>
  <c r="H42" i="33"/>
  <c r="I42" i="33" s="1"/>
  <c r="E42" i="33"/>
  <c r="D38" i="33"/>
  <c r="F51" i="47"/>
  <c r="G29" i="48"/>
  <c r="H29" i="48"/>
  <c r="I29" i="48" s="1"/>
  <c r="G55" i="33"/>
  <c r="J55" i="33"/>
  <c r="H55" i="33"/>
  <c r="I55" i="33" s="1"/>
  <c r="F54" i="33"/>
  <c r="G45" i="33"/>
  <c r="H45" i="33"/>
  <c r="I45" i="33" s="1"/>
  <c r="K43" i="33"/>
  <c r="H43" i="33"/>
  <c r="I43" i="33" s="1"/>
  <c r="G43" i="33"/>
  <c r="J41" i="33"/>
  <c r="K41" i="33"/>
  <c r="J39" i="33"/>
  <c r="G39" i="33"/>
  <c r="F38" i="33"/>
  <c r="E69" i="32"/>
  <c r="E77" i="32"/>
  <c r="E33" i="32"/>
  <c r="E51" i="32"/>
  <c r="E54" i="32"/>
  <c r="E20" i="32"/>
  <c r="E36" i="32"/>
  <c r="E68" i="32"/>
  <c r="E37" i="32"/>
  <c r="E61" i="32"/>
  <c r="E44" i="32"/>
  <c r="E26" i="32"/>
  <c r="E53" i="32"/>
  <c r="E25" i="32"/>
  <c r="E48" i="32"/>
  <c r="E59" i="32"/>
  <c r="E34" i="32"/>
  <c r="E79" i="32"/>
  <c r="E47" i="32"/>
  <c r="G56" i="40"/>
  <c r="F55" i="40"/>
  <c r="G55" i="40" s="1"/>
  <c r="G79" i="32"/>
  <c r="G77" i="32"/>
  <c r="G34" i="32"/>
  <c r="G55" i="32"/>
  <c r="G35" i="32"/>
  <c r="G59" i="32"/>
  <c r="G40" i="32"/>
  <c r="G23" i="32"/>
  <c r="G29" i="32"/>
  <c r="G56" i="32"/>
  <c r="G22" i="32"/>
  <c r="G28" i="32"/>
  <c r="G19" i="32"/>
  <c r="G38" i="32"/>
  <c r="G31" i="32"/>
  <c r="G44" i="32"/>
  <c r="G32" i="32"/>
  <c r="G17" i="32"/>
  <c r="G70" i="32"/>
  <c r="G51" i="32"/>
  <c r="G58" i="32"/>
  <c r="G62" i="32"/>
  <c r="G69" i="32"/>
  <c r="G49" i="32"/>
  <c r="G33" i="32"/>
  <c r="G39" i="32"/>
  <c r="G21" i="32"/>
  <c r="G61" i="32"/>
  <c r="G41" i="32"/>
  <c r="I49" i="41"/>
  <c r="H50" i="41"/>
  <c r="I50" i="41" s="1"/>
  <c r="D50" i="41"/>
  <c r="E50" i="41" s="1"/>
  <c r="E49" i="41"/>
  <c r="U35" i="41"/>
  <c r="AA35" i="41"/>
  <c r="H25" i="47"/>
  <c r="I25" i="47" s="1"/>
  <c r="G25" i="47"/>
  <c r="G57" i="48"/>
  <c r="G47" i="48"/>
  <c r="G43" i="48"/>
  <c r="G58" i="48"/>
  <c r="G28" i="48"/>
  <c r="G61" i="48"/>
  <c r="H18" i="48"/>
  <c r="I18" i="48" s="1"/>
  <c r="F17" i="48"/>
  <c r="G18" i="48"/>
  <c r="K24" i="48"/>
  <c r="G24" i="48"/>
  <c r="H33" i="48"/>
  <c r="I33" i="48" s="1"/>
  <c r="E33" i="48"/>
  <c r="G34" i="48"/>
  <c r="H34" i="48"/>
  <c r="I34" i="48" s="1"/>
  <c r="H35" i="48"/>
  <c r="I35" i="48" s="1"/>
  <c r="K35" i="48"/>
  <c r="E59" i="48"/>
  <c r="H59" i="48"/>
  <c r="I59" i="48" s="1"/>
  <c r="G68" i="48"/>
  <c r="F67" i="48"/>
  <c r="K32" i="33"/>
  <c r="H32" i="33"/>
  <c r="I32" i="33" s="1"/>
  <c r="E32" i="33"/>
  <c r="J21" i="33"/>
  <c r="K21" i="33"/>
  <c r="G29" i="33"/>
  <c r="H29" i="33"/>
  <c r="I29" i="33" s="1"/>
  <c r="H24" i="33"/>
  <c r="I24" i="33" s="1"/>
  <c r="J24" i="33"/>
  <c r="G22" i="33"/>
  <c r="H22" i="33"/>
  <c r="I22" i="33" s="1"/>
  <c r="K22" i="33"/>
  <c r="E50" i="33"/>
  <c r="H50" i="33"/>
  <c r="I50" i="33" s="1"/>
  <c r="J76" i="41"/>
  <c r="E39" i="32"/>
  <c r="E56" i="32"/>
  <c r="E22" i="32"/>
  <c r="E46" i="32"/>
  <c r="E58" i="32"/>
  <c r="E24" i="32"/>
  <c r="E46" i="33"/>
  <c r="G74" i="33"/>
  <c r="G75" i="48"/>
  <c r="E52" i="32"/>
  <c r="E70" i="32"/>
  <c r="E30" i="32"/>
  <c r="E57" i="33"/>
  <c r="J19" i="33"/>
  <c r="E29" i="32"/>
  <c r="H46" i="48"/>
  <c r="I46" i="48" s="1"/>
  <c r="F17" i="33"/>
  <c r="N16" i="41"/>
  <c r="K16" i="41"/>
  <c r="E10" i="30"/>
  <c r="G27" i="48"/>
  <c r="J60" i="33"/>
  <c r="H74" i="48"/>
  <c r="I74" i="48" s="1"/>
  <c r="K45" i="33"/>
  <c r="H49" i="48"/>
  <c r="I49" i="48" s="1"/>
  <c r="D16" i="41"/>
  <c r="J58" i="33"/>
  <c r="M74" i="33"/>
  <c r="F39" i="48"/>
  <c r="J56" i="33"/>
  <c r="H56" i="33"/>
  <c r="I56" i="33" s="1"/>
  <c r="H34" i="33"/>
  <c r="I34" i="33" s="1"/>
  <c r="G41" i="33"/>
  <c r="AA25" i="41"/>
  <c r="E35" i="32"/>
  <c r="E45" i="32"/>
  <c r="G78" i="48"/>
  <c r="E19" i="32"/>
  <c r="E28" i="32"/>
  <c r="H60" i="33"/>
  <c r="I60" i="33" s="1"/>
  <c r="H46" i="33"/>
  <c r="I46" i="33" s="1"/>
  <c r="K42" i="33"/>
  <c r="J44" i="33"/>
  <c r="H19" i="33"/>
  <c r="I19" i="33" s="1"/>
  <c r="K39" i="33"/>
  <c r="J43" i="33"/>
  <c r="G73" i="33"/>
  <c r="F38" i="40"/>
  <c r="G38" i="40" s="1"/>
  <c r="F65" i="40"/>
  <c r="G65" i="40" s="1"/>
  <c r="H73" i="33"/>
  <c r="E75" i="32"/>
  <c r="AA42" i="41"/>
  <c r="K49" i="41"/>
  <c r="M75" i="48"/>
  <c r="G20" i="48"/>
  <c r="G21" i="48"/>
  <c r="G22" i="48"/>
  <c r="G63" i="48"/>
  <c r="K35" i="33"/>
  <c r="D38" i="40"/>
  <c r="F26" i="40"/>
  <c r="G26" i="40" s="1"/>
  <c r="D17" i="40"/>
  <c r="E17" i="40" s="1"/>
  <c r="H69" i="33"/>
  <c r="H16" i="41"/>
  <c r="H76" i="41" s="1"/>
  <c r="E20" i="48"/>
  <c r="H21" i="48"/>
  <c r="I21" i="48" s="1"/>
  <c r="H23" i="48"/>
  <c r="I23" i="48" s="1"/>
  <c r="H24" i="48"/>
  <c r="I24" i="48" s="1"/>
  <c r="G33" i="48"/>
  <c r="G44" i="48"/>
  <c r="G60" i="48"/>
  <c r="G77" i="48"/>
  <c r="H27" i="33"/>
  <c r="I27" i="33" s="1"/>
  <c r="E20" i="33"/>
  <c r="J53" i="33"/>
  <c r="H58" i="33"/>
  <c r="I58" i="33" s="1"/>
  <c r="E47" i="33"/>
  <c r="G30" i="48"/>
  <c r="I16" i="41"/>
  <c r="E27" i="40"/>
  <c r="E58" i="48"/>
  <c r="G69" i="48"/>
  <c r="H51" i="48"/>
  <c r="I51" i="48" s="1"/>
  <c r="H75" i="48"/>
  <c r="I75" i="48" s="1"/>
  <c r="D26" i="33"/>
  <c r="M69" i="33"/>
  <c r="G41" i="48"/>
  <c r="E24" i="33"/>
  <c r="AH39" i="41" l="1"/>
  <c r="AL39" i="41"/>
  <c r="AG35" i="41"/>
  <c r="AH35" i="41" s="1"/>
  <c r="E49" i="47"/>
  <c r="D50" i="47"/>
  <c r="E50" i="47" s="1"/>
  <c r="AJ44" i="41"/>
  <c r="AI42" i="41"/>
  <c r="AJ42" i="41" s="1"/>
  <c r="AN41" i="41"/>
  <c r="AO41" i="41" s="1"/>
  <c r="AM41" i="41"/>
  <c r="N50" i="41"/>
  <c r="O50" i="41" s="1"/>
  <c r="O49" i="41"/>
  <c r="AJ17" i="41"/>
  <c r="AI30" i="41"/>
  <c r="G42" i="36"/>
  <c r="I41" i="36"/>
  <c r="J41" i="36"/>
  <c r="H41" i="36"/>
  <c r="AN29" i="41"/>
  <c r="AO29" i="41" s="1"/>
  <c r="AM29" i="41"/>
  <c r="Y76" i="33"/>
  <c r="AM28" i="41"/>
  <c r="AN28" i="41"/>
  <c r="AO28" i="41" s="1"/>
  <c r="AH26" i="41"/>
  <c r="AG25" i="41"/>
  <c r="AL26" i="41"/>
  <c r="AC25" i="41"/>
  <c r="Z25" i="41"/>
  <c r="AB16" i="41"/>
  <c r="AV37" i="41"/>
  <c r="C42" i="36"/>
  <c r="D42" i="36" s="1"/>
  <c r="D41" i="36"/>
  <c r="AN27" i="41"/>
  <c r="AO27" i="41" s="1"/>
  <c r="AM27" i="41"/>
  <c r="AU39" i="41"/>
  <c r="E74" i="36"/>
  <c r="E69" i="36"/>
  <c r="F69" i="36" s="1"/>
  <c r="F68" i="36"/>
  <c r="L16" i="32"/>
  <c r="W49" i="41"/>
  <c r="AT22" i="41" s="1"/>
  <c r="V76" i="41"/>
  <c r="V50" i="41"/>
  <c r="Z49" i="41"/>
  <c r="AH33" i="41"/>
  <c r="AG30" i="41"/>
  <c r="AH30" i="41" s="1"/>
  <c r="AL33" i="41"/>
  <c r="G103" i="47"/>
  <c r="F108" i="47"/>
  <c r="AL104" i="41"/>
  <c r="AH104" i="41"/>
  <c r="F50" i="39"/>
  <c r="G50" i="39" s="1"/>
  <c r="G49" i="39"/>
  <c r="G97" i="39"/>
  <c r="F102" i="39"/>
  <c r="E9" i="39"/>
  <c r="F90" i="39"/>
  <c r="E8" i="39"/>
  <c r="F76" i="39"/>
  <c r="G16" i="39"/>
  <c r="AM17" i="41"/>
  <c r="D82" i="39"/>
  <c r="D77" i="39"/>
  <c r="E76" i="39"/>
  <c r="C68" i="36"/>
  <c r="AM34" i="41"/>
  <c r="AN34" i="41"/>
  <c r="AO34" i="41" s="1"/>
  <c r="AA30" i="41"/>
  <c r="Z30" i="41"/>
  <c r="AC30" i="41"/>
  <c r="Q49" i="41"/>
  <c r="P50" i="41"/>
  <c r="Q50" i="41" s="1"/>
  <c r="AJ38" i="41"/>
  <c r="AI35" i="41"/>
  <c r="AJ35" i="41" s="1"/>
  <c r="AD16" i="41"/>
  <c r="AE17" i="41"/>
  <c r="AO44" i="41"/>
  <c r="AN42" i="41"/>
  <c r="AO42" i="41" s="1"/>
  <c r="G68" i="36"/>
  <c r="I8" i="36"/>
  <c r="H8" i="36"/>
  <c r="J8" i="36"/>
  <c r="L16" i="36"/>
  <c r="AN17" i="41"/>
  <c r="D77" i="47"/>
  <c r="AA62" i="41"/>
  <c r="U62" i="41"/>
  <c r="AA68" i="41"/>
  <c r="U68" i="41"/>
  <c r="R49" i="41"/>
  <c r="G48" i="48"/>
  <c r="AA51" i="41"/>
  <c r="T49" i="41"/>
  <c r="U51" i="41"/>
  <c r="H48" i="48"/>
  <c r="I48" i="48" s="1"/>
  <c r="I73" i="33"/>
  <c r="Y73" i="33"/>
  <c r="I68" i="33"/>
  <c r="Y68" i="33"/>
  <c r="F63" i="32"/>
  <c r="D43" i="32"/>
  <c r="I69" i="33"/>
  <c r="Y69" i="33"/>
  <c r="I74" i="33"/>
  <c r="Y74" i="33"/>
  <c r="I75" i="33"/>
  <c r="Y75" i="33"/>
  <c r="I77" i="33"/>
  <c r="Y77" i="33"/>
  <c r="H42" i="32"/>
  <c r="I42" i="32" s="1"/>
  <c r="G42" i="32"/>
  <c r="E67" i="33"/>
  <c r="U67" i="33"/>
  <c r="G67" i="33"/>
  <c r="W67" i="33"/>
  <c r="E48" i="48"/>
  <c r="J48" i="33"/>
  <c r="H48" i="33"/>
  <c r="I48" i="33" s="1"/>
  <c r="H32" i="48"/>
  <c r="I32" i="48" s="1"/>
  <c r="J16" i="32"/>
  <c r="H26" i="48"/>
  <c r="I26" i="48" s="1"/>
  <c r="G26" i="48"/>
  <c r="H17" i="48"/>
  <c r="I17" i="48" s="1"/>
  <c r="G32" i="48"/>
  <c r="K32" i="48"/>
  <c r="H16" i="32"/>
  <c r="I16" i="32" s="1"/>
  <c r="K26" i="48"/>
  <c r="G16" i="32"/>
  <c r="E9" i="32"/>
  <c r="E16" i="32"/>
  <c r="H67" i="48"/>
  <c r="I67" i="48" s="1"/>
  <c r="D36" i="48"/>
  <c r="J33" i="33"/>
  <c r="H54" i="48"/>
  <c r="I54" i="48" s="1"/>
  <c r="F79" i="10"/>
  <c r="H31" i="33"/>
  <c r="I31" i="33" s="1"/>
  <c r="G31" i="33"/>
  <c r="J31" i="33"/>
  <c r="H33" i="33"/>
  <c r="I33" i="33" s="1"/>
  <c r="H31" i="48"/>
  <c r="I31" i="48" s="1"/>
  <c r="D63" i="32"/>
  <c r="D72" i="32" s="1"/>
  <c r="D16" i="48"/>
  <c r="G63" i="32"/>
  <c r="E8" i="32"/>
  <c r="K49" i="10"/>
  <c r="D50" i="10"/>
  <c r="H50" i="10" s="1"/>
  <c r="I50" i="10" s="1"/>
  <c r="D77" i="10"/>
  <c r="E49" i="10"/>
  <c r="G76" i="41"/>
  <c r="F82" i="41"/>
  <c r="F77" i="41"/>
  <c r="G77" i="41" s="1"/>
  <c r="G73" i="48"/>
  <c r="D36" i="40"/>
  <c r="D37" i="40" s="1"/>
  <c r="E37" i="40" s="1"/>
  <c r="G108" i="10"/>
  <c r="F110" i="10"/>
  <c r="G110" i="10" s="1"/>
  <c r="M67" i="33"/>
  <c r="H67" i="33"/>
  <c r="F36" i="40"/>
  <c r="G36" i="40" s="1"/>
  <c r="E38" i="40"/>
  <c r="D16" i="40"/>
  <c r="E16" i="40" s="1"/>
  <c r="F16" i="40"/>
  <c r="G16" i="40" s="1"/>
  <c r="K39" i="48"/>
  <c r="H39" i="48"/>
  <c r="I39" i="48" s="1"/>
  <c r="F38" i="48"/>
  <c r="J38" i="48" s="1"/>
  <c r="G39" i="48"/>
  <c r="D76" i="41"/>
  <c r="E16" i="41"/>
  <c r="E17" i="30"/>
  <c r="G10" i="30"/>
  <c r="J17" i="33"/>
  <c r="H17" i="33"/>
  <c r="I17" i="33" s="1"/>
  <c r="G17" i="33"/>
  <c r="F16" i="33"/>
  <c r="G17" i="48"/>
  <c r="F16" i="48"/>
  <c r="H38" i="33"/>
  <c r="I38" i="33" s="1"/>
  <c r="J38" i="33"/>
  <c r="F36" i="33"/>
  <c r="G38" i="33"/>
  <c r="K38" i="33"/>
  <c r="H54" i="33"/>
  <c r="I54" i="33" s="1"/>
  <c r="G54" i="33"/>
  <c r="J54" i="33"/>
  <c r="D36" i="33"/>
  <c r="U36" i="33" s="1"/>
  <c r="E38" i="33"/>
  <c r="M72" i="33"/>
  <c r="G72" i="33"/>
  <c r="J39" i="48"/>
  <c r="O16" i="41"/>
  <c r="N76" i="41"/>
  <c r="J77" i="41"/>
  <c r="K77" i="41" s="1"/>
  <c r="K76" i="41"/>
  <c r="J82" i="41"/>
  <c r="G67" i="48"/>
  <c r="M67" i="48"/>
  <c r="H51" i="47"/>
  <c r="I51" i="47" s="1"/>
  <c r="K51" i="47"/>
  <c r="G51" i="47"/>
  <c r="F49" i="47"/>
  <c r="T1" i="41"/>
  <c r="P76" i="41"/>
  <c r="Q16" i="41"/>
  <c r="L76" i="41"/>
  <c r="M16" i="41"/>
  <c r="H82" i="41"/>
  <c r="H77" i="41"/>
  <c r="I77" i="41" s="1"/>
  <c r="I76" i="41"/>
  <c r="J26" i="33"/>
  <c r="D16" i="33"/>
  <c r="E26" i="33"/>
  <c r="K26" i="33"/>
  <c r="H26" i="33"/>
  <c r="I26" i="33" s="1"/>
  <c r="F86" i="32" l="1"/>
  <c r="F65" i="32"/>
  <c r="F72" i="32" s="1"/>
  <c r="AO17" i="41"/>
  <c r="G108" i="47"/>
  <c r="F110" i="47"/>
  <c r="G110" i="47" s="1"/>
  <c r="I74" i="36"/>
  <c r="J74" i="36"/>
  <c r="F74" i="36"/>
  <c r="E79" i="36"/>
  <c r="F80" i="10"/>
  <c r="G80" i="10" s="1"/>
  <c r="F86" i="10"/>
  <c r="G69" i="36"/>
  <c r="H68" i="36"/>
  <c r="J68" i="36"/>
  <c r="I68" i="36"/>
  <c r="AD76" i="41"/>
  <c r="AE16" i="41"/>
  <c r="D88" i="39"/>
  <c r="E77" i="39"/>
  <c r="H42" i="36"/>
  <c r="I42" i="36"/>
  <c r="J42" i="36"/>
  <c r="E82" i="39"/>
  <c r="D87" i="39"/>
  <c r="F82" i="39"/>
  <c r="F77" i="39"/>
  <c r="G76" i="39"/>
  <c r="F104" i="39"/>
  <c r="G104" i="39" s="1"/>
  <c r="G102" i="39"/>
  <c r="AL30" i="41"/>
  <c r="AM30" i="41" s="1"/>
  <c r="AM33" i="41"/>
  <c r="AN33" i="41"/>
  <c r="W50" i="41"/>
  <c r="Z50" i="41"/>
  <c r="AN26" i="41"/>
  <c r="AM26" i="41"/>
  <c r="AL25" i="41"/>
  <c r="AJ30" i="41"/>
  <c r="AV39" i="41"/>
  <c r="AN39" i="41"/>
  <c r="AM39" i="41"/>
  <c r="AL35" i="41"/>
  <c r="AM35" i="41" s="1"/>
  <c r="D79" i="47"/>
  <c r="E79" i="47" s="1"/>
  <c r="D80" i="47"/>
  <c r="E80" i="47" s="1"/>
  <c r="D86" i="47"/>
  <c r="E77" i="47"/>
  <c r="D68" i="36"/>
  <c r="C74" i="36"/>
  <c r="C69" i="36"/>
  <c r="D69" i="36" s="1"/>
  <c r="AN104" i="41"/>
  <c r="AO104" i="41" s="1"/>
  <c r="AM104" i="41"/>
  <c r="W76" i="41"/>
  <c r="V82" i="41"/>
  <c r="V77" i="41"/>
  <c r="W8" i="41"/>
  <c r="AC16" i="41"/>
  <c r="AG7" i="41"/>
  <c r="AB90" i="41"/>
  <c r="AB76" i="41"/>
  <c r="W9" i="41"/>
  <c r="AH25" i="41"/>
  <c r="AG16" i="41"/>
  <c r="AI16" i="41"/>
  <c r="AJ16" i="41" s="1"/>
  <c r="W16" i="33"/>
  <c r="U16" i="33"/>
  <c r="S49" i="41"/>
  <c r="R50" i="41"/>
  <c r="S50" i="41" s="1"/>
  <c r="R89" i="41"/>
  <c r="R76" i="41"/>
  <c r="W36" i="33"/>
  <c r="T36" i="33"/>
  <c r="H77" i="10"/>
  <c r="I77" i="10" s="1"/>
  <c r="D86" i="10"/>
  <c r="U49" i="41"/>
  <c r="AS22" i="41" s="1"/>
  <c r="AA49" i="41"/>
  <c r="T50" i="41"/>
  <c r="T76" i="41"/>
  <c r="H65" i="32"/>
  <c r="E43" i="32"/>
  <c r="H43" i="32"/>
  <c r="I43" i="32" s="1"/>
  <c r="D86" i="32"/>
  <c r="D66" i="32"/>
  <c r="E66" i="32" s="1"/>
  <c r="D65" i="32"/>
  <c r="E65" i="32" s="1"/>
  <c r="I67" i="33"/>
  <c r="Y67" i="33"/>
  <c r="G86" i="32"/>
  <c r="E36" i="48"/>
  <c r="D37" i="48"/>
  <c r="E37" i="48" s="1"/>
  <c r="K12" i="48"/>
  <c r="G79" i="10"/>
  <c r="K79" i="10"/>
  <c r="K86" i="10"/>
  <c r="E77" i="10"/>
  <c r="D62" i="48"/>
  <c r="E16" i="48"/>
  <c r="F66" i="32"/>
  <c r="G65" i="32"/>
  <c r="H63" i="32"/>
  <c r="I63" i="32" s="1"/>
  <c r="K11" i="48"/>
  <c r="E63" i="32"/>
  <c r="E86" i="32" s="1"/>
  <c r="K50" i="10"/>
  <c r="E50" i="10"/>
  <c r="D80" i="10"/>
  <c r="D79" i="10"/>
  <c r="H79" i="10" s="1"/>
  <c r="I79" i="10" s="1"/>
  <c r="G82" i="41"/>
  <c r="F87" i="41"/>
  <c r="E36" i="40"/>
  <c r="F37" i="40"/>
  <c r="G37" i="40" s="1"/>
  <c r="E9" i="40"/>
  <c r="G86" i="10"/>
  <c r="F63" i="40"/>
  <c r="G63" i="40" s="1"/>
  <c r="E8" i="40"/>
  <c r="D63" i="40"/>
  <c r="E63" i="40" s="1"/>
  <c r="L77" i="41"/>
  <c r="M77" i="41" s="1"/>
  <c r="M76" i="41"/>
  <c r="L82" i="41"/>
  <c r="P77" i="41"/>
  <c r="Q77" i="41" s="1"/>
  <c r="Q76" i="41"/>
  <c r="P82" i="41"/>
  <c r="K49" i="47"/>
  <c r="M49" i="47"/>
  <c r="F77" i="47"/>
  <c r="F50" i="47"/>
  <c r="H49" i="47"/>
  <c r="I49" i="47" s="1"/>
  <c r="G49" i="47"/>
  <c r="N77" i="41"/>
  <c r="O77" i="41" s="1"/>
  <c r="O76" i="41"/>
  <c r="N82" i="41"/>
  <c r="E36" i="33"/>
  <c r="D37" i="33"/>
  <c r="E37" i="33" s="1"/>
  <c r="K12" i="33"/>
  <c r="F37" i="33"/>
  <c r="L12" i="33"/>
  <c r="G36" i="33"/>
  <c r="H36" i="33"/>
  <c r="Y36" i="33" s="1"/>
  <c r="J36" i="33"/>
  <c r="E23" i="30"/>
  <c r="G23" i="30" s="1"/>
  <c r="G17" i="30"/>
  <c r="D82" i="41"/>
  <c r="E76" i="41"/>
  <c r="D77" i="41"/>
  <c r="E77" i="41" s="1"/>
  <c r="G38" i="48"/>
  <c r="H38" i="48"/>
  <c r="I38" i="48" s="1"/>
  <c r="K38" i="48"/>
  <c r="F36" i="48"/>
  <c r="F62" i="48" s="1"/>
  <c r="J87" i="41"/>
  <c r="K82" i="41"/>
  <c r="G16" i="48"/>
  <c r="E9" i="48"/>
  <c r="H16" i="48"/>
  <c r="I16" i="48" s="1"/>
  <c r="L11" i="48"/>
  <c r="E8" i="48"/>
  <c r="J16" i="48"/>
  <c r="G16" i="33"/>
  <c r="L11" i="33"/>
  <c r="F62" i="33"/>
  <c r="W62" i="33" s="1"/>
  <c r="E9" i="33"/>
  <c r="H87" i="41"/>
  <c r="I82" i="41"/>
  <c r="D62" i="33"/>
  <c r="U62" i="33" s="1"/>
  <c r="K11" i="33"/>
  <c r="H16" i="33"/>
  <c r="J16" i="33"/>
  <c r="E8" i="33"/>
  <c r="E16" i="33"/>
  <c r="AC76" i="41" l="1"/>
  <c r="AB82" i="41"/>
  <c r="AB77" i="41"/>
  <c r="AN25" i="41"/>
  <c r="AO26" i="41"/>
  <c r="I65" i="32"/>
  <c r="AG90" i="41"/>
  <c r="X8" i="41"/>
  <c r="AG76" i="41"/>
  <c r="AH16" i="41"/>
  <c r="X9" i="41"/>
  <c r="W77" i="41"/>
  <c r="V88" i="41"/>
  <c r="F88" i="39"/>
  <c r="G77" i="39"/>
  <c r="V87" i="41"/>
  <c r="W82" i="41"/>
  <c r="D93" i="47"/>
  <c r="E86" i="47"/>
  <c r="AM25" i="41"/>
  <c r="AL16" i="41"/>
  <c r="F87" i="39"/>
  <c r="G82" i="39"/>
  <c r="I79" i="36"/>
  <c r="E75" i="36"/>
  <c r="F79" i="36"/>
  <c r="J79" i="36"/>
  <c r="C79" i="36"/>
  <c r="D74" i="36"/>
  <c r="AO39" i="41"/>
  <c r="AN35" i="41"/>
  <c r="AO35" i="41" s="1"/>
  <c r="AO33" i="41"/>
  <c r="AN30" i="41"/>
  <c r="AO30" i="41" s="1"/>
  <c r="E87" i="39"/>
  <c r="D83" i="39"/>
  <c r="E83" i="39" s="1"/>
  <c r="AE76" i="41"/>
  <c r="AD82" i="41"/>
  <c r="AD77" i="41"/>
  <c r="AE77" i="41" s="1"/>
  <c r="I69" i="36"/>
  <c r="H69" i="36"/>
  <c r="J69" i="36"/>
  <c r="R82" i="41"/>
  <c r="S76" i="41"/>
  <c r="R77" i="41"/>
  <c r="S77" i="41" s="1"/>
  <c r="AA50" i="41"/>
  <c r="U50" i="41"/>
  <c r="Q96" i="41"/>
  <c r="Q97" i="41" s="1"/>
  <c r="U76" i="41"/>
  <c r="T77" i="41"/>
  <c r="U77" i="41" s="1"/>
  <c r="T82" i="41"/>
  <c r="I16" i="33"/>
  <c r="Y16" i="33"/>
  <c r="F82" i="32"/>
  <c r="F84" i="32" s="1"/>
  <c r="G72" i="32"/>
  <c r="E72" i="32"/>
  <c r="H66" i="32"/>
  <c r="I66" i="32" s="1"/>
  <c r="G66" i="32"/>
  <c r="D64" i="48"/>
  <c r="E62" i="48"/>
  <c r="K13" i="48"/>
  <c r="E79" i="10"/>
  <c r="E80" i="10"/>
  <c r="H80" i="10"/>
  <c r="I80" i="10" s="1"/>
  <c r="F83" i="41"/>
  <c r="G83" i="41" s="1"/>
  <c r="G87" i="41"/>
  <c r="F64" i="40"/>
  <c r="G64" i="40" s="1"/>
  <c r="F69" i="40"/>
  <c r="F74" i="40" s="1"/>
  <c r="D64" i="40"/>
  <c r="E64" i="40" s="1"/>
  <c r="D69" i="40"/>
  <c r="E69" i="40" s="1"/>
  <c r="H62" i="48"/>
  <c r="I62" i="48" s="1"/>
  <c r="G62" i="48"/>
  <c r="F64" i="48"/>
  <c r="L13" i="48"/>
  <c r="M62" i="48"/>
  <c r="J83" i="41"/>
  <c r="K83" i="41" s="1"/>
  <c r="K87" i="41"/>
  <c r="G37" i="33"/>
  <c r="K37" i="33"/>
  <c r="J37" i="33"/>
  <c r="H37" i="33"/>
  <c r="I37" i="33" s="1"/>
  <c r="N87" i="41"/>
  <c r="O82" i="41"/>
  <c r="G77" i="47"/>
  <c r="F79" i="47"/>
  <c r="H77" i="47"/>
  <c r="I77" i="47" s="1"/>
  <c r="L87" i="41"/>
  <c r="M82" i="41"/>
  <c r="F64" i="33"/>
  <c r="F71" i="33" s="1"/>
  <c r="L13" i="33"/>
  <c r="G62" i="33"/>
  <c r="J36" i="48"/>
  <c r="F37" i="48"/>
  <c r="J37" i="48" s="1"/>
  <c r="H36" i="48"/>
  <c r="I36" i="48" s="1"/>
  <c r="G36" i="48"/>
  <c r="L12" i="48"/>
  <c r="K36" i="48"/>
  <c r="E82" i="41"/>
  <c r="D87" i="41"/>
  <c r="K36" i="33"/>
  <c r="I36" i="33"/>
  <c r="G50" i="47"/>
  <c r="H50" i="47"/>
  <c r="I50" i="47" s="1"/>
  <c r="K50" i="47"/>
  <c r="P87" i="41"/>
  <c r="Q82" i="41"/>
  <c r="E62" i="33"/>
  <c r="K13" i="33"/>
  <c r="D64" i="33"/>
  <c r="H62" i="33"/>
  <c r="J62" i="33"/>
  <c r="M62" i="33" s="1"/>
  <c r="H83" i="41"/>
  <c r="I83" i="41" s="1"/>
  <c r="I87" i="41"/>
  <c r="AO25" i="41" l="1"/>
  <c r="AN16" i="41"/>
  <c r="G87" i="39"/>
  <c r="F83" i="39"/>
  <c r="G83" i="39" s="1"/>
  <c r="E93" i="47"/>
  <c r="D88" i="47"/>
  <c r="H93" i="47"/>
  <c r="I93" i="47" s="1"/>
  <c r="AB88" i="41"/>
  <c r="AC77" i="41"/>
  <c r="AD87" i="41"/>
  <c r="AE82" i="41"/>
  <c r="J75" i="36"/>
  <c r="I75" i="36"/>
  <c r="F75" i="36"/>
  <c r="AL90" i="41"/>
  <c r="Y8" i="41"/>
  <c r="AL76" i="41"/>
  <c r="AM16" i="41"/>
  <c r="Y9" i="41"/>
  <c r="AH76" i="41"/>
  <c r="AG82" i="41"/>
  <c r="AG77" i="41"/>
  <c r="AC82" i="41"/>
  <c r="AB87" i="41"/>
  <c r="D79" i="36"/>
  <c r="C75" i="36"/>
  <c r="D75" i="36" s="1"/>
  <c r="W87" i="41"/>
  <c r="V83" i="41"/>
  <c r="W83" i="41" s="1"/>
  <c r="S82" i="41"/>
  <c r="R87" i="41"/>
  <c r="U64" i="33"/>
  <c r="T87" i="41"/>
  <c r="U82" i="41"/>
  <c r="W64" i="33"/>
  <c r="W71" i="33"/>
  <c r="I62" i="33"/>
  <c r="Y62" i="33"/>
  <c r="D71" i="48"/>
  <c r="E71" i="48" s="1"/>
  <c r="E64" i="48"/>
  <c r="D65" i="48"/>
  <c r="E65" i="48" s="1"/>
  <c r="H74" i="32"/>
  <c r="H80" i="32"/>
  <c r="H72" i="32" s="1"/>
  <c r="I72" i="32" s="1"/>
  <c r="D79" i="48"/>
  <c r="E80" i="32"/>
  <c r="G69" i="40"/>
  <c r="D74" i="40"/>
  <c r="D70" i="40" s="1"/>
  <c r="E70" i="40" s="1"/>
  <c r="D83" i="41"/>
  <c r="E83" i="41" s="1"/>
  <c r="E87" i="41"/>
  <c r="G37" i="48"/>
  <c r="H37" i="48"/>
  <c r="I37" i="48" s="1"/>
  <c r="K37" i="48"/>
  <c r="F65" i="33"/>
  <c r="G64" i="33"/>
  <c r="M87" i="41"/>
  <c r="L83" i="41"/>
  <c r="M83" i="41" s="1"/>
  <c r="H79" i="47"/>
  <c r="I79" i="47" s="1"/>
  <c r="F80" i="47"/>
  <c r="G79" i="47"/>
  <c r="F86" i="47"/>
  <c r="K79" i="47"/>
  <c r="F65" i="48"/>
  <c r="G64" i="48"/>
  <c r="F71" i="48"/>
  <c r="H64" i="48"/>
  <c r="I64" i="48" s="1"/>
  <c r="P83" i="41"/>
  <c r="Q83" i="41" s="1"/>
  <c r="Q87" i="41"/>
  <c r="N83" i="41"/>
  <c r="O83" i="41" s="1"/>
  <c r="O87" i="41"/>
  <c r="E64" i="33"/>
  <c r="H64" i="33"/>
  <c r="D65" i="33"/>
  <c r="U65" i="33" s="1"/>
  <c r="G74" i="40"/>
  <c r="F70" i="40"/>
  <c r="G70" i="40" s="1"/>
  <c r="AC87" i="41" l="1"/>
  <c r="AB83" i="41"/>
  <c r="AC83" i="41" s="1"/>
  <c r="AH77" i="41"/>
  <c r="AG88" i="41"/>
  <c r="AB9" i="41"/>
  <c r="AB8" i="41"/>
  <c r="AE87" i="41"/>
  <c r="AD83" i="41"/>
  <c r="AE83" i="41" s="1"/>
  <c r="E88" i="47"/>
  <c r="H88" i="47"/>
  <c r="I88" i="47" s="1"/>
  <c r="AO16" i="41"/>
  <c r="AQ16" i="41"/>
  <c r="AQ17" i="41" s="1"/>
  <c r="AN76" i="41"/>
  <c r="AN90" i="41"/>
  <c r="AG87" i="41"/>
  <c r="AH82" i="41"/>
  <c r="AL77" i="41"/>
  <c r="AM76" i="41"/>
  <c r="AL82" i="41"/>
  <c r="R83" i="41"/>
  <c r="S83" i="41" s="1"/>
  <c r="S87" i="41"/>
  <c r="U87" i="41"/>
  <c r="T83" i="41"/>
  <c r="U83" i="41" s="1"/>
  <c r="E74" i="40"/>
  <c r="I80" i="32"/>
  <c r="I64" i="33"/>
  <c r="Y64" i="33"/>
  <c r="G65" i="33"/>
  <c r="W65" i="33"/>
  <c r="H79" i="48"/>
  <c r="I79" i="48" s="1"/>
  <c r="E79" i="48"/>
  <c r="D73" i="48"/>
  <c r="I74" i="32"/>
  <c r="E74" i="32"/>
  <c r="G71" i="48"/>
  <c r="M71" i="48"/>
  <c r="H71" i="48"/>
  <c r="I71" i="48" s="1"/>
  <c r="G65" i="48"/>
  <c r="H65" i="48"/>
  <c r="I65" i="48" s="1"/>
  <c r="K86" i="47"/>
  <c r="H86" i="47"/>
  <c r="I86" i="47" s="1"/>
  <c r="G86" i="47"/>
  <c r="H80" i="47"/>
  <c r="I80" i="47" s="1"/>
  <c r="G80" i="47"/>
  <c r="M71" i="33"/>
  <c r="G71" i="33"/>
  <c r="E65" i="33"/>
  <c r="H65" i="33"/>
  <c r="K31" i="10"/>
  <c r="G31" i="10"/>
  <c r="H31" i="10"/>
  <c r="I31" i="10" s="1"/>
  <c r="AL88" i="41" l="1"/>
  <c r="AM77" i="41"/>
  <c r="AN77" i="41"/>
  <c r="AO76" i="41"/>
  <c r="AN82" i="41"/>
  <c r="AL87" i="41"/>
  <c r="AM82" i="41"/>
  <c r="AG83" i="41"/>
  <c r="AH83" i="41" s="1"/>
  <c r="AH87" i="41"/>
  <c r="I65" i="33"/>
  <c r="Y65" i="33"/>
  <c r="E73" i="48"/>
  <c r="H73" i="48"/>
  <c r="I73" i="48" s="1"/>
  <c r="AO77" i="41" l="1"/>
  <c r="AN88" i="41"/>
  <c r="AM87" i="41"/>
  <c r="AL83" i="41"/>
  <c r="AM83" i="41" s="1"/>
  <c r="AN87" i="41"/>
  <c r="AO82" i="41"/>
  <c r="H88" i="10"/>
  <c r="I88" i="10" s="1"/>
  <c r="E88" i="10"/>
  <c r="E86" i="10"/>
  <c r="H86" i="10"/>
  <c r="I86" i="10" s="1"/>
  <c r="E93" i="10"/>
  <c r="H93" i="10"/>
  <c r="I93" i="10" s="1"/>
  <c r="D78" i="33"/>
  <c r="AN83" i="41" l="1"/>
  <c r="AO83" i="41" s="1"/>
  <c r="AO87" i="41"/>
  <c r="E78" i="33"/>
  <c r="D71" i="33"/>
  <c r="U78" i="33"/>
  <c r="H78" i="33"/>
  <c r="I78" i="33" s="1"/>
  <c r="E71" i="33" l="1"/>
  <c r="H71" i="33"/>
  <c r="U71" i="33"/>
  <c r="Y78" i="33"/>
  <c r="E72" i="33"/>
  <c r="H72" i="33"/>
  <c r="U72" i="33"/>
  <c r="I71" i="33" l="1"/>
  <c r="Y71" i="33"/>
  <c r="I72" i="33"/>
  <c r="Y72" i="33"/>
</calcChain>
</file>

<file path=xl/comments1.xml><?xml version="1.0" encoding="utf-8"?>
<comments xmlns="http://schemas.openxmlformats.org/spreadsheetml/2006/main">
  <authors>
    <author>milos.popovic</author>
  </authors>
  <commentList>
    <comment ref="AB14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Neporeski prihodi su dobro planirani, pa sam ih vezao za plan iz budžeta</t>
        </r>
      </text>
    </comment>
    <comment ref="X16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Korekcije</t>
        </r>
      </text>
    </comment>
    <comment ref="Y16" authorId="0" shapeId="0">
      <text>
        <r>
          <rPr>
            <b/>
            <sz val="9"/>
            <color indexed="81"/>
            <rFont val="Tahoma"/>
            <family val="2"/>
            <charset val="238"/>
          </rPr>
          <t>milos.popovic:</t>
        </r>
        <r>
          <rPr>
            <sz val="9"/>
            <color indexed="81"/>
            <rFont val="Tahoma"/>
            <family val="2"/>
            <charset val="238"/>
          </rPr>
          <t xml:space="preserve">
Prihodi dodati na Skupštini</t>
        </r>
      </text>
    </comment>
    <comment ref="X18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Ostvarenje na kraju prvog kvartala je da smo -0,3 mil. € u odnosu na plan i + 2,7 mil € u odnosu na prošlu godinu
Korekcijom od - 2 mil. € procijenjeni prihodi se dovode da budu za 0,8 mil. € veći od planiranih.</t>
        </r>
      </text>
    </comment>
    <comment ref="AF18" authorId="0" shapeId="0">
      <text>
        <r>
          <rPr>
            <b/>
            <sz val="9"/>
            <color indexed="81"/>
            <rFont val="Tahoma"/>
            <family val="2"/>
            <charset val="238"/>
          </rPr>
          <t>milos.popovic:</t>
        </r>
        <r>
          <rPr>
            <sz val="9"/>
            <color indexed="81"/>
            <rFont val="Tahoma"/>
            <family val="2"/>
            <charset val="238"/>
          </rPr>
          <t xml:space="preserve">
Prestanak važenja kriznog poreza na zarade</t>
        </r>
      </text>
    </comment>
    <comment ref="X19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Na kraju prvog kvartala, +7,3 mil. € u odnosu na plan i + 8 mil. € u odnosu na ostvarenje iz prošle godine.
Korekcijom od 8 mil. € na gore, prihvata se aktuelno stanje i uzlazni trend naplate poreza na dobit pravnih lica.
Rezultat je da je projekcija 5,6 mil. € veća od plana i 9,4 mil. € veća od naplate u 2013. godini.</t>
        </r>
      </text>
    </comment>
    <comment ref="X21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U prvom kvartalu, naplata PDVa je bila 11 mil. € veća od plana i 20 mil. € veća nego prošle godine.
Ovom korekcijom, procjena postaje 22 mil. € veća od plana (podrazumijeva da će se ovaj trend nastaviti i u drugom kvartalu) i 50 mil. € veća nego prošle godine.</t>
        </r>
      </text>
    </comment>
    <comment ref="X22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Jovica Petričević treba da da konačnu analizu uticaja promjene akcizne stope. Rekao je da će biti između 4 i 6 mil. €.
Procjena je za oko 2 mil. € manja od plana, a 7,7 mil. € veća od ostvarenja iz prethodne godine..</t>
        </r>
      </text>
    </comment>
    <comment ref="AF22" authorId="0" shapeId="0">
      <text>
        <r>
          <rPr>
            <b/>
            <sz val="9"/>
            <color indexed="81"/>
            <rFont val="Tahoma"/>
            <family val="2"/>
          </rPr>
          <t xml:space="preserve">milos.popovic:
</t>
        </r>
        <r>
          <rPr>
            <sz val="9"/>
            <color indexed="81"/>
            <rFont val="Tahoma"/>
            <family val="2"/>
          </rPr>
          <t>Efekat povecanja stope akcize kao rezultat procesa pridruživanja EU</t>
        </r>
      </text>
    </comment>
    <comment ref="X23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Bez obzira na rast uvoza, prihodi od carina će biti niži od planiranih zbog liberalizacije tržišta</t>
        </r>
      </text>
    </comment>
    <comment ref="X26" authorId="0" shapeId="0">
      <text>
        <r>
          <rPr>
            <b/>
            <sz val="9"/>
            <color indexed="81"/>
            <rFont val="Tahoma"/>
            <family val="2"/>
            <charset val="238"/>
          </rPr>
          <t>milos.popovic:</t>
        </r>
        <r>
          <rPr>
            <sz val="9"/>
            <color indexed="81"/>
            <rFont val="Tahoma"/>
            <family val="2"/>
            <charset val="238"/>
          </rPr>
          <t xml:space="preserve">
Nakon prvog kvartala, doprinosi za PIO su bili veći za 7,6 mil. € od plana i 6,4 mil. € od ostvarenja iz prošle godine.
Ovom korekcijom, procjena je da će doprinosi za PIO biti veći za 20 mil. € u odnosu na plan i 13 mil. € u odnosu na prošlu godinu.
Ako se trend iz prvog kvartala bude nastavio, procjena je realna i očekivana.</t>
        </r>
      </text>
    </comment>
    <comment ref="X28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Na kraju prvog kvartala, doprinosi za osiguranje od nezaposlenosti su bili 0,1 mil. € manji nego planirani i u nivou prošlogodišnjih.
Ovom korekcijom, procjena je manja za 0,2 mil. € u odnosu na plan i 0,7 mil. € veća u odnosu na prošlu godinu</t>
        </r>
      </text>
    </comment>
    <comment ref="X29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Na kraju prvog kvartala, ostali doprinosi su bili u padu od 0,5 mil. € u odnosu na plan i 0,3 mil. € u odnosu na prošlu godinu.
Procjena je da će ovi prihodi biti 0,6 mil. € ispod planiranih i 1 mil. € veći nego prošlogodišnji.</t>
        </r>
      </text>
    </comment>
    <comment ref="X32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Uvažava se ostvarenje iz prvog kvartala, čime je plan premašen za 1,2 mil. € i prošlogodišnje ostvarenje za 1 mil. €</t>
        </r>
      </text>
    </comment>
    <comment ref="X34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Ostale takse su bilježile</t>
        </r>
      </text>
    </comment>
    <comment ref="X43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Od početka godine bilježi se rast ovih prihoda, a ako bude usvojen Zakon o zaradama u javnom sektoru, sav višak koji državne kompanije i regulatorna tijela budu ostvarivali, uplaćivaće se u državni budžet</t>
        </r>
      </text>
    </comment>
    <comment ref="X44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Zbog dobrog trenda naplate u dosadašnjem dijelu godine i očekivanog poboljšanja posebno tokom ljetnje turističke sezone</t>
        </r>
      </text>
    </comment>
    <comment ref="X46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Od početka godine se 'vuče' zaostatak od oko 1 mil. €. Nepoznat razlog</t>
        </r>
      </text>
    </comment>
  </commentList>
</comments>
</file>

<file path=xl/comments2.xml><?xml version="1.0" encoding="utf-8"?>
<comments xmlns="http://schemas.openxmlformats.org/spreadsheetml/2006/main">
  <authors>
    <author>milos.popovic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Neporeski prihodi su dobro planirani, pa sam ih vezao za plan iz budžeta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Neporeski prihodi su dobro planirani, pa sam ih vezao za plan iz budžeta</t>
        </r>
      </text>
    </comment>
  </commentList>
</comments>
</file>

<file path=xl/comments3.xml><?xml version="1.0" encoding="utf-8"?>
<comments xmlns="http://schemas.openxmlformats.org/spreadsheetml/2006/main">
  <authors>
    <author>milos.popovic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Neporeski prihodi su dobro planirani, pa sam ih vezao za plan iz budžeta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Neporeski prihodi su dobro planirani, pa sam ih vezao za plan iz budžeta</t>
        </r>
      </text>
    </comment>
  </commentList>
</comments>
</file>

<file path=xl/comments4.xml><?xml version="1.0" encoding="utf-8"?>
<comments xmlns="http://schemas.openxmlformats.org/spreadsheetml/2006/main">
  <authors>
    <author>milos.popovic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Neporeski prihodi su dobro planirani, pa sam ih vezao za plan iz budžeta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Neporeski prihodi su dobro planirani, pa sam ih vezao za plan iz budžeta</t>
        </r>
      </text>
    </comment>
  </commentList>
</comments>
</file>

<file path=xl/comments5.xml><?xml version="1.0" encoding="utf-8"?>
<comments xmlns="http://schemas.openxmlformats.org/spreadsheetml/2006/main">
  <authors>
    <author>milos.popovic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Neporeski prihodi su dobro planirani, pa sam ih vezao za plan iz budžeta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Neporeski prihodi su dobro planirani, pa sam ih vezao za plan iz budžeta</t>
        </r>
      </text>
    </comment>
  </commentList>
</comments>
</file>

<file path=xl/comments6.xml><?xml version="1.0" encoding="utf-8"?>
<comments xmlns="http://schemas.openxmlformats.org/spreadsheetml/2006/main">
  <authors>
    <author>milos.popovic</author>
  </authors>
  <commentList>
    <comment ref="H14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Neporeski prihodi su dobro planirani, pa sam ih vezao za plan iz budžeta</t>
        </r>
      </text>
    </comment>
  </commentList>
</comments>
</file>

<file path=xl/comments7.xml><?xml version="1.0" encoding="utf-8"?>
<comments xmlns="http://schemas.openxmlformats.org/spreadsheetml/2006/main">
  <authors>
    <author>milos.popovic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Neporeski prihodi su dobro planirani, pa sam ih vezao za plan iz budžeta</t>
        </r>
      </text>
    </comment>
  </commentList>
</comments>
</file>

<file path=xl/comments8.xml><?xml version="1.0" encoding="utf-8"?>
<comments xmlns="http://schemas.openxmlformats.org/spreadsheetml/2006/main">
  <authors>
    <author>milos.popovic</author>
  </authors>
  <commentList>
    <comment ref="F14" authorId="0" shapeId="0">
      <text>
        <r>
          <rPr>
            <b/>
            <sz val="9"/>
            <color indexed="81"/>
            <rFont val="Tahoma"/>
            <family val="2"/>
          </rPr>
          <t>milos.popovic:</t>
        </r>
        <r>
          <rPr>
            <sz val="9"/>
            <color indexed="81"/>
            <rFont val="Tahoma"/>
            <family val="2"/>
          </rPr>
          <t xml:space="preserve">
Neporeski prihodi su dobro planirani, pa sam ih vezao za plan iz budžeta</t>
        </r>
      </text>
    </comment>
  </commentList>
</comments>
</file>

<file path=xl/sharedStrings.xml><?xml version="1.0" encoding="utf-8"?>
<sst xmlns="http://schemas.openxmlformats.org/spreadsheetml/2006/main" count="1635" uniqueCount="517">
  <si>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</si>
  <si>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</si>
  <si>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</si>
  <si>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</si>
  <si>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</si>
  <si>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</si>
  <si>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</si>
  <si>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</si>
  <si>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</si>
  <si>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</si>
  <si>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</si>
  <si>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</si>
  <si>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</si>
  <si>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</si>
  <si>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</si>
  <si>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</si>
  <si>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</si>
  <si>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</si>
  <si>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</si>
  <si>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</si>
  <si>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</si>
  <si>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</si>
  <si>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</si>
  <si>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</si>
  <si>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</si>
  <si>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</si>
  <si>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</si>
  <si>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</si>
  <si>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</si>
  <si>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</si>
  <si>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</si>
  <si>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</si>
  <si>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</si>
  <si>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</si>
  <si>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</si>
  <si>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</si>
  <si>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</si>
  <si>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</si>
  <si>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</si>
  <si>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</si>
  <si>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</si>
  <si>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</si>
  <si>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</si>
  <si>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</si>
  <si>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</si>
  <si>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</si>
  <si>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</si>
  <si>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</si>
  <si>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</si>
  <si>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</si>
  <si>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</si>
  <si>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</si>
  <si>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</si>
  <si>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</si>
  <si>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</si>
  <si>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</si>
  <si>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</si>
  <si>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</si>
  <si>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</si>
  <si>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</si>
  <si>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</si>
  <si>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 xml:space="preserve">Receipts from repayment of loans and funds carried over from previous year 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</si>
  <si>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</si>
  <si>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</si>
  <si>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</si>
  <si>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</si>
  <si>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</si>
  <si>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</si>
  <si>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</si>
  <si>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</si>
  <si>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</si>
  <si>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</si>
  <si>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</si>
  <si>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</si>
  <si>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</si>
  <si>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</si>
  <si>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</si>
  <si>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</si>
  <si>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</si>
  <si>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</si>
  <si>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</si>
  <si>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</si>
  <si>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</si>
  <si>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</si>
  <si>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</si>
  <si>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</si>
  <si>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</si>
  <si>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</si>
  <si>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</si>
  <si>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</si>
  <si>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</si>
  <si>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</si>
  <si>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</si>
  <si>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</si>
  <si>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</si>
  <si>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</si>
  <si>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</si>
  <si>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</si>
  <si>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</si>
  <si>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</si>
  <si>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</si>
  <si>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</si>
  <si>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</si>
  <si>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</si>
  <si>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</si>
  <si>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</si>
  <si>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</si>
  <si>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</si>
  <si>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</si>
  <si>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</si>
  <si>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</si>
  <si>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</si>
  <si>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</si>
  <si>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</si>
  <si>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</si>
  <si>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</si>
  <si>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</si>
  <si>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</si>
  <si>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</si>
  <si>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</si>
  <si>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</si>
  <si>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</si>
  <si>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</si>
  <si>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</si>
  <si>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</si>
  <si>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</si>
  <si>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</si>
  <si>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</si>
  <si>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</si>
  <si>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</si>
  <si>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</si>
  <si>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</si>
  <si>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</si>
  <si>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</si>
  <si>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</si>
  <si>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</si>
  <si>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</si>
  <si>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</si>
  <si>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</si>
  <si>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</si>
  <si>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</si>
  <si>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</si>
  <si>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</si>
  <si>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</si>
  <si>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</si>
  <si>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</si>
  <si>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</si>
  <si>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</si>
  <si>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</si>
  <si>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</si>
  <si>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</si>
  <si>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</si>
  <si>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</si>
  <si>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</si>
  <si>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</si>
  <si>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</si>
  <si>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</si>
  <si>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</si>
  <si>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</si>
  <si>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</si>
  <si>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</si>
  <si>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</si>
  <si>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</si>
  <si>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</si>
  <si>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</si>
  <si>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</si>
  <si>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</si>
  <si>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</si>
  <si>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</si>
  <si>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</si>
  <si>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</si>
  <si>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</si>
  <si>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</si>
  <si>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</si>
  <si>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</si>
  <si>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</si>
  <si>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</si>
  <si>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</si>
  <si>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</si>
  <si>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</si>
  <si>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</si>
  <si>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</si>
  <si>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</si>
  <si>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</si>
  <si>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</si>
  <si>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</si>
  <si>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</si>
  <si>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</si>
  <si>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</si>
  <si>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</si>
  <si>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</si>
  <si>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</si>
  <si>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</si>
  <si>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</si>
  <si>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</si>
  <si>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</si>
  <si>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</si>
  <si>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</si>
  <si>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</si>
  <si>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</si>
  <si>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</si>
  <si>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</si>
  <si>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</si>
  <si>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</si>
  <si>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</si>
  <si>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</si>
  <si>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</si>
  <si>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</si>
  <si>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</si>
  <si>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</si>
  <si>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</si>
  <si>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</si>
  <si>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</si>
  <si>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</si>
  <si>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</si>
  <si>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</si>
  <si>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</si>
  <si>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</si>
  <si>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</si>
  <si>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</si>
  <si>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</si>
  <si>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</si>
  <si>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</si>
  <si>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</si>
  <si>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</si>
  <si>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</si>
  <si>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</si>
  <si>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</si>
  <si>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</si>
  <si>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</si>
  <si>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</si>
  <si>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</si>
  <si>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</si>
  <si>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</si>
  <si>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</si>
  <si>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</si>
  <si>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</si>
  <si>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</si>
  <si>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</si>
  <si>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</si>
  <si>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</si>
  <si>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</si>
  <si>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</si>
  <si>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</si>
  <si>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</si>
  <si>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</si>
  <si>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</si>
  <si>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</si>
  <si>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</si>
  <si>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</si>
  <si>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</si>
  <si>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</si>
  <si>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</si>
  <si>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</si>
  <si>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</si>
  <si>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</si>
  <si>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</si>
  <si>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</si>
  <si>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</si>
  <si>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</si>
  <si>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</si>
  <si>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</si>
  <si>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</si>
  <si>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</si>
  <si>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</si>
  <si>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</si>
  <si>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</si>
  <si>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</si>
  <si>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</si>
  <si>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</si>
  <si>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</si>
  <si>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</si>
  <si>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</si>
  <si>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</si>
  <si>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</si>
  <si>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</si>
  <si>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</si>
  <si>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</si>
  <si>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</si>
  <si>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</si>
  <si>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</si>
  <si>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</si>
  <si>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</si>
  <si>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</si>
  <si>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</si>
  <si>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</si>
  <si>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</si>
  <si>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</si>
  <si>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</si>
  <si>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</si>
  <si>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</si>
  <si>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</si>
  <si>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</si>
  <si>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</si>
  <si>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</si>
  <si>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</si>
  <si>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</si>
  <si>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</si>
  <si>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</si>
  <si>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</si>
  <si>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</si>
  <si>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</si>
  <si>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</si>
  <si>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</si>
  <si>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</si>
  <si>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</si>
  <si>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</si>
  <si>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</si>
  <si>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</si>
  <si>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</si>
  <si>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</si>
  <si>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</si>
  <si>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</si>
  <si>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</si>
  <si>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</si>
  <si>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</si>
  <si>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</si>
  <si>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</si>
  <si>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</si>
  <si>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</si>
  <si>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</si>
  <si>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</si>
  <si>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</si>
  <si>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</si>
  <si>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</si>
  <si>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</si>
  <si>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</si>
  <si>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</si>
  <si>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</si>
  <si>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</si>
  <si>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</si>
  <si>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</si>
  <si>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</si>
  <si>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</si>
  <si>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</si>
  <si>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</si>
  <si>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</si>
  <si>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</si>
  <si>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</si>
  <si>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</si>
  <si>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</si>
  <si>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</si>
  <si>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</si>
  <si>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</si>
  <si>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</si>
  <si>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</si>
  <si>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</si>
  <si>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</si>
  <si>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</si>
  <si>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</si>
  <si>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</si>
  <si>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</si>
  <si>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</si>
  <si>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</si>
  <si>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</si>
  <si>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</si>
  <si>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</si>
  <si>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</si>
  <si>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</si>
  <si>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</si>
  <si>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</si>
  <si>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</si>
  <si>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</si>
  <si>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</si>
  <si>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</si>
  <si>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</si>
  <si>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</si>
  <si>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</rPr>
      <t>per capita (</t>
    </r>
    <r>
      <rPr>
        <sz val="10"/>
        <rFont val="Calibri"/>
        <family val="2"/>
        <charset val="238"/>
      </rPr>
      <t>€</t>
    </r>
    <r>
      <rPr>
        <i/>
        <sz val="10"/>
        <rFont val="Calibri"/>
        <family val="2"/>
        <charset val="238"/>
      </rPr>
      <t>)*</t>
    </r>
  </si>
  <si>
    <r>
      <t xml:space="preserve">GDP </t>
    </r>
    <r>
      <rPr>
        <i/>
        <sz val="10"/>
        <rFont val="Calibri"/>
        <family val="2"/>
        <charset val="238"/>
      </rPr>
      <t>per capita (</t>
    </r>
    <r>
      <rPr>
        <sz val="10"/>
        <rFont val="Calibri"/>
        <family val="2"/>
        <charset val="238"/>
      </rPr>
      <t>€</t>
    </r>
    <r>
      <rPr>
        <i/>
        <sz val="10"/>
        <rFont val="Calibri"/>
        <family val="2"/>
        <charset val="238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</si>
  <si>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</si>
  <si>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</si>
  <si>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</si>
  <si>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</si>
  <si>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</si>
  <si>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</si>
  <si>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</si>
  <si>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</si>
  <si>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</si>
  <si>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</si>
  <si>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</si>
  <si>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</si>
  <si>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</si>
  <si>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</si>
  <si>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</si>
  <si>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</si>
  <si>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</si>
  <si>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</si>
  <si>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</si>
  <si>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</si>
  <si>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</si>
  <si>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</si>
  <si>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</si>
  <si>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</si>
  <si>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Plan 2014</t>
  </si>
  <si>
    <t>Ekonomska klasifikacija</t>
  </si>
  <si>
    <t>O   P   I   S</t>
  </si>
  <si>
    <t>Iznos u €</t>
  </si>
  <si>
    <t>Ako je 0 sve je OK!</t>
  </si>
  <si>
    <t>PRIMICI</t>
  </si>
  <si>
    <t>Tekući prihodi</t>
  </si>
  <si>
    <t>Naknada za korišćenje prirodnih dobara</t>
  </si>
  <si>
    <t>Primici od prodaje  imovine</t>
  </si>
  <si>
    <t>Primici od prodaje imovine</t>
  </si>
  <si>
    <t>Primici od prodaje nefinansijske imovine</t>
  </si>
  <si>
    <t>Primici od prodaje nepokretnosti</t>
  </si>
  <si>
    <t>Primici od prodaje zaliha</t>
  </si>
  <si>
    <t>Primici od prodaje finansijske imovine</t>
  </si>
  <si>
    <t>Prodaja akcija</t>
  </si>
  <si>
    <t>Prodaja ostalih HOV</t>
  </si>
  <si>
    <t xml:space="preserve">Primici od otplate kredita 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</si>
  <si>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</si>
  <si>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</si>
  <si>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</si>
  <si>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</si>
  <si>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 xml:space="preserve"> Sredstva prenesena iz prethodne godine</t>
  </si>
  <si>
    <t>Sredstva prenesena iz prethodne godine</t>
  </si>
  <si>
    <t>Donacije i transferi</t>
  </si>
  <si>
    <t>Tekuće donacije</t>
  </si>
  <si>
    <t>IZVORNI PRIHODI</t>
  </si>
  <si>
    <t>Porezi i doprinosi</t>
  </si>
  <si>
    <t xml:space="preserve"> IZDACI</t>
  </si>
  <si>
    <t xml:space="preserve"> Kapitalni budžet CG</t>
  </si>
  <si>
    <t xml:space="preserve"> SUFICIT / DEFICIT</t>
  </si>
  <si>
    <t>PRIMARNI SUFICIT</t>
  </si>
  <si>
    <t>OTPLATA DUGA</t>
  </si>
  <si>
    <t>NEDOSTAJUĆA SREDSTVA</t>
  </si>
  <si>
    <t>FINANSIRANJE</t>
  </si>
  <si>
    <t>Grafik 1</t>
  </si>
  <si>
    <t>Bruto zarade</t>
  </si>
  <si>
    <t>Penzije</t>
  </si>
  <si>
    <t>Grafik 2</t>
  </si>
  <si>
    <t>Direktni porezi</t>
  </si>
  <si>
    <t>Indirektni porezi</t>
  </si>
  <si>
    <t>Neporeski prihodi</t>
  </si>
  <si>
    <t>Procjena 2014</t>
  </si>
  <si>
    <t>Nominalni rast BDPa</t>
  </si>
  <si>
    <t>Realni rast BDPa</t>
  </si>
  <si>
    <t>Stvarni rast prihoda /plan</t>
  </si>
  <si>
    <t>Stvarni rast prihoda /2013</t>
  </si>
  <si>
    <t>Stopa rasta poreskih prihoda</t>
  </si>
  <si>
    <t>Plan 2015</t>
  </si>
  <si>
    <t>Plan 2016</t>
  </si>
  <si>
    <t>Procjena 2015</t>
  </si>
  <si>
    <t>Korekcije za 2015</t>
  </si>
  <si>
    <t>Korekcije za 2014</t>
  </si>
  <si>
    <t>Procjena 2016</t>
  </si>
  <si>
    <t>Procjena 2017</t>
  </si>
  <si>
    <t xml:space="preserve"> </t>
  </si>
  <si>
    <t>Rashodi za materijal</t>
  </si>
  <si>
    <t>Rashodi za usluge</t>
  </si>
  <si>
    <t>Rashodi za tekuće održavanje</t>
  </si>
  <si>
    <t>Ostala prava iz zdravstvenog osiguranja</t>
  </si>
  <si>
    <t xml:space="preserve">Transferi institucijama, pojedincima, nevladinom i javnom sektoru </t>
  </si>
  <si>
    <t xml:space="preserve">Ostali transferi </t>
  </si>
  <si>
    <t>Registracione takse</t>
  </si>
  <si>
    <t xml:space="preserve">Naknade za izgradnju i održavanje lokalnih puteva i drugih javnih objekata od opštinskog značaja </t>
  </si>
  <si>
    <t>Naknade za uredjivanje i izgradnju građevinskog zemljišta</t>
  </si>
  <si>
    <t>Transferi iz centralnog budžeta</t>
  </si>
  <si>
    <t>Naknada za korišćenje građevinskog zemljišta</t>
  </si>
  <si>
    <t>2014 / plan</t>
  </si>
  <si>
    <t>2014 / 2013</t>
  </si>
  <si>
    <t>PLAN 2015</t>
  </si>
  <si>
    <t>ockivano povlacenje kredita</t>
  </si>
  <si>
    <t>zaduzenje preko potrebnog (DEPOZITI)</t>
  </si>
  <si>
    <t>total</t>
  </si>
  <si>
    <t>autoput</t>
  </si>
  <si>
    <t>sa autoputem</t>
  </si>
  <si>
    <t>Mjesečni plan prihoda 2014</t>
  </si>
  <si>
    <t>Mjesečna procjena prihoda 2014</t>
  </si>
  <si>
    <t>Ostvarenje prihoda 2013</t>
  </si>
  <si>
    <t>Razlike</t>
  </si>
  <si>
    <t>%</t>
  </si>
  <si>
    <t>Deficit - osnovni scenario</t>
  </si>
  <si>
    <t>Deficit - scenario sa auto putem</t>
  </si>
  <si>
    <t>2014 - procjena</t>
  </si>
  <si>
    <t>neto zaduzivanje potrebno za finansiranje budžeta</t>
  </si>
  <si>
    <t>total dug</t>
  </si>
  <si>
    <t>2013 - plan</t>
  </si>
  <si>
    <t>Depoziti</t>
  </si>
  <si>
    <t>01.01.2013</t>
  </si>
  <si>
    <t>31.12.2013</t>
  </si>
  <si>
    <t>Obaveze</t>
  </si>
  <si>
    <t>domaće finansiranje</t>
  </si>
  <si>
    <t>inostrano finansiranje</t>
  </si>
  <si>
    <t>prihodi od prodaje imovine</t>
  </si>
  <si>
    <t>deficit</t>
  </si>
  <si>
    <t>depziti</t>
  </si>
  <si>
    <t>Ostvarenje 2014</t>
  </si>
  <si>
    <t xml:space="preserve">Kapitalni izdaci </t>
  </si>
  <si>
    <t>4611 treba preknjižiti 740.656,20 € na poziciju 4411.</t>
  </si>
  <si>
    <t>razlika</t>
  </si>
  <si>
    <t>Kapitalni izdaci u kapitalnom budžetu</t>
  </si>
  <si>
    <t>Razlika</t>
  </si>
  <si>
    <t xml:space="preserve"> plan 2014</t>
  </si>
  <si>
    <t>ostvarenje 2014</t>
  </si>
  <si>
    <t>izvorni prihodi</t>
  </si>
  <si>
    <t>Suficit/Deficit</t>
  </si>
  <si>
    <t xml:space="preserve">Receipts from repayment of loans </t>
  </si>
  <si>
    <t>Gotovinski Suficit/ Deficit</t>
  </si>
  <si>
    <t>Korigovani Suficit/ Deficit</t>
  </si>
  <si>
    <t>Korigovani primarni deficit</t>
  </si>
  <si>
    <t xml:space="preserve">                                      O P I S</t>
  </si>
  <si>
    <t>Iznos</t>
  </si>
  <si>
    <t>Primici od otplate kredita</t>
  </si>
  <si>
    <t>DONACIJE</t>
  </si>
  <si>
    <t>KONSOLIDOVANI IZDACI</t>
  </si>
  <si>
    <t>Tekuća  budžetska potrošnja</t>
  </si>
  <si>
    <t>GOTOVINSKI SUFICIT/DEFICIT</t>
  </si>
  <si>
    <t>KORIGOVANI GOTOVINSKI SUFICIT/DEFICIT</t>
  </si>
  <si>
    <t>PRIMARNI KORIGOVANI GOTOVINSKI DEFICIT</t>
  </si>
  <si>
    <t>POVEĆANJE DEPOZITA DRŽAVE</t>
  </si>
  <si>
    <t>Pozajmice i krediti iz domaćih i inostranih izvora</t>
  </si>
  <si>
    <t>Promjena (povećanje) obaveza iz prethodnog perioda</t>
  </si>
  <si>
    <t>Povećanje neto obaveza iz prethodnog perioda</t>
  </si>
  <si>
    <t>Korigovani gotovinski deficit</t>
  </si>
  <si>
    <t>Povećanje neto obaveza</t>
  </si>
  <si>
    <t>Ostvarenje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</si>
</sst>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-* #,##0.00\ &quot;€&quot;_-;\-* #,##0.00\ &quot;€&quot;_-;_-* &quot;-&quot;??\ &quot;€&quot;_-;_-@_-"/>
    <numFmt numFmtId="165" formatCode="0.00,,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,,"/>
    <numFmt numFmtId="176" formatCode="#,##0.00,,"/>
    <numFmt numFmtId="177" formatCode="0.0"/>
    <numFmt numFmtId="178" formatCode="0.0000000"/>
    <numFmt numFmtId="179" formatCode="#,##0.0000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9"/>
      <name val="Century Gothic"/>
      <family val="2"/>
    </font>
    <font>
      <sz val="8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 tint="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indexed="18"/>
      <name val="Calibri"/>
      <family val="2"/>
      <scheme val="minor"/>
    </font>
    <font>
      <i/>
      <sz val="10"/>
      <color indexed="18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4" tint="0.59999389629810485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C0E399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Century Gothic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6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31" fillId="2" borderId="0" applyNumberFormat="0" applyBorder="0" applyAlignment="0" applyProtection="0"/>
    <xf numFmtId="0" fontId="7" fillId="0" borderId="0" applyProtection="0"/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2" fontId="7" fillId="0" borderId="0" applyProtection="0"/>
    <xf numFmtId="0" fontId="7" fillId="0" borderId="0" applyNumberFormat="0" applyFont="0" applyFill="0" applyBorder="0" applyAlignment="0" applyProtection="0"/>
    <xf numFmtId="0" fontId="10" fillId="0" borderId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7" fontId="11" fillId="0" borderId="0"/>
    <xf numFmtId="0" fontId="12" fillId="0" borderId="0"/>
    <xf numFmtId="0" fontId="13" fillId="0" borderId="0"/>
    <xf numFmtId="0" fontId="13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" fillId="0" borderId="0"/>
    <xf numFmtId="9" fontId="22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1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22">
    <xf numFmtId="0" fontId="0" fillId="0" borderId="0" xfId="0"/>
    <xf numFmtId="0" fontId="5" fillId="0" borderId="0" xfId="0" applyFont="1"/>
    <xf numFmtId="0" fontId="34" fillId="0" borderId="0" xfId="0" applyFont="1" applyFill="1" applyAlignment="1">
      <alignment horizontal="center" vertical="center"/>
    </xf>
    <xf numFmtId="0" fontId="5" fillId="0" borderId="0" xfId="26" applyFont="1" applyFill="1" applyBorder="1" applyAlignment="1">
      <alignment horizontal="center" vertical="center" wrapText="1"/>
    </xf>
    <xf numFmtId="0" fontId="34" fillId="0" borderId="0" xfId="26" applyFont="1" applyFill="1" applyBorder="1" applyAlignment="1">
      <alignment vertical="center"/>
    </xf>
    <xf numFmtId="0" fontId="34" fillId="0" borderId="0" xfId="26" applyFont="1" applyFill="1" applyAlignment="1">
      <alignment vertical="center"/>
    </xf>
    <xf numFmtId="0" fontId="34" fillId="0" borderId="0" xfId="26" applyFont="1" applyFill="1" applyBorder="1" applyAlignment="1">
      <alignment horizontal="center" vertical="center"/>
    </xf>
    <xf numFmtId="2" fontId="34" fillId="0" borderId="0" xfId="26" applyNumberFormat="1" applyFont="1" applyFill="1" applyBorder="1" applyAlignment="1">
      <alignment vertical="center"/>
    </xf>
    <xf numFmtId="2" fontId="34" fillId="0" borderId="0" xfId="26" applyNumberFormat="1" applyFont="1" applyFill="1" applyBorder="1" applyAlignment="1">
      <alignment horizontal="left" vertical="center"/>
    </xf>
    <xf numFmtId="49" fontId="34" fillId="0" borderId="0" xfId="26" applyNumberFormat="1" applyFont="1" applyFill="1" applyBorder="1" applyAlignment="1">
      <alignment vertical="center"/>
    </xf>
    <xf numFmtId="0" fontId="34" fillId="3" borderId="0" xfId="0" applyFont="1" applyFill="1" applyAlignment="1" applyProtection="1">
      <alignment vertical="center"/>
      <protection locked="0"/>
    </xf>
    <xf numFmtId="0" fontId="34" fillId="0" borderId="0" xfId="0" applyFont="1" applyAlignment="1">
      <alignment vertical="center"/>
    </xf>
    <xf numFmtId="0" fontId="34" fillId="0" borderId="0" xfId="26" applyFont="1" applyAlignment="1">
      <alignment vertical="center"/>
    </xf>
    <xf numFmtId="1" fontId="34" fillId="0" borderId="0" xfId="0" applyNumberFormat="1" applyFont="1" applyFill="1" applyBorder="1" applyAlignment="1">
      <alignment horizontal="center" vertical="center"/>
    </xf>
    <xf numFmtId="1" fontId="34" fillId="0" borderId="0" xfId="0" applyNumberFormat="1" applyFont="1" applyFill="1" applyAlignment="1">
      <alignment horizontal="center" vertical="center"/>
    </xf>
    <xf numFmtId="0" fontId="34" fillId="0" borderId="0" xfId="0" applyFont="1" applyFill="1" applyBorder="1" applyAlignment="1">
      <alignment horizontal="left" vertical="center"/>
    </xf>
    <xf numFmtId="16" fontId="34" fillId="0" borderId="0" xfId="0" applyNumberFormat="1" applyFont="1" applyFill="1" applyAlignment="1">
      <alignment vertical="center"/>
    </xf>
    <xf numFmtId="0" fontId="34" fillId="0" borderId="0" xfId="0" applyFont="1" applyFill="1" applyAlignment="1">
      <alignment vertical="center"/>
    </xf>
    <xf numFmtId="16" fontId="34" fillId="0" borderId="0" xfId="0" applyNumberFormat="1" applyFont="1" applyFill="1" applyBorder="1" applyAlignment="1">
      <alignment horizontal="left" vertical="center"/>
    </xf>
    <xf numFmtId="17" fontId="34" fillId="0" borderId="0" xfId="0" applyNumberFormat="1" applyFont="1" applyFill="1" applyBorder="1" applyAlignment="1">
      <alignment horizontal="left" vertical="center"/>
    </xf>
    <xf numFmtId="0" fontId="34" fillId="0" borderId="0" xfId="0" applyFont="1" applyFill="1" applyAlignment="1">
      <alignment horizontal="left" vertical="center"/>
    </xf>
    <xf numFmtId="17" fontId="34" fillId="0" borderId="0" xfId="0" applyNumberFormat="1" applyFont="1" applyFill="1" applyAlignment="1">
      <alignment vertical="center"/>
    </xf>
    <xf numFmtId="4" fontId="34" fillId="0" borderId="0" xfId="26" applyNumberFormat="1" applyFont="1" applyFill="1" applyBorder="1" applyAlignment="1">
      <alignment vertical="center"/>
    </xf>
    <xf numFmtId="165" fontId="34" fillId="0" borderId="0" xfId="26" applyNumberFormat="1" applyFont="1" applyFill="1" applyBorder="1" applyAlignment="1">
      <alignment vertical="center"/>
    </xf>
    <xf numFmtId="4" fontId="35" fillId="0" borderId="0" xfId="26" applyNumberFormat="1" applyFont="1" applyFill="1" applyBorder="1" applyAlignment="1">
      <alignment vertical="center"/>
    </xf>
    <xf numFmtId="165" fontId="35" fillId="0" borderId="0" xfId="26" applyNumberFormat="1" applyFont="1" applyFill="1" applyBorder="1" applyAlignment="1">
      <alignment vertical="center"/>
    </xf>
    <xf numFmtId="49" fontId="34" fillId="0" borderId="0" xfId="26" applyNumberFormat="1" applyFont="1" applyAlignment="1">
      <alignment vertical="center"/>
    </xf>
    <xf numFmtId="49" fontId="34" fillId="0" borderId="0" xfId="0" applyNumberFormat="1" applyFont="1" applyAlignment="1">
      <alignment vertical="center"/>
    </xf>
    <xf numFmtId="17" fontId="5" fillId="0" borderId="0" xfId="0" applyNumberFormat="1" applyFont="1"/>
    <xf numFmtId="0" fontId="33" fillId="0" borderId="0" xfId="31"/>
    <xf numFmtId="0" fontId="18" fillId="0" borderId="1" xfId="31" applyFont="1" applyBorder="1" applyAlignment="1">
      <alignment horizontal="center" vertical="center" wrapText="1"/>
    </xf>
    <xf numFmtId="0" fontId="4" fillId="0" borderId="2" xfId="31" applyFont="1" applyBorder="1" applyAlignment="1">
      <alignment horizontal="center" vertical="center" wrapText="1"/>
    </xf>
    <xf numFmtId="0" fontId="4" fillId="0" borderId="3" xfId="31" applyFont="1" applyBorder="1" applyAlignment="1">
      <alignment horizontal="center" vertical="center" wrapText="1"/>
    </xf>
    <xf numFmtId="0" fontId="3" fillId="0" borderId="1" xfId="31" applyFont="1" applyBorder="1" applyAlignment="1">
      <alignment horizontal="left"/>
    </xf>
    <xf numFmtId="0" fontId="3" fillId="0" borderId="2" xfId="31" applyFont="1" applyBorder="1" applyAlignment="1">
      <alignment wrapText="1"/>
    </xf>
    <xf numFmtId="4" fontId="3" fillId="0" borderId="3" xfId="31" applyNumberFormat="1" applyFont="1" applyBorder="1"/>
    <xf numFmtId="4" fontId="36" fillId="3" borderId="0" xfId="31" applyNumberFormat="1" applyFont="1" applyFill="1"/>
    <xf numFmtId="0" fontId="3" fillId="0" borderId="4" xfId="31" applyFont="1" applyBorder="1" applyAlignment="1">
      <alignment horizontal="left"/>
    </xf>
    <xf numFmtId="0" fontId="3" fillId="0" borderId="5" xfId="31" applyFont="1" applyBorder="1" applyAlignment="1">
      <alignment wrapText="1"/>
    </xf>
    <xf numFmtId="4" fontId="3" fillId="0" borderId="6" xfId="31" applyNumberFormat="1" applyFont="1" applyBorder="1"/>
    <xf numFmtId="4" fontId="33" fillId="0" borderId="0" xfId="31" applyNumberFormat="1"/>
    <xf numFmtId="0" fontId="3" fillId="0" borderId="7" xfId="31" applyFont="1" applyBorder="1" applyAlignment="1">
      <alignment horizontal="center"/>
    </xf>
    <xf numFmtId="0" fontId="3" fillId="0" borderId="8" xfId="31" applyFont="1" applyBorder="1" applyAlignment="1">
      <alignment vertical="center" wrapText="1"/>
    </xf>
    <xf numFmtId="4" fontId="3" fillId="0" borderId="9" xfId="31" applyNumberFormat="1" applyFont="1" applyBorder="1"/>
    <xf numFmtId="0" fontId="4" fillId="0" borderId="7" xfId="31" applyFont="1" applyBorder="1"/>
    <xf numFmtId="0" fontId="4" fillId="0" borderId="8" xfId="31" applyFont="1" applyBorder="1" applyAlignment="1">
      <alignment vertical="center" wrapText="1"/>
    </xf>
    <xf numFmtId="4" fontId="4" fillId="0" borderId="9" xfId="31" applyNumberFormat="1" applyFont="1" applyBorder="1"/>
    <xf numFmtId="0" fontId="4" fillId="0" borderId="8" xfId="31" applyFont="1" applyBorder="1" applyAlignment="1">
      <alignment horizontal="left" wrapText="1"/>
    </xf>
    <xf numFmtId="0" fontId="4" fillId="0" borderId="8" xfId="31" applyFont="1" applyBorder="1" applyAlignment="1">
      <alignment wrapText="1"/>
    </xf>
    <xf numFmtId="0" fontId="3" fillId="0" borderId="7" xfId="31" applyFont="1" applyBorder="1" applyAlignment="1">
      <alignment horizontal="left"/>
    </xf>
    <xf numFmtId="0" fontId="3" fillId="0" borderId="8" xfId="31" applyFont="1" applyBorder="1" applyAlignment="1">
      <alignment wrapText="1"/>
    </xf>
    <xf numFmtId="0" fontId="4" fillId="0" borderId="7" xfId="31" applyFont="1" applyBorder="1" applyAlignment="1">
      <alignment horizontal="right"/>
    </xf>
    <xf numFmtId="0" fontId="4" fillId="0" borderId="7" xfId="31" applyFont="1" applyBorder="1" applyAlignment="1">
      <alignment horizontal="center"/>
    </xf>
    <xf numFmtId="0" fontId="4" fillId="0" borderId="10" xfId="31" applyFont="1" applyBorder="1" applyAlignment="1">
      <alignment horizontal="center"/>
    </xf>
    <xf numFmtId="0" fontId="4" fillId="0" borderId="11" xfId="31" applyFont="1" applyBorder="1" applyAlignment="1">
      <alignment wrapText="1"/>
    </xf>
    <xf numFmtId="4" fontId="4" fillId="0" borderId="12" xfId="31" applyNumberFormat="1" applyFont="1" applyBorder="1"/>
    <xf numFmtId="0" fontId="4" fillId="0" borderId="13" xfId="31" applyFont="1" applyBorder="1"/>
    <xf numFmtId="0" fontId="4" fillId="0" borderId="14" xfId="31" applyFont="1" applyBorder="1" applyAlignment="1">
      <alignment wrapText="1"/>
    </xf>
    <xf numFmtId="4" fontId="4" fillId="0" borderId="15" xfId="31" applyNumberFormat="1" applyFont="1" applyBorder="1"/>
    <xf numFmtId="0" fontId="19" fillId="0" borderId="3" xfId="31" applyFont="1" applyBorder="1" applyAlignment="1">
      <alignment horizontal="center"/>
    </xf>
    <xf numFmtId="4" fontId="3" fillId="0" borderId="16" xfId="31" applyNumberFormat="1" applyFont="1" applyBorder="1" applyAlignment="1">
      <alignment horizontal="center" wrapText="1"/>
    </xf>
    <xf numFmtId="0" fontId="20" fillId="0" borderId="17" xfId="31" applyFont="1" applyBorder="1" applyAlignment="1">
      <alignment wrapText="1"/>
    </xf>
    <xf numFmtId="4" fontId="3" fillId="0" borderId="18" xfId="31" applyNumberFormat="1" applyFont="1" applyBorder="1" applyAlignment="1">
      <alignment horizontal="right"/>
    </xf>
    <xf numFmtId="4" fontId="37" fillId="0" borderId="0" xfId="31" applyNumberFormat="1" applyFont="1"/>
    <xf numFmtId="4" fontId="4" fillId="0" borderId="19" xfId="31" applyNumberFormat="1" applyFont="1" applyBorder="1" applyAlignment="1">
      <alignment horizontal="right"/>
    </xf>
    <xf numFmtId="0" fontId="37" fillId="0" borderId="0" xfId="31" applyFont="1"/>
    <xf numFmtId="0" fontId="20" fillId="0" borderId="17" xfId="31" applyFont="1" applyBorder="1"/>
    <xf numFmtId="0" fontId="21" fillId="0" borderId="17" xfId="31" applyFont="1" applyBorder="1" applyAlignment="1">
      <alignment wrapText="1"/>
    </xf>
    <xf numFmtId="0" fontId="4" fillId="0" borderId="20" xfId="31" applyFont="1" applyBorder="1" applyAlignment="1">
      <alignment wrapText="1"/>
    </xf>
    <xf numFmtId="165" fontId="37" fillId="0" borderId="0" xfId="31" applyNumberFormat="1" applyFont="1"/>
    <xf numFmtId="4" fontId="38" fillId="4" borderId="0" xfId="31" applyNumberFormat="1" applyFont="1" applyFill="1"/>
    <xf numFmtId="0" fontId="17" fillId="0" borderId="21" xfId="31" applyFont="1" applyBorder="1" applyAlignment="1">
      <alignment wrapText="1"/>
    </xf>
    <xf numFmtId="4" fontId="4" fillId="0" borderId="22" xfId="31" applyNumberFormat="1" applyFont="1" applyBorder="1" applyAlignment="1">
      <alignment horizontal="right"/>
    </xf>
    <xf numFmtId="0" fontId="17" fillId="0" borderId="15" xfId="31" applyFont="1" applyBorder="1" applyAlignment="1">
      <alignment wrapText="1"/>
    </xf>
    <xf numFmtId="4" fontId="4" fillId="0" borderId="23" xfId="31" applyNumberFormat="1" applyFont="1" applyBorder="1" applyAlignment="1">
      <alignment horizontal="right"/>
    </xf>
    <xf numFmtId="0" fontId="17" fillId="0" borderId="21" xfId="31" applyFont="1" applyBorder="1"/>
    <xf numFmtId="0" fontId="4" fillId="0" borderId="21" xfId="31" applyFont="1" applyBorder="1" applyAlignment="1">
      <alignment wrapText="1"/>
    </xf>
    <xf numFmtId="0" fontId="4" fillId="0" borderId="9" xfId="31" applyFont="1" applyBorder="1" applyAlignment="1">
      <alignment wrapText="1"/>
    </xf>
    <xf numFmtId="0" fontId="4" fillId="0" borderId="15" xfId="31" applyFont="1" applyBorder="1" applyAlignment="1">
      <alignment wrapText="1"/>
    </xf>
    <xf numFmtId="4" fontId="4" fillId="0" borderId="15" xfId="31" applyNumberFormat="1" applyFont="1" applyBorder="1" applyAlignment="1">
      <alignment horizontal="right"/>
    </xf>
    <xf numFmtId="0" fontId="39" fillId="5" borderId="0" xfId="26" applyFont="1" applyFill="1"/>
    <xf numFmtId="0" fontId="39" fillId="5" borderId="0" xfId="26" applyFont="1" applyFill="1" applyBorder="1"/>
    <xf numFmtId="166" fontId="39" fillId="5" borderId="0" xfId="0" applyNumberFormat="1" applyFont="1" applyFill="1" applyBorder="1" applyAlignment="1" applyProtection="1">
      <protection hidden="1"/>
    </xf>
    <xf numFmtId="166" fontId="39" fillId="5" borderId="24" xfId="0" applyNumberFormat="1" applyFont="1" applyFill="1" applyBorder="1" applyAlignment="1" applyProtection="1">
      <protection hidden="1"/>
    </xf>
    <xf numFmtId="0" fontId="39" fillId="5" borderId="0" xfId="27" applyFont="1" applyFill="1" applyBorder="1"/>
    <xf numFmtId="0" fontId="39" fillId="5" borderId="0" xfId="26" applyFont="1" applyFill="1" applyProtection="1"/>
    <xf numFmtId="0" fontId="39" fillId="5" borderId="0" xfId="26" applyFont="1" applyFill="1" applyBorder="1" applyAlignment="1">
      <alignment vertical="center"/>
    </xf>
    <xf numFmtId="0" fontId="39" fillId="5" borderId="0" xfId="26" applyFont="1" applyFill="1" applyProtection="1">
      <protection locked="0"/>
    </xf>
    <xf numFmtId="0" fontId="40" fillId="6" borderId="25" xfId="27" applyFont="1" applyFill="1" applyBorder="1" applyAlignment="1">
      <alignment horizontal="center" vertical="center" wrapText="1"/>
    </xf>
    <xf numFmtId="0" fontId="40" fillId="6" borderId="18" xfId="27" applyFont="1" applyFill="1" applyBorder="1" applyAlignment="1">
      <alignment horizontal="center" vertical="center" wrapText="1"/>
    </xf>
    <xf numFmtId="2" fontId="40" fillId="6" borderId="26" xfId="26" applyNumberFormat="1" applyFont="1" applyFill="1" applyBorder="1" applyAlignment="1">
      <alignment vertical="center"/>
    </xf>
    <xf numFmtId="165" fontId="40" fillId="6" borderId="1" xfId="26" applyNumberFormat="1" applyFont="1" applyFill="1" applyBorder="1" applyAlignment="1">
      <alignment vertical="center"/>
    </xf>
    <xf numFmtId="4" fontId="40" fillId="6" borderId="16" xfId="26" applyNumberFormat="1" applyFont="1" applyFill="1" applyBorder="1" applyAlignment="1">
      <alignment vertical="center"/>
    </xf>
    <xf numFmtId="4" fontId="40" fillId="6" borderId="27" xfId="26" applyNumberFormat="1" applyFont="1" applyFill="1" applyBorder="1" applyAlignment="1">
      <alignment vertical="center"/>
    </xf>
    <xf numFmtId="2" fontId="40" fillId="5" borderId="28" xfId="26" applyNumberFormat="1" applyFont="1" applyFill="1" applyBorder="1" applyAlignment="1">
      <alignment vertical="center"/>
    </xf>
    <xf numFmtId="165" fontId="40" fillId="5" borderId="29" xfId="26" applyNumberFormat="1" applyFont="1" applyFill="1" applyBorder="1" applyAlignment="1">
      <alignment vertical="center"/>
    </xf>
    <xf numFmtId="4" fontId="40" fillId="5" borderId="0" xfId="26" applyNumberFormat="1" applyFont="1" applyFill="1" applyBorder="1" applyAlignment="1">
      <alignment vertical="center"/>
    </xf>
    <xf numFmtId="165" fontId="40" fillId="5" borderId="30" xfId="26" applyNumberFormat="1" applyFont="1" applyFill="1" applyBorder="1" applyAlignment="1">
      <alignment horizontal="right" vertical="center" wrapText="1"/>
    </xf>
    <xf numFmtId="4" fontId="40" fillId="5" borderId="31" xfId="26" applyNumberFormat="1" applyFont="1" applyFill="1" applyBorder="1" applyAlignment="1">
      <alignment vertical="center"/>
    </xf>
    <xf numFmtId="165" fontId="41" fillId="5" borderId="29" xfId="27" applyNumberFormat="1" applyFont="1" applyFill="1" applyBorder="1" applyAlignment="1">
      <alignment vertical="center"/>
    </xf>
    <xf numFmtId="2" fontId="39" fillId="5" borderId="28" xfId="26" applyNumberFormat="1" applyFont="1" applyFill="1" applyBorder="1" applyAlignment="1">
      <alignment vertical="center"/>
    </xf>
    <xf numFmtId="165" fontId="39" fillId="5" borderId="29" xfId="26" applyNumberFormat="1" applyFont="1" applyFill="1" applyBorder="1" applyAlignment="1">
      <alignment vertical="center"/>
    </xf>
    <xf numFmtId="4" fontId="39" fillId="5" borderId="31" xfId="26" applyNumberFormat="1" applyFont="1" applyFill="1" applyBorder="1" applyAlignment="1">
      <alignment vertical="center"/>
    </xf>
    <xf numFmtId="4" fontId="39" fillId="5" borderId="0" xfId="26" applyNumberFormat="1" applyFont="1" applyFill="1" applyBorder="1"/>
    <xf numFmtId="4" fontId="39" fillId="5" borderId="0" xfId="27" applyNumberFormat="1" applyFont="1" applyFill="1" applyBorder="1"/>
    <xf numFmtId="49" fontId="39" fillId="5" borderId="0" xfId="27" applyNumberFormat="1" applyFont="1" applyFill="1" applyBorder="1" applyAlignment="1">
      <alignment horizontal="center" vertical="center"/>
    </xf>
    <xf numFmtId="4" fontId="39" fillId="5" borderId="0" xfId="26" applyNumberFormat="1" applyFont="1" applyFill="1"/>
    <xf numFmtId="4" fontId="39" fillId="5" borderId="0" xfId="27" applyNumberFormat="1" applyFont="1" applyFill="1"/>
    <xf numFmtId="0" fontId="39" fillId="5" borderId="0" xfId="27" applyNumberFormat="1" applyFont="1" applyFill="1"/>
    <xf numFmtId="165" fontId="39" fillId="5" borderId="0" xfId="27" applyNumberFormat="1" applyFont="1" applyFill="1" applyBorder="1"/>
    <xf numFmtId="175" fontId="39" fillId="5" borderId="0" xfId="27" applyNumberFormat="1" applyFont="1" applyFill="1"/>
    <xf numFmtId="2" fontId="40" fillId="5" borderId="28" xfId="26" applyNumberFormat="1" applyFont="1" applyFill="1" applyBorder="1" applyAlignment="1">
      <alignment vertical="center" wrapText="1"/>
    </xf>
    <xf numFmtId="165" fontId="39" fillId="5" borderId="0" xfId="26" applyNumberFormat="1" applyFont="1" applyFill="1"/>
    <xf numFmtId="0" fontId="39" fillId="5" borderId="0" xfId="27" applyFont="1" applyFill="1"/>
    <xf numFmtId="2" fontId="39" fillId="0" borderId="28" xfId="26" applyNumberFormat="1" applyFont="1" applyFill="1" applyBorder="1" applyAlignment="1">
      <alignment vertical="center"/>
    </xf>
    <xf numFmtId="165" fontId="39" fillId="0" borderId="29" xfId="26" applyNumberFormat="1" applyFont="1" applyFill="1" applyBorder="1" applyAlignment="1">
      <alignment vertical="center"/>
    </xf>
    <xf numFmtId="4" fontId="39" fillId="0" borderId="31" xfId="26" applyNumberFormat="1" applyFont="1" applyFill="1" applyBorder="1" applyAlignment="1">
      <alignment vertical="center"/>
    </xf>
    <xf numFmtId="49" fontId="39" fillId="5" borderId="0" xfId="26" applyNumberFormat="1" applyFont="1" applyFill="1" applyBorder="1" applyAlignment="1">
      <alignment wrapText="1"/>
    </xf>
    <xf numFmtId="0" fontId="42" fillId="5" borderId="32" xfId="27" applyFont="1" applyFill="1" applyBorder="1" applyAlignment="1"/>
    <xf numFmtId="2" fontId="43" fillId="5" borderId="0" xfId="26" applyNumberFormat="1" applyFont="1" applyFill="1" applyBorder="1" applyAlignment="1">
      <alignment vertical="center"/>
    </xf>
    <xf numFmtId="0" fontId="39" fillId="5" borderId="0" xfId="0" applyNumberFormat="1" applyFont="1" applyFill="1" applyBorder="1" applyAlignment="1" applyProtection="1">
      <protection hidden="1"/>
    </xf>
    <xf numFmtId="0" fontId="39" fillId="5" borderId="0" xfId="0" applyNumberFormat="1" applyFont="1" applyFill="1" applyBorder="1" applyAlignment="1" applyProtection="1">
      <alignment horizontal="left" vertical="center"/>
      <protection hidden="1"/>
    </xf>
    <xf numFmtId="0" fontId="39" fillId="5" borderId="0" xfId="0" applyNumberFormat="1" applyFont="1" applyFill="1" applyBorder="1" applyAlignment="1" applyProtection="1">
      <alignment vertical="center"/>
      <protection hidden="1"/>
    </xf>
    <xf numFmtId="166" fontId="39" fillId="7" borderId="11" xfId="0" applyNumberFormat="1" applyFont="1" applyFill="1" applyBorder="1" applyAlignment="1" applyProtection="1">
      <protection hidden="1"/>
    </xf>
    <xf numFmtId="166" fontId="39" fillId="7" borderId="33" xfId="0" applyNumberFormat="1" applyFont="1" applyFill="1" applyBorder="1" applyAlignment="1" applyProtection="1">
      <protection hidden="1"/>
    </xf>
    <xf numFmtId="2" fontId="39" fillId="7" borderId="0" xfId="0" applyNumberFormat="1" applyFont="1" applyFill="1" applyBorder="1" applyAlignment="1" applyProtection="1">
      <alignment horizontal="center" vertical="center"/>
      <protection hidden="1"/>
    </xf>
    <xf numFmtId="2" fontId="39" fillId="7" borderId="34" xfId="0" applyNumberFormat="1" applyFont="1" applyFill="1" applyBorder="1" applyAlignment="1" applyProtection="1">
      <alignment horizontal="center" vertical="center"/>
      <protection hidden="1"/>
    </xf>
    <xf numFmtId="0" fontId="39" fillId="7" borderId="35" xfId="0" applyNumberFormat="1" applyFont="1" applyFill="1" applyBorder="1" applyAlignment="1" applyProtection="1">
      <alignment horizontal="left" vertical="center"/>
      <protection hidden="1"/>
    </xf>
    <xf numFmtId="0" fontId="39" fillId="7" borderId="0" xfId="0" applyNumberFormat="1" applyFont="1" applyFill="1" applyBorder="1" applyAlignment="1" applyProtection="1">
      <alignment horizontal="left" vertical="center"/>
      <protection hidden="1"/>
    </xf>
    <xf numFmtId="166" fontId="39" fillId="7" borderId="35" xfId="0" applyNumberFormat="1" applyFont="1" applyFill="1" applyBorder="1" applyAlignment="1" applyProtection="1">
      <protection hidden="1"/>
    </xf>
    <xf numFmtId="166" fontId="39" fillId="7" borderId="0" xfId="0" applyNumberFormat="1" applyFont="1" applyFill="1" applyBorder="1" applyAlignment="1" applyProtection="1">
      <protection hidden="1"/>
    </xf>
    <xf numFmtId="0" fontId="39" fillId="7" borderId="34" xfId="26" applyFont="1" applyFill="1" applyBorder="1"/>
    <xf numFmtId="166" fontId="39" fillId="7" borderId="5" xfId="0" applyNumberFormat="1" applyFont="1" applyFill="1" applyBorder="1" applyAlignment="1" applyProtection="1">
      <protection hidden="1"/>
    </xf>
    <xf numFmtId="166" fontId="39" fillId="7" borderId="36" xfId="0" applyNumberFormat="1" applyFont="1" applyFill="1" applyBorder="1" applyAlignment="1" applyProtection="1">
      <protection hidden="1"/>
    </xf>
    <xf numFmtId="0" fontId="39" fillId="7" borderId="11" xfId="0" applyNumberFormat="1" applyFont="1" applyFill="1" applyBorder="1" applyAlignment="1" applyProtection="1">
      <protection hidden="1"/>
    </xf>
    <xf numFmtId="0" fontId="39" fillId="7" borderId="33" xfId="0" applyNumberFormat="1" applyFont="1" applyFill="1" applyBorder="1" applyAlignment="1" applyProtection="1">
      <protection hidden="1"/>
    </xf>
    <xf numFmtId="0" fontId="39" fillId="7" borderId="11" xfId="0" applyNumberFormat="1" applyFont="1" applyFill="1" applyBorder="1" applyAlignment="1" applyProtection="1">
      <alignment vertical="center"/>
      <protection hidden="1"/>
    </xf>
    <xf numFmtId="0" fontId="39" fillId="7" borderId="33" xfId="0" applyNumberFormat="1" applyFont="1" applyFill="1" applyBorder="1" applyAlignment="1" applyProtection="1">
      <alignment vertical="center"/>
      <protection hidden="1"/>
    </xf>
    <xf numFmtId="2" fontId="39" fillId="7" borderId="33" xfId="0" applyNumberFormat="1" applyFont="1" applyFill="1" applyBorder="1" applyAlignment="1" applyProtection="1">
      <alignment horizontal="center" vertical="center"/>
      <protection hidden="1"/>
    </xf>
    <xf numFmtId="2" fontId="39" fillId="7" borderId="37" xfId="0" applyNumberFormat="1" applyFont="1" applyFill="1" applyBorder="1" applyAlignment="1" applyProtection="1">
      <alignment horizontal="center" vertical="center"/>
      <protection hidden="1"/>
    </xf>
    <xf numFmtId="0" fontId="39" fillId="7" borderId="5" xfId="0" applyNumberFormat="1" applyFont="1" applyFill="1" applyBorder="1" applyAlignment="1" applyProtection="1">
      <alignment horizontal="left" vertical="center"/>
      <protection hidden="1"/>
    </xf>
    <xf numFmtId="0" fontId="39" fillId="7" borderId="36" xfId="0" applyNumberFormat="1" applyFont="1" applyFill="1" applyBorder="1" applyAlignment="1" applyProtection="1">
      <alignment horizontal="left" vertical="center"/>
      <protection hidden="1"/>
    </xf>
    <xf numFmtId="2" fontId="39" fillId="7" borderId="36" xfId="0" applyNumberFormat="1" applyFont="1" applyFill="1" applyBorder="1" applyAlignment="1" applyProtection="1">
      <alignment horizontal="center" vertical="center"/>
      <protection hidden="1"/>
    </xf>
    <xf numFmtId="166" fontId="39" fillId="7" borderId="8" xfId="0" applyNumberFormat="1" applyFont="1" applyFill="1" applyBorder="1" applyAlignment="1" applyProtection="1">
      <protection hidden="1"/>
    </xf>
    <xf numFmtId="166" fontId="39" fillId="7" borderId="38" xfId="0" applyNumberFormat="1" applyFont="1" applyFill="1" applyBorder="1" applyAlignment="1" applyProtection="1">
      <protection hidden="1"/>
    </xf>
    <xf numFmtId="0" fontId="40" fillId="7" borderId="33" xfId="0" applyNumberFormat="1" applyFont="1" applyFill="1" applyBorder="1" applyAlignment="1" applyProtection="1">
      <alignment horizontal="center"/>
      <protection hidden="1"/>
    </xf>
    <xf numFmtId="0" fontId="40" fillId="7" borderId="37" xfId="26" applyNumberFormat="1" applyFont="1" applyFill="1" applyBorder="1" applyAlignment="1">
      <alignment horizontal="center"/>
    </xf>
    <xf numFmtId="2" fontId="39" fillId="7" borderId="33" xfId="0" applyNumberFormat="1" applyFont="1" applyFill="1" applyBorder="1" applyAlignment="1" applyProtection="1">
      <protection hidden="1"/>
    </xf>
    <xf numFmtId="2" fontId="39" fillId="7" borderId="36" xfId="0" applyNumberFormat="1" applyFont="1" applyFill="1" applyBorder="1" applyAlignment="1" applyProtection="1">
      <protection hidden="1"/>
    </xf>
    <xf numFmtId="2" fontId="39" fillId="5" borderId="0" xfId="26" applyNumberFormat="1" applyFont="1" applyFill="1" applyBorder="1"/>
    <xf numFmtId="0" fontId="40" fillId="5" borderId="0" xfId="26" applyNumberFormat="1" applyFont="1" applyFill="1" applyBorder="1" applyAlignment="1">
      <alignment horizontal="center"/>
    </xf>
    <xf numFmtId="2" fontId="39" fillId="5" borderId="0" xfId="0" applyNumberFormat="1" applyFont="1" applyFill="1" applyBorder="1" applyAlignment="1" applyProtection="1">
      <alignment horizontal="center" vertical="center"/>
      <protection hidden="1"/>
    </xf>
    <xf numFmtId="2" fontId="39" fillId="5" borderId="0" xfId="26" applyNumberFormat="1" applyFont="1" applyFill="1" applyBorder="1" applyAlignment="1">
      <alignment horizontal="center"/>
    </xf>
    <xf numFmtId="2" fontId="39" fillId="7" borderId="37" xfId="0" applyNumberFormat="1" applyFont="1" applyFill="1" applyBorder="1" applyAlignment="1" applyProtection="1">
      <protection hidden="1"/>
    </xf>
    <xf numFmtId="2" fontId="39" fillId="7" borderId="39" xfId="0" applyNumberFormat="1" applyFont="1" applyFill="1" applyBorder="1" applyAlignment="1" applyProtection="1">
      <protection hidden="1"/>
    </xf>
    <xf numFmtId="0" fontId="40" fillId="6" borderId="40" xfId="27" applyFont="1" applyFill="1" applyBorder="1" applyAlignment="1">
      <alignment horizontal="center" vertical="center" wrapText="1"/>
    </xf>
    <xf numFmtId="10" fontId="39" fillId="5" borderId="41" xfId="41" applyNumberFormat="1" applyFont="1" applyFill="1" applyBorder="1" applyAlignment="1" applyProtection="1">
      <alignment vertical="center"/>
      <protection hidden="1"/>
    </xf>
    <xf numFmtId="2" fontId="39" fillId="7" borderId="39" xfId="26" applyNumberFormat="1" applyFont="1" applyFill="1" applyBorder="1" applyAlignment="1">
      <alignment horizontal="center" vertical="center"/>
    </xf>
    <xf numFmtId="0" fontId="40" fillId="7" borderId="33" xfId="26" applyNumberFormat="1" applyFont="1" applyFill="1" applyBorder="1" applyAlignment="1">
      <alignment horizontal="center"/>
    </xf>
    <xf numFmtId="2" fontId="39" fillId="7" borderId="36" xfId="26" applyNumberFormat="1" applyFont="1" applyFill="1" applyBorder="1" applyAlignment="1">
      <alignment horizontal="center" vertical="center"/>
    </xf>
    <xf numFmtId="0" fontId="39" fillId="7" borderId="0" xfId="26" applyFont="1" applyFill="1" applyBorder="1"/>
    <xf numFmtId="0" fontId="39" fillId="5" borderId="0" xfId="26" applyNumberFormat="1" applyFont="1" applyFill="1" applyBorder="1"/>
    <xf numFmtId="49" fontId="39" fillId="5" borderId="0" xfId="26" applyNumberFormat="1" applyFont="1" applyFill="1" applyAlignment="1">
      <alignment wrapText="1"/>
    </xf>
    <xf numFmtId="0" fontId="39" fillId="5" borderId="0" xfId="26" applyNumberFormat="1" applyFont="1" applyFill="1"/>
    <xf numFmtId="164" fontId="39" fillId="5" borderId="0" xfId="26" applyNumberFormat="1" applyFont="1" applyFill="1" applyBorder="1" applyAlignment="1">
      <alignment vertical="center"/>
    </xf>
    <xf numFmtId="0" fontId="39" fillId="5" borderId="0" xfId="26" applyNumberFormat="1" applyFont="1" applyFill="1" applyBorder="1" applyAlignment="1">
      <alignment vertical="center"/>
    </xf>
    <xf numFmtId="49" fontId="39" fillId="5" borderId="0" xfId="26" applyNumberFormat="1" applyFont="1" applyFill="1" applyBorder="1" applyAlignment="1">
      <alignment horizontal="left" wrapText="1" indent="1"/>
    </xf>
    <xf numFmtId="49" fontId="39" fillId="5" borderId="0" xfId="26" applyNumberFormat="1" applyFont="1" applyFill="1" applyBorder="1" applyAlignment="1">
      <alignment horizontal="left" wrapText="1" indent="2"/>
    </xf>
    <xf numFmtId="0" fontId="39" fillId="5" borderId="0" xfId="26" applyNumberFormat="1" applyFont="1" applyFill="1" applyBorder="1" applyAlignment="1">
      <alignment horizontal="left" wrapText="1" indent="2"/>
    </xf>
    <xf numFmtId="0" fontId="39" fillId="5" borderId="0" xfId="27" applyNumberFormat="1" applyFont="1" applyFill="1" applyBorder="1"/>
    <xf numFmtId="0" fontId="39" fillId="5" borderId="0" xfId="27" applyNumberFormat="1" applyFont="1" applyFill="1" applyBorder="1" applyAlignment="1">
      <alignment horizontal="center" vertical="center"/>
    </xf>
    <xf numFmtId="0" fontId="39" fillId="5" borderId="0" xfId="26" applyFont="1" applyFill="1" applyBorder="1" applyAlignment="1"/>
    <xf numFmtId="0" fontId="39" fillId="5" borderId="0" xfId="26" applyFont="1" applyFill="1" applyBorder="1" applyAlignment="1">
      <alignment wrapText="1"/>
    </xf>
    <xf numFmtId="0" fontId="39" fillId="5" borderId="0" xfId="26" applyFont="1" applyFill="1" applyBorder="1" applyAlignment="1">
      <alignment horizontal="center" wrapText="1"/>
    </xf>
    <xf numFmtId="0" fontId="39" fillId="5" borderId="0" xfId="26" applyFont="1" applyFill="1" applyBorder="1" applyAlignment="1">
      <alignment horizontal="right"/>
    </xf>
    <xf numFmtId="0" fontId="44" fillId="5" borderId="0" xfId="26" applyFont="1" applyFill="1" applyBorder="1" applyAlignment="1"/>
    <xf numFmtId="0" fontId="39" fillId="5" borderId="0" xfId="26" applyFont="1" applyFill="1" applyAlignment="1">
      <alignment wrapText="1"/>
    </xf>
    <xf numFmtId="0" fontId="44" fillId="5" borderId="0" xfId="26" applyFont="1" applyFill="1" applyBorder="1" applyAlignment="1">
      <alignment horizontal="center" wrapText="1"/>
    </xf>
    <xf numFmtId="0" fontId="44" fillId="5" borderId="0" xfId="26" applyFont="1" applyFill="1" applyBorder="1" applyAlignment="1">
      <alignment horizontal="center"/>
    </xf>
    <xf numFmtId="2" fontId="39" fillId="5" borderId="0" xfId="26" applyNumberFormat="1" applyFont="1" applyFill="1" applyBorder="1" applyAlignment="1">
      <alignment horizontal="right"/>
    </xf>
    <xf numFmtId="167" fontId="39" fillId="5" borderId="0" xfId="26" applyNumberFormat="1" applyFont="1" applyFill="1"/>
    <xf numFmtId="0" fontId="45" fillId="5" borderId="0" xfId="26" applyFont="1" applyFill="1" applyBorder="1"/>
    <xf numFmtId="165" fontId="40" fillId="8" borderId="1" xfId="0" applyNumberFormat="1" applyFont="1" applyFill="1" applyBorder="1"/>
    <xf numFmtId="4" fontId="40" fillId="8" borderId="42" xfId="0" applyNumberFormat="1" applyFont="1" applyFill="1" applyBorder="1"/>
    <xf numFmtId="165" fontId="40" fillId="5" borderId="30" xfId="0" applyNumberFormat="1" applyFont="1" applyFill="1" applyBorder="1"/>
    <xf numFmtId="4" fontId="40" fillId="5" borderId="43" xfId="0" applyNumberFormat="1" applyFont="1" applyFill="1" applyBorder="1"/>
    <xf numFmtId="4" fontId="39" fillId="5" borderId="44" xfId="0" applyNumberFormat="1" applyFont="1" applyFill="1" applyBorder="1"/>
    <xf numFmtId="165" fontId="40" fillId="5" borderId="29" xfId="0" applyNumberFormat="1" applyFont="1" applyFill="1" applyBorder="1"/>
    <xf numFmtId="4" fontId="40" fillId="5" borderId="44" xfId="0" applyNumberFormat="1" applyFont="1" applyFill="1" applyBorder="1"/>
    <xf numFmtId="4" fontId="39" fillId="5" borderId="43" xfId="0" applyNumberFormat="1" applyFont="1" applyFill="1" applyBorder="1"/>
    <xf numFmtId="165" fontId="39" fillId="5" borderId="0" xfId="26" applyNumberFormat="1" applyFont="1" applyFill="1" applyBorder="1"/>
    <xf numFmtId="0" fontId="39" fillId="5" borderId="45" xfId="26" applyFont="1" applyFill="1" applyBorder="1"/>
    <xf numFmtId="2" fontId="40" fillId="5" borderId="26" xfId="26" applyNumberFormat="1" applyFont="1" applyFill="1" applyBorder="1" applyAlignment="1">
      <alignment vertical="center"/>
    </xf>
    <xf numFmtId="165" fontId="40" fillId="5" borderId="1" xfId="26" applyNumberFormat="1" applyFont="1" applyFill="1" applyBorder="1" applyAlignment="1">
      <alignment vertical="center"/>
    </xf>
    <xf numFmtId="4" fontId="40" fillId="5" borderId="16" xfId="26" applyNumberFormat="1" applyFont="1" applyFill="1" applyBorder="1" applyAlignment="1">
      <alignment vertical="center"/>
    </xf>
    <xf numFmtId="0" fontId="46" fillId="9" borderId="26" xfId="26" applyFont="1" applyFill="1" applyBorder="1" applyAlignment="1">
      <alignment vertical="center"/>
    </xf>
    <xf numFmtId="0" fontId="40" fillId="6" borderId="25" xfId="26" applyFont="1" applyFill="1" applyBorder="1" applyAlignment="1">
      <alignment horizontal="center" vertical="center" wrapText="1"/>
    </xf>
    <xf numFmtId="0" fontId="40" fillId="6" borderId="18" xfId="26" applyFont="1" applyFill="1" applyBorder="1" applyAlignment="1">
      <alignment horizontal="center" vertical="center" wrapText="1"/>
    </xf>
    <xf numFmtId="0" fontId="40" fillId="6" borderId="32" xfId="26" applyFont="1" applyFill="1" applyBorder="1" applyAlignment="1">
      <alignment horizontal="center" vertical="center" wrapText="1"/>
    </xf>
    <xf numFmtId="0" fontId="40" fillId="6" borderId="46" xfId="26" applyFont="1" applyFill="1" applyBorder="1" applyAlignment="1">
      <alignment horizontal="center" vertical="center" wrapText="1"/>
    </xf>
    <xf numFmtId="0" fontId="40" fillId="6" borderId="47" xfId="26" applyFont="1" applyFill="1" applyBorder="1" applyAlignment="1">
      <alignment horizontal="center" vertical="center" wrapText="1"/>
    </xf>
    <xf numFmtId="0" fontId="40" fillId="8" borderId="25" xfId="27" applyFont="1" applyFill="1" applyBorder="1" applyAlignment="1">
      <alignment horizontal="center" vertical="center" wrapText="1"/>
    </xf>
    <xf numFmtId="0" fontId="40" fillId="8" borderId="18" xfId="27" applyFont="1" applyFill="1" applyBorder="1" applyAlignment="1">
      <alignment horizontal="center" vertical="center" wrapText="1"/>
    </xf>
    <xf numFmtId="165" fontId="40" fillId="8" borderId="1" xfId="26" applyNumberFormat="1" applyFont="1" applyFill="1" applyBorder="1" applyAlignment="1">
      <alignment vertical="center"/>
    </xf>
    <xf numFmtId="2" fontId="40" fillId="8" borderId="26" xfId="26" applyNumberFormat="1" applyFont="1" applyFill="1" applyBorder="1" applyAlignment="1">
      <alignment vertical="center"/>
    </xf>
    <xf numFmtId="165" fontId="40" fillId="5" borderId="29" xfId="0" applyNumberFormat="1" applyFont="1" applyFill="1" applyBorder="1" applyAlignment="1">
      <alignment vertical="center"/>
    </xf>
    <xf numFmtId="165" fontId="40" fillId="8" borderId="1" xfId="27" applyNumberFormat="1" applyFont="1" applyFill="1" applyBorder="1" applyAlignment="1">
      <alignment vertical="center"/>
    </xf>
    <xf numFmtId="165" fontId="40" fillId="5" borderId="29" xfId="27" applyNumberFormat="1" applyFont="1" applyFill="1" applyBorder="1" applyAlignment="1">
      <alignment vertical="center"/>
    </xf>
    <xf numFmtId="4" fontId="40" fillId="5" borderId="0" xfId="27" applyNumberFormat="1" applyFont="1" applyFill="1" applyBorder="1" applyAlignment="1">
      <alignment vertical="center"/>
    </xf>
    <xf numFmtId="165" fontId="39" fillId="0" borderId="29" xfId="27" applyNumberFormat="1" applyFont="1" applyFill="1" applyBorder="1" applyAlignment="1">
      <alignment vertical="center"/>
    </xf>
    <xf numFmtId="4" fontId="39" fillId="5" borderId="0" xfId="26" applyNumberFormat="1" applyFont="1" applyFill="1" applyBorder="1" applyAlignment="1">
      <alignment vertical="center"/>
    </xf>
    <xf numFmtId="165" fontId="39" fillId="5" borderId="29" xfId="27" applyNumberFormat="1" applyFont="1" applyFill="1" applyBorder="1" applyAlignment="1">
      <alignment vertical="center"/>
    </xf>
    <xf numFmtId="4" fontId="39" fillId="5" borderId="0" xfId="27" applyNumberFormat="1" applyFont="1" applyFill="1" applyBorder="1" applyAlignment="1">
      <alignment vertical="center"/>
    </xf>
    <xf numFmtId="2" fontId="39" fillId="5" borderId="28" xfId="26" applyNumberFormat="1" applyFont="1" applyFill="1" applyBorder="1" applyAlignment="1">
      <alignment vertical="center" wrapText="1"/>
    </xf>
    <xf numFmtId="0" fontId="39" fillId="5" borderId="0" xfId="26" applyFont="1" applyFill="1" applyAlignment="1">
      <alignment vertical="center"/>
    </xf>
    <xf numFmtId="4" fontId="40" fillId="5" borderId="44" xfId="26" applyNumberFormat="1" applyFont="1" applyFill="1" applyBorder="1" applyAlignment="1">
      <alignment vertical="center"/>
    </xf>
    <xf numFmtId="4" fontId="39" fillId="5" borderId="44" xfId="26" applyNumberFormat="1" applyFont="1" applyFill="1" applyBorder="1" applyAlignment="1">
      <alignment vertical="center"/>
    </xf>
    <xf numFmtId="4" fontId="40" fillId="8" borderId="42" xfId="26" applyNumberFormat="1" applyFont="1" applyFill="1" applyBorder="1" applyAlignment="1">
      <alignment vertical="center"/>
    </xf>
    <xf numFmtId="4" fontId="40" fillId="5" borderId="42" xfId="26" applyNumberFormat="1" applyFont="1" applyFill="1" applyBorder="1" applyAlignment="1">
      <alignment vertical="center"/>
    </xf>
    <xf numFmtId="165" fontId="39" fillId="5" borderId="29" xfId="0" applyNumberFormat="1" applyFont="1" applyFill="1" applyBorder="1" applyAlignment="1">
      <alignment vertical="center"/>
    </xf>
    <xf numFmtId="4" fontId="39" fillId="5" borderId="44" xfId="0" applyNumberFormat="1" applyFont="1" applyFill="1" applyBorder="1" applyAlignment="1">
      <alignment vertical="center"/>
    </xf>
    <xf numFmtId="165" fontId="39" fillId="5" borderId="30" xfId="0" applyNumberFormat="1" applyFont="1" applyFill="1" applyBorder="1" applyAlignment="1">
      <alignment vertical="center"/>
    </xf>
    <xf numFmtId="4" fontId="40" fillId="5" borderId="31" xfId="27" applyNumberFormat="1" applyFont="1" applyFill="1" applyBorder="1" applyAlignment="1">
      <alignment vertical="center"/>
    </xf>
    <xf numFmtId="4" fontId="40" fillId="0" borderId="48" xfId="0" applyNumberFormat="1" applyFont="1" applyBorder="1"/>
    <xf numFmtId="4" fontId="40" fillId="6" borderId="27" xfId="27" applyNumberFormat="1" applyFont="1" applyFill="1" applyBorder="1" applyAlignment="1">
      <alignment vertical="center"/>
    </xf>
    <xf numFmtId="0" fontId="47" fillId="5" borderId="0" xfId="26" applyFont="1" applyFill="1" applyBorder="1"/>
    <xf numFmtId="165" fontId="40" fillId="6" borderId="1" xfId="27" applyNumberFormat="1" applyFont="1" applyFill="1" applyBorder="1" applyAlignment="1">
      <alignment vertical="center"/>
    </xf>
    <xf numFmtId="165" fontId="40" fillId="5" borderId="1" xfId="27" applyNumberFormat="1" applyFont="1" applyFill="1" applyBorder="1" applyAlignment="1">
      <alignment vertical="center"/>
    </xf>
    <xf numFmtId="4" fontId="40" fillId="5" borderId="27" xfId="27" applyNumberFormat="1" applyFont="1" applyFill="1" applyBorder="1" applyAlignment="1">
      <alignment vertical="center"/>
    </xf>
    <xf numFmtId="4" fontId="40" fillId="6" borderId="26" xfId="26" applyNumberFormat="1" applyFont="1" applyFill="1" applyBorder="1" applyAlignment="1">
      <alignment vertical="center"/>
    </xf>
    <xf numFmtId="4" fontId="39" fillId="0" borderId="0" xfId="27" applyNumberFormat="1" applyFont="1" applyFill="1" applyBorder="1" applyAlignment="1">
      <alignment vertical="center"/>
    </xf>
    <xf numFmtId="4" fontId="40" fillId="5" borderId="27" xfId="26" applyNumberFormat="1" applyFont="1" applyFill="1" applyBorder="1" applyAlignment="1">
      <alignment vertical="center"/>
    </xf>
    <xf numFmtId="165" fontId="40" fillId="10" borderId="29" xfId="27" applyNumberFormat="1" applyFont="1" applyFill="1" applyBorder="1" applyAlignment="1">
      <alignment vertical="center"/>
    </xf>
    <xf numFmtId="165" fontId="40" fillId="5" borderId="49" xfId="27" applyNumberFormat="1" applyFont="1" applyFill="1" applyBorder="1" applyAlignment="1">
      <alignment vertical="center"/>
    </xf>
    <xf numFmtId="166" fontId="39" fillId="5" borderId="28" xfId="0" applyNumberFormat="1" applyFont="1" applyFill="1" applyBorder="1" applyAlignment="1" applyProtection="1">
      <alignment vertical="center"/>
      <protection hidden="1"/>
    </xf>
    <xf numFmtId="0" fontId="47" fillId="5" borderId="32" xfId="27" applyFont="1" applyFill="1" applyBorder="1" applyAlignment="1"/>
    <xf numFmtId="165" fontId="40" fillId="6" borderId="49" xfId="27" applyNumberFormat="1" applyFont="1" applyFill="1" applyBorder="1" applyAlignment="1">
      <alignment vertical="center"/>
    </xf>
    <xf numFmtId="4" fontId="40" fillId="6" borderId="32" xfId="27" applyNumberFormat="1" applyFont="1" applyFill="1" applyBorder="1" applyAlignment="1">
      <alignment vertical="center"/>
    </xf>
    <xf numFmtId="4" fontId="39" fillId="2" borderId="0" xfId="5" applyNumberFormat="1" applyFont="1" applyBorder="1" applyAlignment="1">
      <alignment vertical="center"/>
    </xf>
    <xf numFmtId="165" fontId="40" fillId="0" borderId="29" xfId="27" applyNumberFormat="1" applyFont="1" applyFill="1" applyBorder="1" applyAlignment="1">
      <alignment vertical="center"/>
    </xf>
    <xf numFmtId="0" fontId="39" fillId="5" borderId="0" xfId="26" applyFont="1" applyFill="1" applyBorder="1" applyAlignment="1">
      <alignment horizontal="center"/>
    </xf>
    <xf numFmtId="165" fontId="40" fillId="5" borderId="0" xfId="27" applyNumberFormat="1" applyFont="1" applyFill="1" applyBorder="1" applyAlignment="1">
      <alignment vertical="center"/>
    </xf>
    <xf numFmtId="0" fontId="46" fillId="11" borderId="26" xfId="26" applyFont="1" applyFill="1" applyBorder="1" applyAlignment="1">
      <alignment vertical="center"/>
    </xf>
    <xf numFmtId="0" fontId="40" fillId="12" borderId="25" xfId="27" applyFont="1" applyFill="1" applyBorder="1" applyAlignment="1">
      <alignment horizontal="center" vertical="center" wrapText="1"/>
    </xf>
    <xf numFmtId="0" fontId="40" fillId="12" borderId="18" xfId="27" applyFont="1" applyFill="1" applyBorder="1" applyAlignment="1">
      <alignment horizontal="center" vertical="center" wrapText="1"/>
    </xf>
    <xf numFmtId="165" fontId="40" fillId="12" borderId="1" xfId="26" applyNumberFormat="1" applyFont="1" applyFill="1" applyBorder="1" applyAlignment="1">
      <alignment vertical="center"/>
    </xf>
    <xf numFmtId="4" fontId="40" fillId="12" borderId="16" xfId="26" applyNumberFormat="1" applyFont="1" applyFill="1" applyBorder="1" applyAlignment="1">
      <alignment vertical="center"/>
    </xf>
    <xf numFmtId="0" fontId="46" fillId="5" borderId="0" xfId="26" applyFont="1" applyFill="1" applyBorder="1"/>
    <xf numFmtId="0" fontId="46" fillId="5" borderId="0" xfId="26" applyFont="1" applyFill="1" applyBorder="1" applyAlignment="1">
      <alignment vertical="center"/>
    </xf>
    <xf numFmtId="165" fontId="40" fillId="12" borderId="49" xfId="27" applyNumberFormat="1" applyFont="1" applyFill="1" applyBorder="1" applyAlignment="1">
      <alignment vertical="center"/>
    </xf>
    <xf numFmtId="165" fontId="40" fillId="12" borderId="1" xfId="27" applyNumberFormat="1" applyFont="1" applyFill="1" applyBorder="1" applyAlignment="1">
      <alignment vertical="center"/>
    </xf>
    <xf numFmtId="2" fontId="40" fillId="12" borderId="26" xfId="26" applyNumberFormat="1" applyFont="1" applyFill="1" applyBorder="1" applyAlignment="1">
      <alignment vertical="center"/>
    </xf>
    <xf numFmtId="176" fontId="40" fillId="5" borderId="29" xfId="27" applyNumberFormat="1" applyFont="1" applyFill="1" applyBorder="1" applyAlignment="1">
      <alignment vertical="center"/>
    </xf>
    <xf numFmtId="176" fontId="39" fillId="5" borderId="0" xfId="26" applyNumberFormat="1" applyFont="1" applyFill="1" applyBorder="1" applyAlignment="1">
      <alignment vertical="center"/>
    </xf>
    <xf numFmtId="176" fontId="40" fillId="5" borderId="0" xfId="26" applyNumberFormat="1" applyFont="1" applyFill="1" applyBorder="1" applyAlignment="1">
      <alignment vertical="center"/>
    </xf>
    <xf numFmtId="176" fontId="40" fillId="6" borderId="27" xfId="27" applyNumberFormat="1" applyFont="1" applyFill="1" applyBorder="1" applyAlignment="1">
      <alignment vertical="center"/>
    </xf>
    <xf numFmtId="176" fontId="40" fillId="5" borderId="0" xfId="27" applyNumberFormat="1" applyFont="1" applyFill="1" applyBorder="1" applyAlignment="1">
      <alignment vertical="center"/>
    </xf>
    <xf numFmtId="176" fontId="39" fillId="5" borderId="0" xfId="27" applyNumberFormat="1" applyFont="1" applyFill="1" applyBorder="1" applyAlignment="1">
      <alignment vertical="center"/>
    </xf>
    <xf numFmtId="176" fontId="40" fillId="6" borderId="27" xfId="26" applyNumberFormat="1" applyFont="1" applyFill="1" applyBorder="1" applyAlignment="1">
      <alignment vertical="center"/>
    </xf>
    <xf numFmtId="176" fontId="40" fillId="5" borderId="27" xfId="27" applyNumberFormat="1" applyFont="1" applyFill="1" applyBorder="1" applyAlignment="1">
      <alignment vertical="center"/>
    </xf>
    <xf numFmtId="0" fontId="33" fillId="0" borderId="0" xfId="31" applyFont="1"/>
    <xf numFmtId="0" fontId="46" fillId="13" borderId="26" xfId="26" applyFont="1" applyFill="1" applyBorder="1" applyAlignment="1">
      <alignment vertical="center"/>
    </xf>
    <xf numFmtId="165" fontId="39" fillId="4" borderId="0" xfId="26" applyNumberFormat="1" applyFont="1" applyFill="1"/>
    <xf numFmtId="165" fontId="39" fillId="14" borderId="0" xfId="26" applyNumberFormat="1" applyFont="1" applyFill="1"/>
    <xf numFmtId="2" fontId="39" fillId="5" borderId="0" xfId="0" applyNumberFormat="1" applyFont="1" applyFill="1" applyBorder="1" applyAlignment="1" applyProtection="1">
      <protection hidden="1"/>
    </xf>
    <xf numFmtId="0" fontId="27" fillId="0" borderId="0" xfId="0" applyFont="1"/>
    <xf numFmtId="175" fontId="0" fillId="0" borderId="0" xfId="0" applyNumberFormat="1"/>
    <xf numFmtId="0" fontId="39" fillId="5" borderId="45" xfId="26" applyFont="1" applyFill="1" applyBorder="1" applyAlignment="1"/>
    <xf numFmtId="0" fontId="40" fillId="6" borderId="0" xfId="27" applyFont="1" applyFill="1" applyBorder="1" applyAlignment="1">
      <alignment horizontal="center" vertical="center" wrapText="1"/>
    </xf>
    <xf numFmtId="165" fontId="39" fillId="4" borderId="29" xfId="27" applyNumberFormat="1" applyFont="1" applyFill="1" applyBorder="1" applyAlignment="1">
      <alignment vertical="center"/>
    </xf>
    <xf numFmtId="4" fontId="39" fillId="4" borderId="31" xfId="26" applyNumberFormat="1" applyFont="1" applyFill="1" applyBorder="1" applyAlignment="1">
      <alignment vertical="center"/>
    </xf>
    <xf numFmtId="165" fontId="40" fillId="4" borderId="1" xfId="26" applyNumberFormat="1" applyFont="1" applyFill="1" applyBorder="1" applyAlignment="1">
      <alignment vertical="center"/>
    </xf>
    <xf numFmtId="4" fontId="40" fillId="4" borderId="16" xfId="26" applyNumberFormat="1" applyFont="1" applyFill="1" applyBorder="1" applyAlignment="1">
      <alignment vertical="center"/>
    </xf>
    <xf numFmtId="0" fontId="39" fillId="5" borderId="0" xfId="28" applyFont="1" applyFill="1"/>
    <xf numFmtId="2" fontId="43" fillId="5" borderId="0" xfId="28" applyNumberFormat="1" applyFont="1" applyFill="1" applyBorder="1" applyAlignment="1">
      <alignment vertical="center"/>
    </xf>
    <xf numFmtId="2" fontId="39" fillId="5" borderId="0" xfId="28" applyNumberFormat="1" applyFont="1" applyFill="1" applyBorder="1" applyAlignment="1">
      <alignment wrapText="1"/>
    </xf>
    <xf numFmtId="0" fontId="39" fillId="5" borderId="0" xfId="28" applyFont="1" applyFill="1" applyBorder="1"/>
    <xf numFmtId="165" fontId="39" fillId="5" borderId="0" xfId="28" applyNumberFormat="1" applyFont="1" applyFill="1"/>
    <xf numFmtId="0" fontId="39" fillId="5" borderId="0" xfId="28" applyNumberFormat="1" applyFont="1" applyFill="1" applyBorder="1"/>
    <xf numFmtId="49" fontId="39" fillId="5" borderId="0" xfId="28" applyNumberFormat="1" applyFont="1" applyFill="1" applyBorder="1" applyAlignment="1">
      <alignment wrapText="1"/>
    </xf>
    <xf numFmtId="165" fontId="39" fillId="5" borderId="36" xfId="28" applyNumberFormat="1" applyFont="1" applyFill="1" applyBorder="1" applyAlignment="1">
      <alignment vertical="center"/>
    </xf>
    <xf numFmtId="0" fontId="39" fillId="5" borderId="38" xfId="28" applyFont="1" applyFill="1" applyBorder="1"/>
    <xf numFmtId="165" fontId="39" fillId="5" borderId="38" xfId="28" applyNumberFormat="1" applyFont="1" applyFill="1" applyBorder="1" applyAlignment="1">
      <alignment vertical="center"/>
    </xf>
    <xf numFmtId="4" fontId="39" fillId="5" borderId="38" xfId="28" applyNumberFormat="1" applyFont="1" applyFill="1" applyBorder="1"/>
    <xf numFmtId="49" fontId="39" fillId="5" borderId="0" xfId="28" applyNumberFormat="1" applyFont="1" applyFill="1" applyAlignment="1"/>
    <xf numFmtId="49" fontId="39" fillId="5" borderId="0" xfId="28" applyNumberFormat="1" applyFont="1" applyFill="1" applyAlignment="1">
      <alignment wrapText="1"/>
    </xf>
    <xf numFmtId="0" fontId="39" fillId="5" borderId="0" xfId="28" applyNumberFormat="1" applyFont="1" applyFill="1"/>
    <xf numFmtId="49" fontId="39" fillId="5" borderId="0" xfId="28" applyNumberFormat="1" applyFont="1" applyFill="1" applyAlignment="1">
      <alignment horizontal="right" wrapText="1"/>
    </xf>
    <xf numFmtId="0" fontId="39" fillId="5" borderId="38" xfId="28" applyFont="1" applyFill="1" applyBorder="1" applyAlignment="1">
      <alignment horizontal="right"/>
    </xf>
    <xf numFmtId="49" fontId="39" fillId="5" borderId="38" xfId="28" applyNumberFormat="1" applyFont="1" applyFill="1" applyBorder="1" applyAlignment="1">
      <alignment wrapText="1"/>
    </xf>
    <xf numFmtId="0" fontId="34" fillId="5" borderId="38" xfId="28" applyFont="1" applyFill="1" applyBorder="1" applyAlignment="1">
      <alignment horizontal="right"/>
    </xf>
    <xf numFmtId="0" fontId="39" fillId="5" borderId="33" xfId="28" applyFont="1" applyFill="1" applyBorder="1"/>
    <xf numFmtId="165" fontId="39" fillId="5" borderId="48" xfId="28" applyNumberFormat="1" applyFont="1" applyFill="1" applyBorder="1" applyAlignment="1">
      <alignment vertical="center"/>
    </xf>
    <xf numFmtId="0" fontId="39" fillId="5" borderId="36" xfId="28" applyFont="1" applyFill="1" applyBorder="1"/>
    <xf numFmtId="0" fontId="39" fillId="5" borderId="0" xfId="28" applyFont="1" applyFill="1" applyAlignment="1">
      <alignment horizontal="right"/>
    </xf>
    <xf numFmtId="0" fontId="39" fillId="5" borderId="0" xfId="28" applyFont="1" applyFill="1" applyAlignment="1">
      <alignment vertical="center"/>
    </xf>
    <xf numFmtId="0" fontId="39" fillId="5" borderId="50" xfId="28" applyFont="1" applyFill="1" applyBorder="1" applyAlignment="1">
      <alignment horizontal="right" vertical="center"/>
    </xf>
    <xf numFmtId="0" fontId="39" fillId="5" borderId="50" xfId="28" applyFont="1" applyFill="1" applyBorder="1" applyAlignment="1">
      <alignment vertical="center"/>
    </xf>
    <xf numFmtId="49" fontId="39" fillId="5" borderId="50" xfId="28" applyNumberFormat="1" applyFont="1" applyFill="1" applyBorder="1" applyAlignment="1">
      <alignment vertical="center" wrapText="1"/>
    </xf>
    <xf numFmtId="165" fontId="39" fillId="5" borderId="50" xfId="28" applyNumberFormat="1" applyFont="1" applyFill="1" applyBorder="1" applyAlignment="1">
      <alignment vertical="center"/>
    </xf>
    <xf numFmtId="4" fontId="39" fillId="5" borderId="50" xfId="28" applyNumberFormat="1" applyFont="1" applyFill="1" applyBorder="1" applyAlignment="1">
      <alignment vertical="center"/>
    </xf>
    <xf numFmtId="0" fontId="39" fillId="5" borderId="0" xfId="28" applyNumberFormat="1" applyFont="1" applyFill="1" applyAlignment="1">
      <alignment vertical="center"/>
    </xf>
    <xf numFmtId="165" fontId="48" fillId="4" borderId="29" xfId="27" applyNumberFormat="1" applyFont="1" applyFill="1" applyBorder="1" applyAlignment="1">
      <alignment vertical="center"/>
    </xf>
    <xf numFmtId="165" fontId="49" fillId="4" borderId="29" xfId="27" applyNumberFormat="1" applyFont="1" applyFill="1" applyBorder="1" applyAlignment="1">
      <alignment vertical="center"/>
    </xf>
    <xf numFmtId="165" fontId="39" fillId="5" borderId="24" xfId="28" applyNumberFormat="1" applyFont="1" applyFill="1" applyBorder="1"/>
    <xf numFmtId="0" fontId="39" fillId="5" borderId="24" xfId="28" applyFont="1" applyFill="1" applyBorder="1"/>
    <xf numFmtId="165" fontId="39" fillId="5" borderId="0" xfId="28" applyNumberFormat="1" applyFont="1" applyFill="1" applyBorder="1" applyAlignment="1">
      <alignment vertical="center"/>
    </xf>
    <xf numFmtId="0" fontId="39" fillId="7" borderId="0" xfId="26" applyFont="1" applyFill="1" applyBorder="1" applyAlignment="1">
      <alignment wrapText="1"/>
    </xf>
    <xf numFmtId="0" fontId="39" fillId="7" borderId="11" xfId="26" applyFont="1" applyFill="1" applyBorder="1"/>
    <xf numFmtId="0" fontId="39" fillId="7" borderId="33" xfId="26" applyFont="1" applyFill="1" applyBorder="1"/>
    <xf numFmtId="0" fontId="39" fillId="7" borderId="37" xfId="26" applyFont="1" applyFill="1" applyBorder="1"/>
    <xf numFmtId="0" fontId="39" fillId="7" borderId="35" xfId="26" applyFont="1" applyFill="1" applyBorder="1"/>
    <xf numFmtId="4" fontId="39" fillId="7" borderId="35" xfId="26" applyNumberFormat="1" applyFont="1" applyFill="1" applyBorder="1" applyAlignment="1">
      <alignment wrapText="1"/>
    </xf>
    <xf numFmtId="0" fontId="39" fillId="7" borderId="34" xfId="26" applyFont="1" applyFill="1" applyBorder="1" applyAlignment="1">
      <alignment wrapText="1"/>
    </xf>
    <xf numFmtId="0" fontId="39" fillId="7" borderId="5" xfId="26" applyFont="1" applyFill="1" applyBorder="1" applyAlignment="1">
      <alignment wrapText="1"/>
    </xf>
    <xf numFmtId="0" fontId="39" fillId="7" borderId="36" xfId="26" applyFont="1" applyFill="1" applyBorder="1" applyAlignment="1">
      <alignment wrapText="1"/>
    </xf>
    <xf numFmtId="0" fontId="39" fillId="7" borderId="39" xfId="26" applyFont="1" applyFill="1" applyBorder="1" applyAlignment="1">
      <alignment wrapText="1"/>
    </xf>
    <xf numFmtId="165" fontId="39" fillId="5" borderId="0" xfId="28" applyNumberFormat="1" applyFont="1" applyFill="1" applyBorder="1"/>
    <xf numFmtId="4" fontId="39" fillId="7" borderId="33" xfId="27" applyNumberFormat="1" applyFont="1" applyFill="1" applyBorder="1"/>
    <xf numFmtId="4" fontId="39" fillId="7" borderId="37" xfId="27" applyNumberFormat="1" applyFont="1" applyFill="1" applyBorder="1"/>
    <xf numFmtId="4" fontId="39" fillId="7" borderId="35" xfId="27" applyNumberFormat="1" applyFont="1" applyFill="1" applyBorder="1"/>
    <xf numFmtId="4" fontId="39" fillId="7" borderId="0" xfId="27" applyNumberFormat="1" applyFont="1" applyFill="1" applyBorder="1"/>
    <xf numFmtId="4" fontId="39" fillId="7" borderId="34" xfId="27" applyNumberFormat="1" applyFont="1" applyFill="1" applyBorder="1"/>
    <xf numFmtId="4" fontId="39" fillId="7" borderId="5" xfId="27" applyNumberFormat="1" applyFont="1" applyFill="1" applyBorder="1"/>
    <xf numFmtId="4" fontId="39" fillId="7" borderId="36" xfId="27" applyNumberFormat="1" applyFont="1" applyFill="1" applyBorder="1"/>
    <xf numFmtId="4" fontId="39" fillId="7" borderId="39" xfId="27" applyNumberFormat="1" applyFont="1" applyFill="1" applyBorder="1"/>
    <xf numFmtId="49" fontId="39" fillId="7" borderId="35" xfId="27" applyNumberFormat="1" applyFont="1" applyFill="1" applyBorder="1" applyAlignment="1">
      <alignment horizontal="center"/>
    </xf>
    <xf numFmtId="49" fontId="39" fillId="7" borderId="5" xfId="27" applyNumberFormat="1" applyFont="1" applyFill="1" applyBorder="1" applyAlignment="1">
      <alignment horizontal="center"/>
    </xf>
    <xf numFmtId="4" fontId="35" fillId="7" borderId="41" xfId="27" applyNumberFormat="1" applyFont="1" applyFill="1" applyBorder="1" applyAlignment="1">
      <alignment horizontal="center"/>
    </xf>
    <xf numFmtId="166" fontId="39" fillId="6" borderId="16" xfId="0" applyNumberFormat="1" applyFont="1" applyFill="1" applyBorder="1" applyAlignment="1" applyProtection="1">
      <alignment horizontal="center" vertical="center"/>
      <protection hidden="1"/>
    </xf>
    <xf numFmtId="166" fontId="39" fillId="6" borderId="3" xfId="0" applyNumberFormat="1" applyFont="1" applyFill="1" applyBorder="1" applyAlignment="1" applyProtection="1">
      <alignment horizontal="center" vertical="center"/>
      <protection hidden="1"/>
    </xf>
    <xf numFmtId="0" fontId="40" fillId="6" borderId="24" xfId="27" applyFont="1" applyFill="1" applyBorder="1" applyAlignment="1">
      <alignment horizontal="center" vertical="center"/>
    </xf>
    <xf numFmtId="0" fontId="40" fillId="6" borderId="32" xfId="27" applyFont="1" applyFill="1" applyBorder="1" applyAlignment="1">
      <alignment horizontal="center" vertical="center"/>
    </xf>
    <xf numFmtId="0" fontId="39" fillId="5" borderId="24" xfId="26" applyFont="1" applyFill="1" applyBorder="1" applyAlignment="1">
      <alignment horizontal="center" vertical="center" wrapText="1"/>
    </xf>
    <xf numFmtId="0" fontId="39" fillId="5" borderId="32" xfId="26" applyFont="1" applyFill="1" applyBorder="1" applyAlignment="1">
      <alignment horizontal="center" vertical="center" wrapText="1"/>
    </xf>
    <xf numFmtId="165" fontId="39" fillId="5" borderId="0" xfId="27" applyNumberFormat="1" applyFont="1" applyFill="1"/>
    <xf numFmtId="2" fontId="39" fillId="5" borderId="0" xfId="27" applyNumberFormat="1" applyFont="1" applyFill="1"/>
    <xf numFmtId="165" fontId="50" fillId="5" borderId="29" xfId="27" applyNumberFormat="1" applyFont="1" applyFill="1" applyBorder="1" applyAlignment="1">
      <alignment vertical="center"/>
    </xf>
    <xf numFmtId="1" fontId="39" fillId="5" borderId="0" xfId="0" applyNumberFormat="1" applyFont="1" applyFill="1" applyBorder="1" applyAlignment="1" applyProtection="1">
      <protection hidden="1"/>
    </xf>
    <xf numFmtId="165" fontId="34" fillId="5" borderId="29" xfId="27" applyNumberFormat="1" applyFont="1" applyFill="1" applyBorder="1" applyAlignment="1">
      <alignment vertical="center"/>
    </xf>
    <xf numFmtId="4" fontId="34" fillId="5" borderId="31" xfId="26" applyNumberFormat="1" applyFont="1" applyFill="1" applyBorder="1" applyAlignment="1">
      <alignment vertical="center"/>
    </xf>
    <xf numFmtId="2" fontId="40" fillId="0" borderId="26" xfId="26" applyNumberFormat="1" applyFont="1" applyFill="1" applyBorder="1" applyAlignment="1">
      <alignment vertical="center"/>
    </xf>
    <xf numFmtId="165" fontId="40" fillId="0" borderId="1" xfId="27" applyNumberFormat="1" applyFont="1" applyFill="1" applyBorder="1" applyAlignment="1">
      <alignment vertical="center"/>
    </xf>
    <xf numFmtId="4" fontId="40" fillId="0" borderId="16" xfId="26" applyNumberFormat="1" applyFont="1" applyFill="1" applyBorder="1" applyAlignment="1">
      <alignment vertical="center"/>
    </xf>
    <xf numFmtId="4" fontId="40" fillId="0" borderId="31" xfId="26" applyNumberFormat="1" applyFont="1" applyFill="1" applyBorder="1" applyAlignment="1">
      <alignment vertical="center"/>
    </xf>
    <xf numFmtId="2" fontId="34" fillId="0" borderId="28" xfId="26" applyNumberFormat="1" applyFont="1" applyFill="1" applyBorder="1" applyAlignment="1">
      <alignment horizontal="left" vertical="center" indent="1"/>
    </xf>
    <xf numFmtId="2" fontId="40" fillId="5" borderId="51" xfId="26" applyNumberFormat="1" applyFont="1" applyFill="1" applyBorder="1" applyAlignment="1">
      <alignment vertical="center"/>
    </xf>
    <xf numFmtId="2" fontId="39" fillId="5" borderId="47" xfId="26" applyNumberFormat="1" applyFont="1" applyFill="1" applyBorder="1" applyAlignment="1">
      <alignment vertical="center"/>
    </xf>
    <xf numFmtId="165" fontId="41" fillId="5" borderId="30" xfId="27" applyNumberFormat="1" applyFont="1" applyFill="1" applyBorder="1" applyAlignment="1">
      <alignment vertical="center"/>
    </xf>
    <xf numFmtId="165" fontId="40" fillId="5" borderId="30" xfId="27" applyNumberFormat="1" applyFont="1" applyFill="1" applyBorder="1" applyAlignment="1">
      <alignment vertical="center"/>
    </xf>
    <xf numFmtId="165" fontId="39" fillId="5" borderId="49" xfId="0" applyNumberFormat="1" applyFont="1" applyFill="1" applyBorder="1" applyAlignment="1">
      <alignment vertical="center"/>
    </xf>
    <xf numFmtId="4" fontId="39" fillId="5" borderId="40" xfId="0" applyNumberFormat="1" applyFont="1" applyFill="1" applyBorder="1"/>
    <xf numFmtId="0" fontId="47" fillId="5" borderId="0" xfId="27" applyFont="1" applyFill="1" applyBorder="1" applyAlignment="1"/>
    <xf numFmtId="4" fontId="39" fillId="5" borderId="0" xfId="28" applyNumberFormat="1" applyFont="1" applyFill="1" applyBorder="1"/>
    <xf numFmtId="4" fontId="39" fillId="5" borderId="0" xfId="28" applyNumberFormat="1" applyFont="1" applyFill="1" applyBorder="1" applyAlignment="1">
      <alignment vertical="center"/>
    </xf>
    <xf numFmtId="2" fontId="40" fillId="15" borderId="26" xfId="26" applyNumberFormat="1" applyFont="1" applyFill="1" applyBorder="1" applyAlignment="1">
      <alignment vertical="center"/>
    </xf>
    <xf numFmtId="165" fontId="40" fillId="15" borderId="1" xfId="26" applyNumberFormat="1" applyFont="1" applyFill="1" applyBorder="1" applyAlignment="1">
      <alignment vertical="center"/>
    </xf>
    <xf numFmtId="4" fontId="40" fillId="15" borderId="16" xfId="26" applyNumberFormat="1" applyFont="1" applyFill="1" applyBorder="1" applyAlignment="1">
      <alignment vertical="center"/>
    </xf>
    <xf numFmtId="165" fontId="35" fillId="5" borderId="1" xfId="27" applyNumberFormat="1" applyFont="1" applyFill="1" applyBorder="1" applyAlignment="1">
      <alignment vertical="center"/>
    </xf>
    <xf numFmtId="4" fontId="35" fillId="5" borderId="16" xfId="26" applyNumberFormat="1" applyFont="1" applyFill="1" applyBorder="1" applyAlignment="1">
      <alignment vertical="center"/>
    </xf>
    <xf numFmtId="2" fontId="39" fillId="5" borderId="51" xfId="26" applyNumberFormat="1" applyFont="1" applyFill="1" applyBorder="1" applyAlignment="1">
      <alignment vertical="center"/>
    </xf>
    <xf numFmtId="165" fontId="39" fillId="5" borderId="30" xfId="27" applyNumberFormat="1" applyFont="1" applyFill="1" applyBorder="1" applyAlignment="1">
      <alignment vertical="center"/>
    </xf>
    <xf numFmtId="4" fontId="39" fillId="5" borderId="52" xfId="26" applyNumberFormat="1" applyFont="1" applyFill="1" applyBorder="1" applyAlignment="1">
      <alignment vertical="center"/>
    </xf>
    <xf numFmtId="2" fontId="40" fillId="5" borderId="47" xfId="26" applyNumberFormat="1" applyFont="1" applyFill="1" applyBorder="1" applyAlignment="1">
      <alignment vertical="center"/>
    </xf>
    <xf numFmtId="165" fontId="39" fillId="5" borderId="49" xfId="27" applyNumberFormat="1" applyFont="1" applyFill="1" applyBorder="1" applyAlignment="1">
      <alignment vertical="center"/>
    </xf>
    <xf numFmtId="4" fontId="40" fillId="5" borderId="40" xfId="26" applyNumberFormat="1" applyFont="1" applyFill="1" applyBorder="1" applyAlignment="1">
      <alignment vertical="center"/>
    </xf>
    <xf numFmtId="166" fontId="39" fillId="6" borderId="26" xfId="0" applyNumberFormat="1" applyFont="1" applyFill="1" applyBorder="1" applyAlignment="1" applyProtection="1">
      <alignment vertical="center"/>
      <protection hidden="1"/>
    </xf>
    <xf numFmtId="166" fontId="39" fillId="6" borderId="16" xfId="0" applyNumberFormat="1" applyFont="1" applyFill="1" applyBorder="1" applyAlignment="1" applyProtection="1">
      <alignment vertical="center"/>
      <protection hidden="1"/>
    </xf>
    <xf numFmtId="166" fontId="51" fillId="6" borderId="26" xfId="0" applyNumberFormat="1" applyFont="1" applyFill="1" applyBorder="1" applyAlignment="1" applyProtection="1">
      <alignment vertical="center"/>
      <protection hidden="1"/>
    </xf>
    <xf numFmtId="166" fontId="51" fillId="6" borderId="16" xfId="0" applyNumberFormat="1" applyFont="1" applyFill="1" applyBorder="1" applyAlignment="1" applyProtection="1">
      <alignment vertical="center"/>
      <protection hidden="1"/>
    </xf>
    <xf numFmtId="177" fontId="39" fillId="5" borderId="0" xfId="26" applyNumberFormat="1" applyFont="1" applyFill="1" applyBorder="1"/>
    <xf numFmtId="4" fontId="40" fillId="5" borderId="43" xfId="26" applyNumberFormat="1" applyFont="1" applyFill="1" applyBorder="1" applyAlignment="1">
      <alignment vertical="center"/>
    </xf>
    <xf numFmtId="0" fontId="52" fillId="11" borderId="26" xfId="26" applyFont="1" applyFill="1" applyBorder="1" applyAlignment="1">
      <alignment horizontal="center" vertical="center"/>
    </xf>
    <xf numFmtId="4" fontId="35" fillId="5" borderId="0" xfId="26" applyNumberFormat="1" applyFont="1" applyFill="1" applyBorder="1"/>
    <xf numFmtId="0" fontId="28" fillId="0" borderId="0" xfId="0" applyFont="1"/>
    <xf numFmtId="4" fontId="28" fillId="0" borderId="0" xfId="0" applyNumberFormat="1" applyFont="1"/>
    <xf numFmtId="2" fontId="39" fillId="15" borderId="26" xfId="26" applyNumberFormat="1" applyFont="1" applyFill="1" applyBorder="1" applyAlignment="1">
      <alignment vertical="center"/>
    </xf>
    <xf numFmtId="165" fontId="34" fillId="15" borderId="1" xfId="27" applyNumberFormat="1" applyFont="1" applyFill="1" applyBorder="1" applyAlignment="1">
      <alignment vertical="center"/>
    </xf>
    <xf numFmtId="4" fontId="34" fillId="15" borderId="16" xfId="26" applyNumberFormat="1" applyFont="1" applyFill="1" applyBorder="1" applyAlignment="1">
      <alignment vertical="center"/>
    </xf>
    <xf numFmtId="165" fontId="39" fillId="15" borderId="1" xfId="27" applyNumberFormat="1" applyFont="1" applyFill="1" applyBorder="1" applyAlignment="1">
      <alignment vertical="center"/>
    </xf>
    <xf numFmtId="4" fontId="39" fillId="15" borderId="16" xfId="26" applyNumberFormat="1" applyFont="1" applyFill="1" applyBorder="1" applyAlignment="1">
      <alignment vertical="center"/>
    </xf>
    <xf numFmtId="2" fontId="39" fillId="5" borderId="0" xfId="28" applyNumberFormat="1" applyFont="1" applyFill="1" applyBorder="1"/>
    <xf numFmtId="0" fontId="29" fillId="0" borderId="58" xfId="0" applyFont="1" applyBorder="1" applyAlignment="1">
      <alignment vertical="top" wrapText="1"/>
    </xf>
    <xf numFmtId="0" fontId="29" fillId="0" borderId="59" xfId="0" applyFont="1" applyBorder="1" applyAlignment="1">
      <alignment horizontal="center" vertical="top" wrapText="1"/>
    </xf>
    <xf numFmtId="0" fontId="29" fillId="0" borderId="60" xfId="0" applyFont="1" applyBorder="1" applyAlignment="1">
      <alignment vertical="top" wrapText="1"/>
    </xf>
    <xf numFmtId="4" fontId="29" fillId="0" borderId="61" xfId="0" applyNumberFormat="1" applyFont="1" applyBorder="1" applyAlignment="1">
      <alignment horizontal="right" vertical="top" wrapText="1"/>
    </xf>
    <xf numFmtId="0" fontId="30" fillId="0" borderId="60" xfId="0" applyFont="1" applyBorder="1" applyAlignment="1">
      <alignment vertical="top" wrapText="1"/>
    </xf>
    <xf numFmtId="4" fontId="30" fillId="0" borderId="61" xfId="0" applyNumberFormat="1" applyFont="1" applyBorder="1" applyAlignment="1">
      <alignment horizontal="right" vertical="top" wrapText="1"/>
    </xf>
    <xf numFmtId="4" fontId="53" fillId="0" borderId="61" xfId="0" applyNumberFormat="1" applyFont="1" applyBorder="1" applyAlignment="1">
      <alignment horizontal="right" vertical="top" wrapText="1"/>
    </xf>
    <xf numFmtId="4" fontId="54" fillId="0" borderId="61" xfId="0" applyNumberFormat="1" applyFont="1" applyBorder="1" applyAlignment="1">
      <alignment horizontal="right" vertical="top" wrapText="1"/>
    </xf>
    <xf numFmtId="2" fontId="46" fillId="5" borderId="0" xfId="28" applyNumberFormat="1" applyFont="1" applyFill="1"/>
    <xf numFmtId="2" fontId="39" fillId="5" borderId="0" xfId="26" applyNumberFormat="1" applyFont="1" applyFill="1"/>
    <xf numFmtId="165" fontId="39" fillId="5" borderId="29" xfId="0" applyNumberFormat="1" applyFont="1" applyFill="1" applyBorder="1"/>
    <xf numFmtId="4" fontId="40" fillId="5" borderId="52" xfId="26" applyNumberFormat="1" applyFont="1" applyFill="1" applyBorder="1" applyAlignment="1">
      <alignment vertical="center"/>
    </xf>
    <xf numFmtId="4" fontId="40" fillId="0" borderId="52" xfId="26" applyNumberFormat="1" applyFont="1" applyFill="1" applyBorder="1" applyAlignment="1">
      <alignment vertical="center"/>
    </xf>
    <xf numFmtId="176" fontId="40" fillId="6" borderId="49" xfId="27" applyNumberFormat="1" applyFont="1" applyFill="1" applyBorder="1" applyAlignment="1">
      <alignment vertical="center"/>
    </xf>
    <xf numFmtId="176" fontId="55" fillId="5" borderId="29" xfId="44" applyNumberFormat="1" applyFont="1" applyFill="1" applyBorder="1" applyAlignment="1" applyProtection="1">
      <alignment horizontal="right" vertical="center"/>
      <protection hidden="1"/>
    </xf>
    <xf numFmtId="176" fontId="55" fillId="5" borderId="29" xfId="45" applyNumberFormat="1" applyFont="1" applyFill="1" applyBorder="1" applyAlignment="1" applyProtection="1">
      <alignment horizontal="right" vertical="center"/>
      <protection hidden="1"/>
    </xf>
    <xf numFmtId="176" fontId="55" fillId="5" borderId="29" xfId="46" applyNumberFormat="1" applyFont="1" applyFill="1" applyBorder="1" applyAlignment="1" applyProtection="1">
      <alignment horizontal="right" vertical="center"/>
      <protection hidden="1"/>
    </xf>
    <xf numFmtId="176" fontId="59" fillId="5" borderId="29" xfId="47" applyNumberFormat="1" applyFont="1" applyFill="1" applyBorder="1" applyAlignment="1" applyProtection="1">
      <alignment horizontal="right" vertical="center"/>
      <protection hidden="1"/>
    </xf>
    <xf numFmtId="176" fontId="39" fillId="5" borderId="29" xfId="27" applyNumberFormat="1" applyFont="1" applyFill="1" applyBorder="1" applyAlignment="1">
      <alignment vertical="center"/>
    </xf>
    <xf numFmtId="176" fontId="39" fillId="0" borderId="29" xfId="27" applyNumberFormat="1" applyFont="1" applyFill="1" applyBorder="1" applyAlignment="1">
      <alignment vertical="center"/>
    </xf>
    <xf numFmtId="176" fontId="59" fillId="5" borderId="29" xfId="46" applyNumberFormat="1" applyFont="1" applyFill="1" applyBorder="1" applyAlignment="1" applyProtection="1">
      <alignment horizontal="right" vertical="center"/>
      <protection hidden="1"/>
    </xf>
    <xf numFmtId="176" fontId="59" fillId="5" borderId="49" xfId="46" applyNumberFormat="1" applyFont="1" applyFill="1" applyBorder="1" applyAlignment="1" applyProtection="1">
      <alignment horizontal="right" vertical="center"/>
      <protection hidden="1"/>
    </xf>
    <xf numFmtId="176" fontId="40" fillId="6" borderId="1" xfId="26" applyNumberFormat="1" applyFont="1" applyFill="1" applyBorder="1" applyAlignment="1">
      <alignment vertical="center"/>
    </xf>
    <xf numFmtId="176" fontId="40" fillId="5" borderId="29" xfId="26" applyNumberFormat="1" applyFont="1" applyFill="1" applyBorder="1" applyAlignment="1">
      <alignment vertical="center"/>
    </xf>
    <xf numFmtId="176" fontId="59" fillId="5" borderId="29" xfId="48" applyNumberFormat="1" applyFont="1" applyFill="1" applyBorder="1" applyAlignment="1" applyProtection="1">
      <alignment horizontal="right" vertical="center"/>
      <protection hidden="1"/>
    </xf>
    <xf numFmtId="176" fontId="55" fillId="5" borderId="29" xfId="49" applyNumberFormat="1" applyFont="1" applyFill="1" applyBorder="1" applyAlignment="1" applyProtection="1">
      <alignment horizontal="right" vertical="center"/>
      <protection hidden="1"/>
    </xf>
    <xf numFmtId="176" fontId="60" fillId="0" borderId="29" xfId="50" applyNumberFormat="1" applyFont="1" applyFill="1" applyBorder="1" applyAlignment="1" applyProtection="1">
      <alignment horizontal="right" vertical="center"/>
      <protection hidden="1"/>
    </xf>
    <xf numFmtId="176" fontId="60" fillId="0" borderId="49" xfId="50" applyNumberFormat="1" applyFont="1" applyFill="1" applyBorder="1" applyAlignment="1" applyProtection="1">
      <alignment horizontal="right" vertical="center"/>
      <protection hidden="1"/>
    </xf>
    <xf numFmtId="176" fontId="40" fillId="0" borderId="1" xfId="27" applyNumberFormat="1" applyFont="1" applyFill="1" applyBorder="1" applyAlignment="1">
      <alignment vertical="center"/>
    </xf>
    <xf numFmtId="176" fontId="59" fillId="5" borderId="30" xfId="50" applyNumberFormat="1" applyFont="1" applyFill="1" applyBorder="1" applyAlignment="1" applyProtection="1">
      <alignment horizontal="right" vertical="center"/>
      <protection hidden="1"/>
    </xf>
    <xf numFmtId="176" fontId="59" fillId="5" borderId="29" xfId="50" applyNumberFormat="1" applyFont="1" applyFill="1" applyBorder="1" applyAlignment="1" applyProtection="1">
      <alignment horizontal="right" vertical="center"/>
      <protection hidden="1"/>
    </xf>
    <xf numFmtId="176" fontId="40" fillId="5" borderId="1" xfId="27" applyNumberFormat="1" applyFont="1" applyFill="1" applyBorder="1" applyAlignment="1">
      <alignment vertical="center"/>
    </xf>
    <xf numFmtId="176" fontId="34" fillId="5" borderId="29" xfId="27" applyNumberFormat="1" applyFont="1" applyFill="1" applyBorder="1" applyAlignment="1">
      <alignment vertical="center"/>
    </xf>
    <xf numFmtId="176" fontId="40" fillId="15" borderId="1" xfId="26" applyNumberFormat="1" applyFont="1" applyFill="1" applyBorder="1" applyAlignment="1">
      <alignment vertical="center"/>
    </xf>
    <xf numFmtId="176" fontId="55" fillId="5" borderId="29" xfId="51" applyNumberFormat="1" applyFont="1" applyFill="1" applyBorder="1" applyAlignment="1" applyProtection="1">
      <alignment horizontal="right"/>
      <protection hidden="1"/>
    </xf>
    <xf numFmtId="176" fontId="55" fillId="5" borderId="49" xfId="51" applyNumberFormat="1" applyFont="1" applyFill="1" applyBorder="1" applyAlignment="1" applyProtection="1">
      <alignment horizontal="right"/>
      <protection hidden="1"/>
    </xf>
    <xf numFmtId="176" fontId="55" fillId="5" borderId="29" xfId="52" applyNumberFormat="1" applyFont="1" applyFill="1" applyBorder="1" applyAlignment="1" applyProtection="1">
      <alignment horizontal="right"/>
      <protection hidden="1"/>
    </xf>
    <xf numFmtId="176" fontId="40" fillId="5" borderId="1" xfId="26" applyNumberFormat="1" applyFont="1" applyFill="1" applyBorder="1" applyAlignment="1">
      <alignment vertical="center"/>
    </xf>
    <xf numFmtId="176" fontId="39" fillId="5" borderId="0" xfId="0" applyNumberFormat="1" applyFont="1" applyFill="1" applyBorder="1" applyAlignment="1" applyProtection="1">
      <protection hidden="1"/>
    </xf>
    <xf numFmtId="176" fontId="40" fillId="7" borderId="37" xfId="26" applyNumberFormat="1" applyFont="1" applyFill="1" applyBorder="1" applyAlignment="1">
      <alignment horizontal="center"/>
    </xf>
    <xf numFmtId="176" fontId="39" fillId="7" borderId="37" xfId="0" applyNumberFormat="1" applyFont="1" applyFill="1" applyBorder="1" applyAlignment="1" applyProtection="1">
      <alignment horizontal="center" vertical="center"/>
      <protection hidden="1"/>
    </xf>
    <xf numFmtId="176" fontId="39" fillId="7" borderId="34" xfId="0" applyNumberFormat="1" applyFont="1" applyFill="1" applyBorder="1" applyAlignment="1" applyProtection="1">
      <alignment horizontal="center" vertical="center"/>
      <protection hidden="1"/>
    </xf>
    <xf numFmtId="176" fontId="39" fillId="7" borderId="39" xfId="26" applyNumberFormat="1" applyFont="1" applyFill="1" applyBorder="1" applyAlignment="1">
      <alignment horizontal="center" vertical="center"/>
    </xf>
    <xf numFmtId="176" fontId="39" fillId="5" borderId="41" xfId="41" applyNumberFormat="1" applyFont="1" applyFill="1" applyBorder="1" applyAlignment="1" applyProtection="1">
      <alignment vertical="center"/>
      <protection hidden="1"/>
    </xf>
    <xf numFmtId="176" fontId="39" fillId="7" borderId="34" xfId="26" applyNumberFormat="1" applyFont="1" applyFill="1" applyBorder="1"/>
    <xf numFmtId="176" fontId="39" fillId="7" borderId="37" xfId="0" applyNumberFormat="1" applyFont="1" applyFill="1" applyBorder="1" applyAlignment="1" applyProtection="1">
      <protection hidden="1"/>
    </xf>
    <xf numFmtId="176" fontId="39" fillId="7" borderId="39" xfId="0" applyNumberFormat="1" applyFont="1" applyFill="1" applyBorder="1" applyAlignment="1" applyProtection="1">
      <protection hidden="1"/>
    </xf>
    <xf numFmtId="176" fontId="47" fillId="5" borderId="32" xfId="27" applyNumberFormat="1" applyFont="1" applyFill="1" applyBorder="1" applyAlignment="1"/>
    <xf numFmtId="176" fontId="40" fillId="6" borderId="25" xfId="27" applyNumberFormat="1" applyFont="1" applyFill="1" applyBorder="1" applyAlignment="1">
      <alignment horizontal="center" vertical="center" wrapText="1"/>
    </xf>
    <xf numFmtId="176" fontId="55" fillId="5" borderId="29" xfId="32" applyNumberFormat="1" applyFont="1" applyFill="1" applyBorder="1" applyAlignment="1" applyProtection="1">
      <alignment horizontal="right" vertical="center"/>
      <protection hidden="1"/>
    </xf>
    <xf numFmtId="176" fontId="55" fillId="5" borderId="29" xfId="33" applyNumberFormat="1" applyFont="1" applyFill="1" applyBorder="1" applyAlignment="1" applyProtection="1">
      <alignment horizontal="right" vertical="center"/>
      <protection hidden="1"/>
    </xf>
    <xf numFmtId="176" fontId="55" fillId="5" borderId="29" xfId="34" applyNumberFormat="1" applyFont="1" applyFill="1" applyBorder="1" applyAlignment="1" applyProtection="1">
      <alignment horizontal="right" vertical="center"/>
      <protection hidden="1"/>
    </xf>
    <xf numFmtId="176" fontId="59" fillId="5" borderId="49" xfId="47" applyNumberFormat="1" applyFont="1" applyFill="1" applyBorder="1" applyAlignment="1" applyProtection="1">
      <alignment horizontal="right" vertical="center"/>
      <protection hidden="1"/>
    </xf>
    <xf numFmtId="176" fontId="59" fillId="5" borderId="29" xfId="53" applyNumberFormat="1" applyFont="1" applyFill="1" applyBorder="1" applyAlignment="1" applyProtection="1">
      <alignment horizontal="right" vertical="center"/>
      <protection hidden="1"/>
    </xf>
    <xf numFmtId="176" fontId="55" fillId="5" borderId="29" xfId="54" applyNumberFormat="1" applyFont="1" applyFill="1" applyBorder="1" applyAlignment="1" applyProtection="1">
      <alignment horizontal="right" vertical="center"/>
      <protection hidden="1"/>
    </xf>
    <xf numFmtId="176" fontId="60" fillId="5" borderId="29" xfId="55" applyNumberFormat="1" applyFont="1" applyFill="1" applyBorder="1" applyAlignment="1" applyProtection="1">
      <alignment horizontal="right" vertical="center"/>
      <protection hidden="1"/>
    </xf>
    <xf numFmtId="176" fontId="60" fillId="5" borderId="49" xfId="55" applyNumberFormat="1" applyFont="1" applyFill="1" applyBorder="1" applyAlignment="1" applyProtection="1">
      <alignment horizontal="right" vertical="center"/>
      <protection hidden="1"/>
    </xf>
    <xf numFmtId="176" fontId="59" fillId="5" borderId="30" xfId="55" applyNumberFormat="1" applyFont="1" applyFill="1" applyBorder="1" applyAlignment="1" applyProtection="1">
      <alignment horizontal="right" vertical="center"/>
      <protection hidden="1"/>
    </xf>
    <xf numFmtId="176" fontId="59" fillId="5" borderId="29" xfId="55" applyNumberFormat="1" applyFont="1" applyFill="1" applyBorder="1" applyAlignment="1" applyProtection="1">
      <alignment horizontal="right" vertical="center"/>
      <protection hidden="1"/>
    </xf>
    <xf numFmtId="176" fontId="55" fillId="5" borderId="62" xfId="56" applyNumberFormat="1" applyFont="1" applyFill="1" applyBorder="1" applyAlignment="1" applyProtection="1">
      <alignment horizontal="right" vertical="center"/>
      <protection hidden="1"/>
    </xf>
    <xf numFmtId="176" fontId="55" fillId="5" borderId="29" xfId="57" applyNumberFormat="1" applyFont="1" applyFill="1" applyBorder="1" applyAlignment="1" applyProtection="1">
      <alignment horizontal="right"/>
      <protection hidden="1"/>
    </xf>
    <xf numFmtId="176" fontId="39" fillId="15" borderId="1" xfId="27" applyNumberFormat="1" applyFont="1" applyFill="1" applyBorder="1" applyAlignment="1">
      <alignment vertical="center"/>
    </xf>
    <xf numFmtId="176" fontId="55" fillId="5" borderId="29" xfId="58" applyNumberFormat="1" applyFont="1" applyFill="1" applyBorder="1" applyAlignment="1" applyProtection="1">
      <alignment horizontal="right"/>
      <protection hidden="1"/>
    </xf>
    <xf numFmtId="176" fontId="59" fillId="15" borderId="1" xfId="58" applyNumberFormat="1" applyFont="1" applyFill="1" applyBorder="1" applyAlignment="1" applyProtection="1">
      <alignment horizontal="right"/>
      <protection hidden="1"/>
    </xf>
    <xf numFmtId="176" fontId="39" fillId="5" borderId="0" xfId="28" applyNumberFormat="1" applyFont="1" applyFill="1"/>
    <xf numFmtId="176" fontId="46" fillId="5" borderId="0" xfId="28" applyNumberFormat="1" applyFont="1" applyFill="1"/>
    <xf numFmtId="176" fontId="39" fillId="5" borderId="38" xfId="28" applyNumberFormat="1" applyFont="1" applyFill="1" applyBorder="1" applyAlignment="1">
      <alignment vertical="center"/>
    </xf>
    <xf numFmtId="176" fontId="39" fillId="5" borderId="33" xfId="28" applyNumberFormat="1" applyFont="1" applyFill="1" applyBorder="1"/>
    <xf numFmtId="176" fontId="39" fillId="5" borderId="48" xfId="28" applyNumberFormat="1" applyFont="1" applyFill="1" applyBorder="1" applyAlignment="1">
      <alignment vertical="center"/>
    </xf>
    <xf numFmtId="176" fontId="39" fillId="5" borderId="36" xfId="28" applyNumberFormat="1" applyFont="1" applyFill="1" applyBorder="1"/>
    <xf numFmtId="176" fontId="39" fillId="5" borderId="38" xfId="28" applyNumberFormat="1" applyFont="1" applyFill="1" applyBorder="1"/>
    <xf numFmtId="176" fontId="39" fillId="5" borderId="50" xfId="28" applyNumberFormat="1" applyFont="1" applyFill="1" applyBorder="1" applyAlignment="1">
      <alignment vertical="center"/>
    </xf>
    <xf numFmtId="176" fontId="39" fillId="5" borderId="0" xfId="26" applyNumberFormat="1" applyFont="1" applyFill="1"/>
    <xf numFmtId="176" fontId="39" fillId="7" borderId="33" xfId="0" applyNumberFormat="1" applyFont="1" applyFill="1" applyBorder="1" applyAlignment="1" applyProtection="1">
      <protection hidden="1"/>
    </xf>
    <xf numFmtId="176" fontId="39" fillId="7" borderId="33" xfId="0" applyNumberFormat="1" applyFont="1" applyFill="1" applyBorder="1" applyAlignment="1" applyProtection="1">
      <alignment vertical="center"/>
      <protection hidden="1"/>
    </xf>
    <xf numFmtId="176" fontId="39" fillId="7" borderId="0" xfId="0" applyNumberFormat="1" applyFont="1" applyFill="1" applyBorder="1" applyAlignment="1" applyProtection="1">
      <alignment horizontal="left" vertical="center"/>
      <protection hidden="1"/>
    </xf>
    <xf numFmtId="176" fontId="39" fillId="7" borderId="36" xfId="0" applyNumberFormat="1" applyFont="1" applyFill="1" applyBorder="1" applyAlignment="1" applyProtection="1">
      <alignment horizontal="left" vertical="center"/>
      <protection hidden="1"/>
    </xf>
    <xf numFmtId="176" fontId="39" fillId="7" borderId="38" xfId="0" applyNumberFormat="1" applyFont="1" applyFill="1" applyBorder="1" applyAlignment="1" applyProtection="1">
      <protection hidden="1"/>
    </xf>
    <xf numFmtId="176" fontId="39" fillId="7" borderId="0" xfId="0" applyNumberFormat="1" applyFont="1" applyFill="1" applyBorder="1" applyAlignment="1" applyProtection="1">
      <protection hidden="1"/>
    </xf>
    <xf numFmtId="176" fontId="39" fillId="7" borderId="36" xfId="0" applyNumberFormat="1" applyFont="1" applyFill="1" applyBorder="1" applyAlignment="1" applyProtection="1">
      <protection hidden="1"/>
    </xf>
    <xf numFmtId="176" fontId="39" fillId="5" borderId="24" xfId="0" applyNumberFormat="1" applyFont="1" applyFill="1" applyBorder="1" applyAlignment="1" applyProtection="1">
      <protection hidden="1"/>
    </xf>
    <xf numFmtId="176" fontId="40" fillId="12" borderId="25" xfId="27" applyNumberFormat="1" applyFont="1" applyFill="1" applyBorder="1" applyAlignment="1">
      <alignment horizontal="center" vertical="center" wrapText="1"/>
    </xf>
    <xf numFmtId="176" fontId="40" fillId="12" borderId="49" xfId="27" applyNumberFormat="1" applyFont="1" applyFill="1" applyBorder="1" applyAlignment="1">
      <alignment vertical="center"/>
    </xf>
    <xf numFmtId="176" fontId="40" fillId="12" borderId="1" xfId="26" applyNumberFormat="1" applyFont="1" applyFill="1" applyBorder="1" applyAlignment="1">
      <alignment vertical="center"/>
    </xf>
    <xf numFmtId="176" fontId="35" fillId="5" borderId="1" xfId="27" applyNumberFormat="1" applyFont="1" applyFill="1" applyBorder="1" applyAlignment="1">
      <alignment vertical="center"/>
    </xf>
    <xf numFmtId="176" fontId="39" fillId="5" borderId="30" xfId="27" applyNumberFormat="1" applyFont="1" applyFill="1" applyBorder="1" applyAlignment="1">
      <alignment vertical="center"/>
    </xf>
    <xf numFmtId="176" fontId="39" fillId="5" borderId="49" xfId="27" applyNumberFormat="1" applyFont="1" applyFill="1" applyBorder="1" applyAlignment="1">
      <alignment vertical="center"/>
    </xf>
    <xf numFmtId="4" fontId="34" fillId="5" borderId="44" xfId="0" applyNumberFormat="1" applyFont="1" applyFill="1" applyBorder="1"/>
    <xf numFmtId="178" fontId="39" fillId="5" borderId="0" xfId="26" applyNumberFormat="1" applyFont="1" applyFill="1"/>
    <xf numFmtId="179" fontId="39" fillId="5" borderId="0" xfId="26" applyNumberFormat="1" applyFont="1" applyFill="1" applyBorder="1"/>
    <xf numFmtId="4" fontId="61" fillId="0" borderId="0" xfId="0" applyNumberFormat="1" applyFont="1"/>
    <xf numFmtId="0" fontId="40" fillId="6" borderId="53" xfId="26" applyFont="1" applyFill="1" applyBorder="1" applyAlignment="1">
      <alignment horizontal="center" vertical="center"/>
    </xf>
    <xf numFmtId="0" fontId="40" fillId="6" borderId="54" xfId="26" applyFont="1" applyFill="1" applyBorder="1" applyAlignment="1">
      <alignment horizontal="center" vertical="center"/>
    </xf>
    <xf numFmtId="0" fontId="40" fillId="6" borderId="53" xfId="27" applyFont="1" applyFill="1" applyBorder="1" applyAlignment="1">
      <alignment horizontal="center" vertical="center"/>
    </xf>
    <xf numFmtId="0" fontId="40" fillId="6" borderId="54" xfId="27" applyFont="1" applyFill="1" applyBorder="1" applyAlignment="1">
      <alignment horizontal="center" vertical="center"/>
    </xf>
    <xf numFmtId="0" fontId="40" fillId="6" borderId="55" xfId="27" applyFont="1" applyFill="1" applyBorder="1" applyAlignment="1">
      <alignment horizontal="center" vertical="center" wrapText="1"/>
    </xf>
    <xf numFmtId="0" fontId="40" fillId="6" borderId="17" xfId="27" applyFont="1" applyFill="1" applyBorder="1" applyAlignment="1">
      <alignment horizontal="center" vertical="center" wrapText="1"/>
    </xf>
    <xf numFmtId="0" fontId="40" fillId="6" borderId="56" xfId="27" applyFont="1" applyFill="1" applyBorder="1" applyAlignment="1">
      <alignment horizontal="center" vertical="center"/>
    </xf>
    <xf numFmtId="0" fontId="40" fillId="6" borderId="57" xfId="27" applyFont="1" applyFill="1" applyBorder="1" applyAlignment="1">
      <alignment horizontal="center" vertical="center"/>
    </xf>
    <xf numFmtId="0" fontId="40" fillId="6" borderId="55" xfId="27" applyFont="1" applyFill="1" applyBorder="1" applyAlignment="1">
      <alignment horizontal="center" vertical="center"/>
    </xf>
    <xf numFmtId="0" fontId="40" fillId="6" borderId="17" xfId="27" applyFont="1" applyFill="1" applyBorder="1" applyAlignment="1">
      <alignment horizontal="center" vertical="center"/>
    </xf>
    <xf numFmtId="0" fontId="40" fillId="6" borderId="24" xfId="27" applyFont="1" applyFill="1" applyBorder="1" applyAlignment="1">
      <alignment horizontal="center" vertical="center"/>
    </xf>
    <xf numFmtId="0" fontId="40" fillId="6" borderId="32" xfId="27" applyFont="1" applyFill="1" applyBorder="1" applyAlignment="1">
      <alignment horizontal="center" vertical="center"/>
    </xf>
    <xf numFmtId="0" fontId="47" fillId="5" borderId="32" xfId="26" applyFont="1" applyFill="1" applyBorder="1" applyAlignment="1">
      <alignment horizontal="center"/>
    </xf>
    <xf numFmtId="0" fontId="56" fillId="16" borderId="51" xfId="26" applyFont="1" applyFill="1" applyBorder="1" applyAlignment="1">
      <alignment horizontal="center" vertical="center"/>
    </xf>
    <xf numFmtId="0" fontId="56" fillId="16" borderId="47" xfId="26" applyFont="1" applyFill="1" applyBorder="1" applyAlignment="1">
      <alignment horizontal="center" vertical="center"/>
    </xf>
    <xf numFmtId="166" fontId="39" fillId="6" borderId="3" xfId="0" applyNumberFormat="1" applyFont="1" applyFill="1" applyBorder="1" applyAlignment="1" applyProtection="1">
      <alignment horizontal="center" vertical="center"/>
      <protection hidden="1"/>
    </xf>
    <xf numFmtId="0" fontId="39" fillId="5" borderId="24" xfId="26" applyFont="1" applyFill="1" applyBorder="1" applyAlignment="1">
      <alignment horizontal="center" vertical="center" wrapText="1"/>
    </xf>
    <xf numFmtId="0" fontId="39" fillId="5" borderId="32" xfId="26" applyFont="1" applyFill="1" applyBorder="1" applyAlignment="1">
      <alignment horizontal="center" vertical="center" wrapText="1"/>
    </xf>
    <xf numFmtId="165" fontId="39" fillId="5" borderId="24" xfId="27" applyNumberFormat="1" applyFont="1" applyFill="1" applyBorder="1" applyAlignment="1">
      <alignment horizontal="center" vertical="center" wrapText="1"/>
    </xf>
    <xf numFmtId="165" fontId="39" fillId="5" borderId="32" xfId="27" applyNumberFormat="1" applyFont="1" applyFill="1" applyBorder="1" applyAlignment="1">
      <alignment horizontal="center" vertical="center" wrapText="1"/>
    </xf>
    <xf numFmtId="166" fontId="39" fillId="6" borderId="3" xfId="0" applyNumberFormat="1" applyFont="1" applyFill="1" applyBorder="1" applyAlignment="1">
      <alignment horizontal="center" vertical="center"/>
    </xf>
    <xf numFmtId="166" fontId="39" fillId="6" borderId="26" xfId="0" applyNumberFormat="1" applyFont="1" applyFill="1" applyBorder="1" applyAlignment="1" applyProtection="1">
      <alignment horizontal="center" vertical="center"/>
      <protection hidden="1"/>
    </xf>
    <xf numFmtId="166" fontId="39" fillId="6" borderId="27" xfId="0" applyNumberFormat="1" applyFont="1" applyFill="1" applyBorder="1" applyAlignment="1" applyProtection="1">
      <alignment horizontal="center" vertical="center"/>
      <protection hidden="1"/>
    </xf>
    <xf numFmtId="166" fontId="39" fillId="6" borderId="16" xfId="0" applyNumberFormat="1" applyFont="1" applyFill="1" applyBorder="1" applyAlignment="1" applyProtection="1">
      <alignment horizontal="center" vertical="center"/>
      <protection hidden="1"/>
    </xf>
    <xf numFmtId="166" fontId="39" fillId="6" borderId="26" xfId="0" applyNumberFormat="1" applyFont="1" applyFill="1" applyBorder="1" applyAlignment="1">
      <alignment horizontal="center" vertical="center"/>
    </xf>
    <xf numFmtId="166" fontId="39" fillId="6" borderId="16" xfId="0" applyNumberFormat="1" applyFont="1" applyFill="1" applyBorder="1" applyAlignment="1">
      <alignment horizontal="center" vertical="center"/>
    </xf>
    <xf numFmtId="166" fontId="39" fillId="12" borderId="3" xfId="0" applyNumberFormat="1" applyFont="1" applyFill="1" applyBorder="1" applyAlignment="1" applyProtection="1">
      <alignment horizontal="center" vertical="center"/>
      <protection hidden="1"/>
    </xf>
    <xf numFmtId="0" fontId="56" fillId="11" borderId="51" xfId="26" applyFont="1" applyFill="1" applyBorder="1" applyAlignment="1">
      <alignment horizontal="center" vertical="center"/>
    </xf>
    <xf numFmtId="0" fontId="56" fillId="11" borderId="47" xfId="26" applyFont="1" applyFill="1" applyBorder="1" applyAlignment="1">
      <alignment horizontal="center" vertical="center"/>
    </xf>
    <xf numFmtId="0" fontId="40" fillId="12" borderId="53" xfId="27" applyFont="1" applyFill="1" applyBorder="1" applyAlignment="1">
      <alignment horizontal="center" vertical="center"/>
    </xf>
    <xf numFmtId="0" fontId="40" fillId="12" borderId="54" xfId="27" applyFont="1" applyFill="1" applyBorder="1" applyAlignment="1">
      <alignment horizontal="center" vertical="center"/>
    </xf>
    <xf numFmtId="4" fontId="35" fillId="4" borderId="0" xfId="27" applyNumberFormat="1" applyFont="1" applyFill="1" applyBorder="1" applyAlignment="1">
      <alignment horizontal="center"/>
    </xf>
    <xf numFmtId="4" fontId="35" fillId="4" borderId="34" xfId="27" applyNumberFormat="1" applyFont="1" applyFill="1" applyBorder="1" applyAlignment="1">
      <alignment horizontal="center"/>
    </xf>
    <xf numFmtId="0" fontId="56" fillId="9" borderId="51" xfId="26" applyFont="1" applyFill="1" applyBorder="1" applyAlignment="1">
      <alignment horizontal="center" vertical="center"/>
    </xf>
    <xf numFmtId="0" fontId="56" fillId="9" borderId="47" xfId="26" applyFont="1" applyFill="1" applyBorder="1" applyAlignment="1">
      <alignment horizontal="center" vertical="center"/>
    </xf>
    <xf numFmtId="0" fontId="40" fillId="8" borderId="53" xfId="27" applyFont="1" applyFill="1" applyBorder="1" applyAlignment="1">
      <alignment horizontal="center" vertical="center"/>
    </xf>
    <xf numFmtId="0" fontId="40" fillId="8" borderId="54" xfId="27" applyFont="1" applyFill="1" applyBorder="1" applyAlignment="1">
      <alignment horizontal="center" vertical="center"/>
    </xf>
    <xf numFmtId="166" fontId="57" fillId="8" borderId="3" xfId="0" applyNumberFormat="1" applyFont="1" applyFill="1" applyBorder="1" applyAlignment="1" applyProtection="1">
      <alignment horizontal="center" vertical="center"/>
      <protection hidden="1"/>
    </xf>
    <xf numFmtId="166" fontId="58" fillId="8" borderId="3" xfId="0" applyNumberFormat="1" applyFont="1" applyFill="1" applyBorder="1" applyAlignment="1" applyProtection="1">
      <alignment horizontal="center" vertical="center"/>
      <protection hidden="1"/>
    </xf>
    <xf numFmtId="166" fontId="57" fillId="8" borderId="26" xfId="0" applyNumberFormat="1" applyFont="1" applyFill="1" applyBorder="1" applyAlignment="1" applyProtection="1">
      <alignment horizontal="center" vertical="center"/>
      <protection hidden="1"/>
    </xf>
    <xf numFmtId="166" fontId="57" fillId="8" borderId="16" xfId="0" applyNumberFormat="1" applyFont="1" applyFill="1" applyBorder="1" applyAlignment="1" applyProtection="1">
      <alignment horizontal="center" vertical="center"/>
      <protection hidden="1"/>
    </xf>
    <xf numFmtId="0" fontId="35" fillId="17" borderId="0" xfId="0" applyFont="1" applyFill="1" applyAlignment="1">
      <alignment horizontal="center" vertical="center"/>
    </xf>
    <xf numFmtId="16" fontId="34" fillId="0" borderId="0" xfId="0" applyNumberFormat="1" applyFont="1" applyFill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17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Fill="1" applyBorder="1" applyAlignment="1">
      <alignment horizontal="center" vertical="center" textRotation="45"/>
    </xf>
    <xf numFmtId="0" fontId="34" fillId="0" borderId="0" xfId="0" applyFont="1" applyFill="1" applyAlignment="1">
      <alignment horizontal="center" vertical="center" textRotation="45"/>
    </xf>
  </cellXfs>
  <cellStyles count="59">
    <cellStyle name="1 indent" xfId="1"/>
    <cellStyle name="2 indents" xfId="2"/>
    <cellStyle name="3 indents" xfId="3"/>
    <cellStyle name="4 indents" xfId="4"/>
    <cellStyle name="Bad" xfId="5" builtinId="27"/>
    <cellStyle name="Date" xfId="6"/>
    <cellStyle name="F2" xfId="7"/>
    <cellStyle name="F3" xfId="8"/>
    <cellStyle name="F4" xfId="9"/>
    <cellStyle name="F5" xfId="10"/>
    <cellStyle name="F6" xfId="11"/>
    <cellStyle name="F7" xfId="12"/>
    <cellStyle name="F8" xfId="13"/>
    <cellStyle name="Fixed" xfId="14"/>
    <cellStyle name="HEADING1" xfId="15"/>
    <cellStyle name="HEADING2" xfId="16"/>
    <cellStyle name="imf-one decimal" xfId="17"/>
    <cellStyle name="imf-zero decimal" xfId="18"/>
    <cellStyle name="Label" xfId="19"/>
    <cellStyle name="Normal" xfId="0" builtinId="0"/>
    <cellStyle name="Normal - Style1" xfId="20"/>
    <cellStyle name="Normal - Style2" xfId="21"/>
    <cellStyle name="Normal - Style3" xfId="22"/>
    <cellStyle name="Normal 10" xfId="23"/>
    <cellStyle name="Normal 11" xfId="24"/>
    <cellStyle name="Normal 12" xfId="25"/>
    <cellStyle name="Normal 2" xfId="26"/>
    <cellStyle name="Normal 2 2" xfId="27"/>
    <cellStyle name="Normal 2 2 2" xfId="28"/>
    <cellStyle name="Normal 3" xfId="29"/>
    <cellStyle name="Normal 4" xfId="30"/>
    <cellStyle name="Normal 4 2" xfId="31"/>
    <cellStyle name="Normal 44" xfId="32"/>
    <cellStyle name="Normal 45" xfId="33"/>
    <cellStyle name="Normal 46" xfId="34"/>
    <cellStyle name="Normal 47" xfId="47"/>
    <cellStyle name="Normal 48" xfId="53"/>
    <cellStyle name="Normal 49" xfId="54"/>
    <cellStyle name="Normal 5" xfId="35"/>
    <cellStyle name="Normal 50" xfId="55"/>
    <cellStyle name="Normal 52" xfId="57"/>
    <cellStyle name="Normal 53" xfId="56"/>
    <cellStyle name="Normal 55" xfId="58"/>
    <cellStyle name="Normal 56" xfId="44"/>
    <cellStyle name="Normal 57" xfId="45"/>
    <cellStyle name="Normal 58" xfId="46"/>
    <cellStyle name="Normal 59" xfId="48"/>
    <cellStyle name="Normal 6" xfId="36"/>
    <cellStyle name="Normal 60" xfId="49"/>
    <cellStyle name="Normal 61" xfId="50"/>
    <cellStyle name="Normal 62" xfId="51"/>
    <cellStyle name="Normal 63" xfId="52"/>
    <cellStyle name="Normal 7" xfId="37"/>
    <cellStyle name="Normal 8" xfId="38"/>
    <cellStyle name="Normal 9" xfId="39"/>
    <cellStyle name="Obično_KnjigaZIKS i Min pomorstva i saobracaja" xfId="40"/>
    <cellStyle name="Percent" xfId="41" builtinId="5"/>
    <cellStyle name="percentage difference" xfId="42"/>
    <cellStyle name="Publication" xfId="4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266404199478122E-2"/>
          <c:y val="0.10176871402444999"/>
          <c:w val="0.88704046369203871"/>
          <c:h val="0.79950762008725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'Cental Budget'!$K$37</c:f>
              <c:strCache>
                <c:ptCount val="1"/>
                <c:pt idx="0">
                  <c:v>-1,00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'[3]Cental Budget_int'!$AE$40:$AH$40</c:f>
              <c:strCache>
                <c:ptCount val="4"/>
                <c:pt idx="0">
                  <c:v>Procjena 2013</c:v>
                </c:pt>
                <c:pt idx="1">
                  <c:v>Nacrt 2014</c:v>
                </c:pt>
                <c:pt idx="2">
                  <c:v>2015</c:v>
                </c:pt>
                <c:pt idx="3">
                  <c:v>2016</c:v>
                </c:pt>
              </c:strCache>
            </c:strRef>
          </c:cat>
          <c:val>
            <c:numRef>
              <c:f>'Cental Budget'!$L$37:$O$37</c:f>
            </c:numRef>
          </c:val>
        </c:ser>
        <c:ser>
          <c:idx val="1"/>
          <c:order val="1"/>
          <c:tx>
            <c:strRef>
              <c:f>'Cental Budget'!$K$38</c:f>
              <c:strCache>
                <c:ptCount val="1"/>
                <c:pt idx="0">
                  <c:v>-77,01</c:v>
                </c:pt>
              </c:strCache>
            </c:strRef>
          </c:tx>
          <c:spPr>
            <a:solidFill>
              <a:schemeClr val="bg2"/>
            </a:solidFill>
            <a:ln>
              <a:solidFill>
                <a:srgbClr val="91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'[3]Cental Budget_int'!$AE$40:$AH$40</c:f>
              <c:strCache>
                <c:ptCount val="4"/>
                <c:pt idx="0">
                  <c:v>Procjena 2013</c:v>
                </c:pt>
                <c:pt idx="1">
                  <c:v>Nacrt 2014</c:v>
                </c:pt>
                <c:pt idx="2">
                  <c:v>2015</c:v>
                </c:pt>
                <c:pt idx="3">
                  <c:v>2016</c:v>
                </c:pt>
              </c:strCache>
            </c:strRef>
          </c:cat>
          <c:val>
            <c:numRef>
              <c:f>'Cental Budget'!$L$38:$O$38</c:f>
            </c:numRef>
          </c:val>
        </c:ser>
        <c:ser>
          <c:idx val="2"/>
          <c:order val="2"/>
          <c:tx>
            <c:strRef>
              <c:f>'Cental Budget'!$K$39</c:f>
              <c:strCache>
                <c:ptCount val="1"/>
                <c:pt idx="0">
                  <c:v>66,43</c:v>
                </c:pt>
              </c:strCache>
            </c:strRef>
          </c:tx>
          <c:spPr>
            <a:solidFill>
              <a:srgbClr val="91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'[3]Cental Budget_int'!$AE$40:$AH$40</c:f>
              <c:strCache>
                <c:ptCount val="4"/>
                <c:pt idx="0">
                  <c:v>Procjena 2013</c:v>
                </c:pt>
                <c:pt idx="1">
                  <c:v>Nacrt 2014</c:v>
                </c:pt>
                <c:pt idx="2">
                  <c:v>2015</c:v>
                </c:pt>
                <c:pt idx="3">
                  <c:v>2016</c:v>
                </c:pt>
              </c:strCache>
            </c:strRef>
          </c:cat>
          <c:val>
            <c:numRef>
              <c:f>'Cental Budget'!$L$39:$O$39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434880"/>
        <c:axId val="287438688"/>
      </c:barChart>
      <c:catAx>
        <c:axId val="287434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287438688"/>
        <c:crosses val="autoZero"/>
        <c:auto val="1"/>
        <c:lblAlgn val="ctr"/>
        <c:lblOffset val="100"/>
        <c:noMultiLvlLbl val="0"/>
      </c:catAx>
      <c:valAx>
        <c:axId val="287438688"/>
        <c:scaling>
          <c:orientation val="minMax"/>
          <c:max val="75000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287434880"/>
        <c:crosses val="autoZero"/>
        <c:crossBetween val="between"/>
        <c:majorUnit val="150000000"/>
      </c:valAx>
    </c:plotArea>
    <c:legend>
      <c:legendPos val="r"/>
      <c:layout>
        <c:manualLayout>
          <c:xMode val="edge"/>
          <c:yMode val="edge"/>
          <c:x val="0.14336304867717745"/>
          <c:y val="2.0771520877109987E-2"/>
          <c:w val="0.76460292627827986"/>
          <c:h val="6.8249282881932605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Poređenje scenarija - sa i bez autoputa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878743296101454E-2"/>
          <c:y val="5.6030183727034118E-2"/>
          <c:w val="0.8849550981015266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Sheet3!$C$5</c:f>
              <c:strCache>
                <c:ptCount val="1"/>
                <c:pt idx="0">
                  <c:v>Deficit - osnovni scenario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Sheet3!$D$5:$G$5</c:f>
              <c:numCache>
                <c:formatCode>#,##0.0,,</c:formatCode>
                <c:ptCount val="4"/>
                <c:pt idx="0">
                  <c:v>-26424601.993229389</c:v>
                </c:pt>
                <c:pt idx="1">
                  <c:v>-24569497.372829676</c:v>
                </c:pt>
                <c:pt idx="2">
                  <c:v>33498994.005818129</c:v>
                </c:pt>
                <c:pt idx="3">
                  <c:v>103834080.12588143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Deficit - scenario sa auto putem</c:v>
                </c:pt>
              </c:strCache>
            </c:strRef>
          </c:tx>
          <c:spPr>
            <a:ln>
              <a:solidFill>
                <a:srgbClr val="910000"/>
              </a:solidFill>
              <a:prstDash val="sysDot"/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Sheet3!$D$6:$G$6</c:f>
              <c:numCache>
                <c:formatCode>#,##0.0,,</c:formatCode>
                <c:ptCount val="4"/>
                <c:pt idx="0">
                  <c:v>-51424601.993229389</c:v>
                </c:pt>
                <c:pt idx="1">
                  <c:v>-149569497.37282968</c:v>
                </c:pt>
                <c:pt idx="2">
                  <c:v>-191501005.99418187</c:v>
                </c:pt>
                <c:pt idx="3">
                  <c:v>-221165919.87411857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433792"/>
        <c:axId val="287431616"/>
      </c:lineChart>
      <c:catAx>
        <c:axId val="287433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287431616"/>
        <c:crosses val="autoZero"/>
        <c:auto val="1"/>
        <c:lblAlgn val="ctr"/>
        <c:lblOffset val="100"/>
        <c:noMultiLvlLbl val="0"/>
      </c:catAx>
      <c:valAx>
        <c:axId val="287431616"/>
        <c:scaling>
          <c:orientation val="minMax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287433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2059806501348"/>
          <c:y val="0.5591418032278539"/>
          <c:w val="0.28387866660354089"/>
          <c:h val="0.1370972690606754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45298938241745"/>
          <c:y val="5.649482149578456E-2"/>
          <c:w val="0.87284886264220118"/>
          <c:h val="0.8503919770995100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'Cental Budget'!$K$22</c:f>
              <c:strCache>
                <c:ptCount val="1"/>
                <c:pt idx="0">
                  <c:v>1,37</c:v>
                </c:pt>
              </c:strCache>
            </c:strRef>
          </c:tx>
          <c:spPr>
            <a:solidFill>
              <a:srgbClr val="910000"/>
            </a:solidFill>
            <a:ln>
              <a:solidFill>
                <a:srgbClr val="91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'Cental Budget'!$L$19:$O$19</c:f>
            </c:multiLvlStrRef>
          </c:cat>
          <c:val>
            <c:numRef>
              <c:f>'Cental Budget'!$L$22:$O$22</c:f>
            </c:numRef>
          </c:val>
        </c:ser>
        <c:ser>
          <c:idx val="1"/>
          <c:order val="1"/>
          <c:tx>
            <c:strRef>
              <c:f>'Cental Budget'!$K$21</c:f>
              <c:strCache>
                <c:ptCount val="1"/>
                <c:pt idx="0">
                  <c:v>-4,82</c:v>
                </c:pt>
              </c:strCache>
            </c:strRef>
          </c:tx>
          <c:spPr>
            <a:solidFill>
              <a:schemeClr val="bg2"/>
            </a:solidFill>
            <a:ln>
              <a:solidFill>
                <a:srgbClr val="91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'Cental Budget'!$L$19:$O$19</c:f>
            </c:multiLvlStrRef>
          </c:cat>
          <c:val>
            <c:numRef>
              <c:f>'Cental Budget'!$L$21:$O$21</c:f>
            </c:numRef>
          </c:val>
        </c:ser>
        <c:ser>
          <c:idx val="0"/>
          <c:order val="2"/>
          <c:tx>
            <c:strRef>
              <c:f>'Cental Budget'!$K$20</c:f>
              <c:strCache>
                <c:ptCount val="1"/>
                <c:pt idx="0">
                  <c:v>-4,42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tx2">
                  <a:lumMod val="75000"/>
                </a:schemeClr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'Cental Budget'!$L$19:$O$19</c:f>
            </c:multiLvlStrRef>
          </c:cat>
          <c:val>
            <c:numRef>
              <c:f>'Cental Budget'!$L$20:$O$20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412576"/>
        <c:axId val="287425088"/>
      </c:barChart>
      <c:catAx>
        <c:axId val="287412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287425088"/>
        <c:crosses val="autoZero"/>
        <c:auto val="1"/>
        <c:lblAlgn val="ctr"/>
        <c:lblOffset val="100"/>
        <c:noMultiLvlLbl val="0"/>
      </c:catAx>
      <c:valAx>
        <c:axId val="287425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287412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8988318502022"/>
          <c:y val="2.88462779936406E-2"/>
          <c:w val="0.62057373905715141"/>
          <c:h val="8.3333691981628363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408768"/>
        <c:axId val="287416928"/>
      </c:barChart>
      <c:catAx>
        <c:axId val="2874087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287416928"/>
        <c:crosses val="autoZero"/>
        <c:auto val="1"/>
        <c:lblAlgn val="ctr"/>
        <c:lblOffset val="100"/>
        <c:noMultiLvlLbl val="0"/>
      </c:catAx>
      <c:valAx>
        <c:axId val="28741692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287408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875129342252053"/>
          <c:y val="0.49014202485219993"/>
          <c:w val="1.5625020861653547E-2"/>
          <c:h val="1.690144913283448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Presjek javnih finansija - Plan 2014/ izvršenje 2014 u mil. €</a:t>
            </a:r>
          </a:p>
        </c:rich>
      </c:tx>
      <c:layout>
        <c:manualLayout>
          <c:xMode val="edge"/>
          <c:yMode val="edge"/>
          <c:x val="0.1468542160385291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775240594925634"/>
          <c:y val="8.4042482843985383E-2"/>
          <c:w val="0.84266557305336864"/>
          <c:h val="0.77171024712750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Expenditure (2)'!$K$10</c:f>
              <c:strCache>
                <c:ptCount val="1"/>
                <c:pt idx="0">
                  <c:v> plan 2014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invertIfNegative val="0"/>
          <c:cat>
            <c:strRef>
              <c:f>'Public Expenditure (2)'!$J$11:$J$13</c:f>
              <c:strCache>
                <c:ptCount val="3"/>
                <c:pt idx="0">
                  <c:v>izvorni prihodi</c:v>
                </c:pt>
                <c:pt idx="1">
                  <c:v>Izdaci</c:v>
                </c:pt>
                <c:pt idx="2">
                  <c:v>Suficit/Deficit</c:v>
                </c:pt>
              </c:strCache>
            </c:strRef>
          </c:cat>
          <c:val>
            <c:numRef>
              <c:f>'Public Expenditure (2)'!$K$11:$K$13</c:f>
              <c:numCache>
                <c:formatCode>0.00,,</c:formatCode>
                <c:ptCount val="3"/>
                <c:pt idx="0">
                  <c:v>1467679888.0798159</c:v>
                </c:pt>
                <c:pt idx="1">
                  <c:v>1514939702.1541493</c:v>
                </c:pt>
                <c:pt idx="2">
                  <c:v>-47259814.074333429</c:v>
                </c:pt>
              </c:numCache>
            </c:numRef>
          </c:val>
        </c:ser>
        <c:ser>
          <c:idx val="1"/>
          <c:order val="1"/>
          <c:tx>
            <c:strRef>
              <c:f>'Public Expenditure (2)'!$L$10</c:f>
              <c:strCache>
                <c:ptCount val="1"/>
                <c:pt idx="0">
                  <c:v>ostvarenje 2014</c:v>
                </c:pt>
              </c:strCache>
            </c:strRef>
          </c:tx>
          <c:invertIfNegative val="0"/>
          <c:cat>
            <c:strRef>
              <c:f>'Public Expenditure (2)'!$J$11:$J$13</c:f>
              <c:strCache>
                <c:ptCount val="3"/>
                <c:pt idx="0">
                  <c:v>izvorni prihodi</c:v>
                </c:pt>
                <c:pt idx="1">
                  <c:v>Izdaci</c:v>
                </c:pt>
                <c:pt idx="2">
                  <c:v>Suficit/Deficit</c:v>
                </c:pt>
              </c:strCache>
            </c:strRef>
          </c:cat>
          <c:val>
            <c:numRef>
              <c:f>'Public Expenditure (2)'!$L$11:$L$13</c:f>
              <c:numCache>
                <c:formatCode>0.00,,</c:formatCode>
                <c:ptCount val="3"/>
                <c:pt idx="0">
                  <c:v>1511130279.9780002</c:v>
                </c:pt>
                <c:pt idx="1">
                  <c:v>1625643126.053</c:v>
                </c:pt>
                <c:pt idx="2">
                  <c:v>-114512846.07499981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87414208"/>
        <c:axId val="287437600"/>
      </c:barChart>
      <c:catAx>
        <c:axId val="287414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287437600"/>
        <c:crosses val="autoZero"/>
        <c:auto val="1"/>
        <c:lblAlgn val="ctr"/>
        <c:lblOffset val="100"/>
        <c:noMultiLvlLbl val="0"/>
      </c:catAx>
      <c:valAx>
        <c:axId val="287437600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  <a:prstDash val="sysDot"/>
            </a:ln>
          </c:spPr>
        </c:majorGridlines>
        <c:numFmt formatCode="0.00,,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287414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4179455858131913"/>
          <c:y val="0.91315496054205458"/>
          <c:w val="0.32148993133886694"/>
          <c:h val="5.9553584383177503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266404199478122E-2"/>
          <c:y val="0.10176871402444999"/>
          <c:w val="0.88704046369203871"/>
          <c:h val="0.79950762008725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'Cental Budget (3)'!$K$37</c:f>
              <c:strCache>
                <c:ptCount val="1"/>
                <c:pt idx="0">
                  <c:v>9,48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'[3]Cental Budget_int'!$AE$40:$AH$40</c:f>
              <c:strCache>
                <c:ptCount val="4"/>
                <c:pt idx="0">
                  <c:v>Procjena 2013</c:v>
                </c:pt>
                <c:pt idx="1">
                  <c:v>Nacrt 2014</c:v>
                </c:pt>
                <c:pt idx="2">
                  <c:v>2015</c:v>
                </c:pt>
                <c:pt idx="3">
                  <c:v>2016</c:v>
                </c:pt>
              </c:strCache>
            </c:strRef>
          </c:cat>
          <c:val>
            <c:numRef>
              <c:f>'Cental Budget (3)'!$L$37:$O$37</c:f>
              <c:numCache>
                <c:formatCode>#,##0.0,,</c:formatCode>
                <c:ptCount val="4"/>
              </c:numCache>
            </c:numRef>
          </c:val>
        </c:ser>
        <c:ser>
          <c:idx val="1"/>
          <c:order val="1"/>
          <c:tx>
            <c:strRef>
              <c:f>'Cental Budget (3)'!$K$38</c:f>
              <c:strCache>
                <c:ptCount val="1"/>
                <c:pt idx="0">
                  <c:v>-60,74</c:v>
                </c:pt>
              </c:strCache>
            </c:strRef>
          </c:tx>
          <c:spPr>
            <a:solidFill>
              <a:schemeClr val="bg2"/>
            </a:solidFill>
            <a:ln>
              <a:solidFill>
                <a:srgbClr val="91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'[3]Cental Budget_int'!$AE$40:$AH$40</c:f>
              <c:strCache>
                <c:ptCount val="4"/>
                <c:pt idx="0">
                  <c:v>Procjena 2013</c:v>
                </c:pt>
                <c:pt idx="1">
                  <c:v>Nacrt 2014</c:v>
                </c:pt>
                <c:pt idx="2">
                  <c:v>2015</c:v>
                </c:pt>
                <c:pt idx="3">
                  <c:v>2016</c:v>
                </c:pt>
              </c:strCache>
            </c:strRef>
          </c:cat>
          <c:val>
            <c:numRef>
              <c:f>'Cental Budget (3)'!$L$38:$O$38</c:f>
              <c:numCache>
                <c:formatCode>#,##0.0,,</c:formatCode>
                <c:ptCount val="4"/>
              </c:numCache>
            </c:numRef>
          </c:val>
        </c:ser>
        <c:ser>
          <c:idx val="2"/>
          <c:order val="2"/>
          <c:tx>
            <c:strRef>
              <c:f>'Cental Budget (3)'!$K$39</c:f>
              <c:strCache>
                <c:ptCount val="1"/>
                <c:pt idx="0">
                  <c:v>52,02</c:v>
                </c:pt>
              </c:strCache>
            </c:strRef>
          </c:tx>
          <c:spPr>
            <a:solidFill>
              <a:srgbClr val="91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'[3]Cental Budget_int'!$AE$40:$AH$40</c:f>
              <c:strCache>
                <c:ptCount val="4"/>
                <c:pt idx="0">
                  <c:v>Procjena 2013</c:v>
                </c:pt>
                <c:pt idx="1">
                  <c:v>Nacrt 2014</c:v>
                </c:pt>
                <c:pt idx="2">
                  <c:v>2015</c:v>
                </c:pt>
                <c:pt idx="3">
                  <c:v>2016</c:v>
                </c:pt>
              </c:strCache>
            </c:strRef>
          </c:cat>
          <c:val>
            <c:numRef>
              <c:f>'Cental Budget (3)'!$L$39:$O$39</c:f>
              <c:numCache>
                <c:formatCode>#,##0.0,,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439232"/>
        <c:axId val="287417472"/>
      </c:barChart>
      <c:catAx>
        <c:axId val="287439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287417472"/>
        <c:crosses val="autoZero"/>
        <c:auto val="1"/>
        <c:lblAlgn val="ctr"/>
        <c:lblOffset val="100"/>
        <c:noMultiLvlLbl val="0"/>
      </c:catAx>
      <c:valAx>
        <c:axId val="287417472"/>
        <c:scaling>
          <c:orientation val="minMax"/>
          <c:max val="750000000"/>
          <c:min val="0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287439232"/>
        <c:crosses val="autoZero"/>
        <c:crossBetween val="between"/>
        <c:majorUnit val="150000000"/>
      </c:valAx>
    </c:plotArea>
    <c:legend>
      <c:legendPos val="r"/>
      <c:layout>
        <c:manualLayout>
          <c:xMode val="edge"/>
          <c:yMode val="edge"/>
          <c:x val="0.14336304867717745"/>
          <c:y val="2.0771520877109987E-2"/>
          <c:w val="0.76460292627827986"/>
          <c:h val="6.8249282881932605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266404199478039E-2"/>
          <c:y val="0.10176871402444999"/>
          <c:w val="0.88704046369203871"/>
          <c:h val="0.799507620087250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'Cental Budget'!$K$37</c:f>
              <c:strCache>
                <c:ptCount val="1"/>
                <c:pt idx="0">
                  <c:v>-1,00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'[3]Cental Budget_int'!$AE$40:$AH$40</c:f>
              <c:strCache>
                <c:ptCount val="4"/>
                <c:pt idx="0">
                  <c:v>Procjena 2013</c:v>
                </c:pt>
                <c:pt idx="1">
                  <c:v>Nacrt 2014</c:v>
                </c:pt>
                <c:pt idx="2">
                  <c:v>2015</c:v>
                </c:pt>
                <c:pt idx="3">
                  <c:v>2016</c:v>
                </c:pt>
              </c:strCache>
            </c:strRef>
          </c:cat>
          <c:val>
            <c:numRef>
              <c:f>'Cental Budget'!$L$37:$O$37</c:f>
            </c:numRef>
          </c:val>
        </c:ser>
        <c:ser>
          <c:idx val="1"/>
          <c:order val="1"/>
          <c:tx>
            <c:strRef>
              <c:f>'Cental Budget'!$K$38</c:f>
              <c:strCache>
                <c:ptCount val="1"/>
                <c:pt idx="0">
                  <c:v>-77,01</c:v>
                </c:pt>
              </c:strCache>
            </c:strRef>
          </c:tx>
          <c:spPr>
            <a:solidFill>
              <a:schemeClr val="bg2"/>
            </a:solidFill>
            <a:ln>
              <a:solidFill>
                <a:srgbClr val="910000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'[3]Cental Budget_int'!$AE$40:$AH$40</c:f>
              <c:strCache>
                <c:ptCount val="4"/>
                <c:pt idx="0">
                  <c:v>Procjena 2013</c:v>
                </c:pt>
                <c:pt idx="1">
                  <c:v>Nacrt 2014</c:v>
                </c:pt>
                <c:pt idx="2">
                  <c:v>2015</c:v>
                </c:pt>
                <c:pt idx="3">
                  <c:v>2016</c:v>
                </c:pt>
              </c:strCache>
            </c:strRef>
          </c:cat>
          <c:val>
            <c:numRef>
              <c:f>'Cental Budget'!$L$38:$O$38</c:f>
            </c:numRef>
          </c:val>
        </c:ser>
        <c:ser>
          <c:idx val="2"/>
          <c:order val="2"/>
          <c:tx>
            <c:strRef>
              <c:f>'Cental Budget'!$K$39</c:f>
              <c:strCache>
                <c:ptCount val="1"/>
                <c:pt idx="0">
                  <c:v>66,43</c:v>
                </c:pt>
              </c:strCache>
            </c:strRef>
          </c:tx>
          <c:spPr>
            <a:solidFill>
              <a:srgbClr val="91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'[3]Cental Budget_int'!$AE$40:$AH$40</c:f>
              <c:strCache>
                <c:ptCount val="4"/>
                <c:pt idx="0">
                  <c:v>Procjena 2013</c:v>
                </c:pt>
                <c:pt idx="1">
                  <c:v>Nacrt 2014</c:v>
                </c:pt>
                <c:pt idx="2">
                  <c:v>2015</c:v>
                </c:pt>
                <c:pt idx="3">
                  <c:v>2016</c:v>
                </c:pt>
              </c:strCache>
            </c:strRef>
          </c:cat>
          <c:val>
            <c:numRef>
              <c:f>'Cental Budget'!$L$39:$O$39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423456"/>
        <c:axId val="287416384"/>
      </c:barChart>
      <c:catAx>
        <c:axId val="287423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287416384"/>
        <c:crosses val="autoZero"/>
        <c:auto val="1"/>
        <c:lblAlgn val="ctr"/>
        <c:lblOffset val="100"/>
        <c:noMultiLvlLbl val="0"/>
      </c:catAx>
      <c:valAx>
        <c:axId val="287416384"/>
        <c:scaling>
          <c:orientation val="minMax"/>
          <c:max val="75000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287423456"/>
        <c:crosses val="autoZero"/>
        <c:crossBetween val="between"/>
        <c:majorUnit val="150000000"/>
      </c:valAx>
    </c:plotArea>
    <c:legend>
      <c:legendPos val="r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7413120"/>
        <c:axId val="287428896"/>
      </c:barChart>
      <c:catAx>
        <c:axId val="2874131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287428896"/>
        <c:crosses val="autoZero"/>
        <c:auto val="1"/>
        <c:lblAlgn val="ctr"/>
        <c:lblOffset val="100"/>
        <c:noMultiLvlLbl val="0"/>
      </c:catAx>
      <c:valAx>
        <c:axId val="28742889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2874131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Presjek javnih finansija - Plan 2014/ izvršenje 2014 u mil. €</a:t>
            </a:r>
          </a:p>
        </c:rich>
      </c:tx>
      <c:layout>
        <c:manualLayout>
          <c:xMode val="edge"/>
          <c:yMode val="edge"/>
          <c:x val="0.1468541119860017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775240594925634"/>
          <c:y val="8.4042482843985383E-2"/>
          <c:w val="0.84266557305336864"/>
          <c:h val="0.77171024712750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Expenditure'!$K$10</c:f>
              <c:strCache>
                <c:ptCount val="1"/>
                <c:pt idx="0">
                  <c:v> plan 2014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invertIfNegative val="0"/>
          <c:val>
            <c:numRef>
              <c:f>'Public Expenditure'!$K$11:$K$13</c:f>
            </c:numRef>
          </c:val>
        </c:ser>
        <c:ser>
          <c:idx val="1"/>
          <c:order val="1"/>
          <c:tx>
            <c:strRef>
              <c:f>'Public Expenditure'!$L$10</c:f>
              <c:strCache>
                <c:ptCount val="1"/>
                <c:pt idx="0">
                  <c:v>ostvarenje 2014</c:v>
                </c:pt>
              </c:strCache>
            </c:strRef>
          </c:tx>
          <c:invertIfNegative val="0"/>
          <c:val>
            <c:numRef>
              <c:f>'Public Expenditure'!$L$11:$L$13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87419648"/>
        <c:axId val="287427808"/>
      </c:barChart>
      <c:catAx>
        <c:axId val="287419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287427808"/>
        <c:crosses val="autoZero"/>
        <c:auto val="1"/>
        <c:lblAlgn val="ctr"/>
        <c:lblOffset val="100"/>
        <c:noMultiLvlLbl val="0"/>
      </c:catAx>
      <c:valAx>
        <c:axId val="287427808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2874196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30087378318533E-2"/>
          <c:y val="9.3067220764072728E-2"/>
          <c:w val="0.91423489152463533"/>
          <c:h val="0.80647637795274862"/>
        </c:manualLayout>
      </c:layout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Mjesečni plan prihoda 2014</c:v>
                </c:pt>
              </c:strCache>
            </c:strRef>
          </c:tx>
          <c:spPr>
            <a:ln>
              <a:solidFill>
                <a:srgbClr val="910000"/>
              </a:solidFill>
              <a:prstDash val="sysDash"/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Sheet1!$D$5:$O$5</c:f>
              <c:numCache>
                <c:formatCode>#,##0.0,,</c:formatCode>
                <c:ptCount val="12"/>
                <c:pt idx="0">
                  <c:v>62425293.156965584</c:v>
                </c:pt>
                <c:pt idx="1">
                  <c:v>79762187.59852089</c:v>
                </c:pt>
                <c:pt idx="2">
                  <c:v>89318688.151918903</c:v>
                </c:pt>
                <c:pt idx="3">
                  <c:v>106294081.27535464</c:v>
                </c:pt>
                <c:pt idx="4">
                  <c:v>97189661.825924918</c:v>
                </c:pt>
                <c:pt idx="5">
                  <c:v>105191801.34506513</c:v>
                </c:pt>
                <c:pt idx="6">
                  <c:v>123272889.17858437</c:v>
                </c:pt>
                <c:pt idx="7">
                  <c:v>125579133.65326507</c:v>
                </c:pt>
                <c:pt idx="8">
                  <c:v>121047897.33843082</c:v>
                </c:pt>
                <c:pt idx="9">
                  <c:v>114789505.85515907</c:v>
                </c:pt>
                <c:pt idx="10">
                  <c:v>97406301.479715049</c:v>
                </c:pt>
                <c:pt idx="11">
                  <c:v>145778958.57826602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Mjesečna procjena prihoda 2014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</c:dPt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Sheet1!$D$6:$O$6</c:f>
              <c:numCache>
                <c:formatCode>#,##0.0,,</c:formatCode>
                <c:ptCount val="12"/>
                <c:pt idx="0">
                  <c:v>70632268.589999989</c:v>
                </c:pt>
                <c:pt idx="1">
                  <c:v>81381758.450000018</c:v>
                </c:pt>
                <c:pt idx="2">
                  <c:v>100495765.61000001</c:v>
                </c:pt>
                <c:pt idx="3">
                  <c:v>107356417.33534782</c:v>
                </c:pt>
                <c:pt idx="4">
                  <c:v>98816734.644163221</c:v>
                </c:pt>
                <c:pt idx="5">
                  <c:v>107147051.5707173</c:v>
                </c:pt>
                <c:pt idx="6">
                  <c:v>125666748.8575906</c:v>
                </c:pt>
                <c:pt idx="7">
                  <c:v>127890096.38694921</c:v>
                </c:pt>
                <c:pt idx="8">
                  <c:v>123465322.33433203</c:v>
                </c:pt>
                <c:pt idx="9">
                  <c:v>117130344.73943919</c:v>
                </c:pt>
                <c:pt idx="10">
                  <c:v>99294843.070796907</c:v>
                </c:pt>
                <c:pt idx="11">
                  <c:v>149056317.49743444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Sheet1!$C$7</c:f>
              <c:strCache>
                <c:ptCount val="1"/>
                <c:pt idx="0">
                  <c:v>Ostvarenje prihoda 2013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Sheet1!$D$7:$O$7</c:f>
              <c:numCache>
                <c:formatCode>#,##0.0,,</c:formatCode>
                <c:ptCount val="12"/>
                <c:pt idx="0">
                  <c:v>54757461.979999989</c:v>
                </c:pt>
                <c:pt idx="1">
                  <c:v>75673443.909999996</c:v>
                </c:pt>
                <c:pt idx="2">
                  <c:v>88296245.580000013</c:v>
                </c:pt>
                <c:pt idx="3">
                  <c:v>103948239.19999999</c:v>
                </c:pt>
                <c:pt idx="4">
                  <c:v>93997829.679999992</c:v>
                </c:pt>
                <c:pt idx="5">
                  <c:v>99561632.659999996</c:v>
                </c:pt>
                <c:pt idx="6">
                  <c:v>122021331.04999998</c:v>
                </c:pt>
                <c:pt idx="7">
                  <c:v>125053427.64999999</c:v>
                </c:pt>
                <c:pt idx="8">
                  <c:v>116342017.78000002</c:v>
                </c:pt>
                <c:pt idx="9">
                  <c:v>117283627.60000001</c:v>
                </c:pt>
                <c:pt idx="10">
                  <c:v>95781753.159999996</c:v>
                </c:pt>
                <c:pt idx="11">
                  <c:v>142429369.22999999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420192"/>
        <c:axId val="287440864"/>
      </c:lineChart>
      <c:catAx>
        <c:axId val="287420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287440864"/>
        <c:crosses val="autoZero"/>
        <c:auto val="1"/>
        <c:lblAlgn val="ctr"/>
        <c:lblOffset val="100"/>
        <c:noMultiLvlLbl val="0"/>
      </c:catAx>
      <c:valAx>
        <c:axId val="287440864"/>
        <c:scaling>
          <c:orientation val="minMax"/>
          <c:max val="130000000"/>
          <c:min val="50000000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287420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561500837646162"/>
          <c:y val="0.65147730251606661"/>
          <c:w val="0.24333627610697006"/>
          <c:h val="0.20911617117799713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000000000000577" l="0.70000000000000062" r="0.70000000000000062" t="0.75000000000000577" header="0.30000000000000032" footer="0.30000000000000032"/>
    <c:pageSetup/>
  </c:printSettings>
  <c:userShapes r:id="rId1"/>
</c:chartSpace>
</file>

<file path=xl/ctrlProps/ctrlProp1.xml><?xml version="1.0" encoding="utf-8"?>
<formControlPr xmlns="http://schemas.microsoft.com/office/spreadsheetml/2009/9/main" objectType="List" dx="20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20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20" fmlaLink="MasterSheet!$A$1" fmlaRange="MasterSheet!$B$27:$B$28" noThreeD="1" sel="2" val="0"/>
</file>

<file path=xl/ctrlProps/ctrlProp4.xml><?xml version="1.0" encoding="utf-8"?>
<formControlPr xmlns="http://schemas.microsoft.com/office/spreadsheetml/2009/9/main" objectType="List" dx="20" fmlaLink="MasterSheet!$A$1" fmlaRange="MasterSheet!$B$27:$B$28" noThreeD="1" sel="2" val="0"/>
</file>

<file path=xl/ctrlProps/ctrlProp5.xml><?xml version="1.0" encoding="utf-8"?>
<formControlPr xmlns="http://schemas.microsoft.com/office/spreadsheetml/2009/9/main" objectType="List" dx="20" fmlaLink="MasterSheet!$A$1" fmlaRange="MasterSheet!$B$27:$B$28" noThreeD="1" sel="2" val="0"/>
</file>

<file path=xl/ctrlProps/ctrlProp6.xml><?xml version="1.0" encoding="utf-8"?>
<formControlPr xmlns="http://schemas.microsoft.com/office/spreadsheetml/2009/9/main" objectType="List" dx="20" fmlaLink="MasterSheet!$A$1" fmlaRange="MasterSheet!$B$27:$B$28" noThreeD="1" sel="2" val="0"/>
</file>

<file path=xl/ctrlProps/ctrlProp7.xml><?xml version="1.0" encoding="utf-8"?>
<formControlPr xmlns="http://schemas.microsoft.com/office/spreadsheetml/2009/9/main" objectType="List" dx="20" fmlaLink="MasterSheet!$A$1" fmlaRange="MasterSheet!$B$27:$B$28" noThreeD="1" sel="2" val="0"/>
</file>

<file path=xl/ctrlProps/ctrlProp8.xml><?xml version="1.0" encoding="utf-8"?>
<formControlPr xmlns="http://schemas.microsoft.com/office/spreadsheetml/2009/9/main" objectType="List" dx="20" fmlaLink="MasterSheet!$A$1" fmlaRange="MasterSheet!$B$27:$B$28" noThreeD="1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388620</xdr:colOff>
      <xdr:row>36</xdr:row>
      <xdr:rowOff>114300</xdr:rowOff>
    </xdr:from>
    <xdr:to>
      <xdr:col>56</xdr:col>
      <xdr:colOff>266700</xdr:colOff>
      <xdr:row>50</xdr:row>
      <xdr:rowOff>76200</xdr:rowOff>
    </xdr:to>
    <xdr:graphicFrame macro="">
      <xdr:nvGraphicFramePr>
        <xdr:cNvPr id="491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50</xdr:col>
      <xdr:colOff>175260</xdr:colOff>
      <xdr:row>18</xdr:row>
      <xdr:rowOff>160020</xdr:rowOff>
    </xdr:from>
    <xdr:to>
      <xdr:col>57</xdr:col>
      <xdr:colOff>266700</xdr:colOff>
      <xdr:row>31</xdr:row>
      <xdr:rowOff>60960</xdr:rowOff>
    </xdr:to>
    <xdr:graphicFrame macro="">
      <xdr:nvGraphicFramePr>
        <xdr:cNvPr id="4917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1019175</xdr:colOff>
          <xdr:row>9</xdr:row>
          <xdr:rowOff>85725</xdr:rowOff>
        </xdr:to>
        <xdr:sp macro="" textlink="">
          <xdr:nvSpPr>
            <xdr:cNvPr id="49153" name="List Box 1" hidden="1">
              <a:extLst>
                <a:ext uri="{63B3BB69-23CF-44E3-9099-C40C66FF867C}">
                  <a14:compatExt spid="_x0000_s49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129540</xdr:colOff>
      <xdr:row>9</xdr:row>
      <xdr:rowOff>152400</xdr:rowOff>
    </xdr:from>
    <xdr:to>
      <xdr:col>10</xdr:col>
      <xdr:colOff>441960</xdr:colOff>
      <xdr:row>26</xdr:row>
      <xdr:rowOff>137160</xdr:rowOff>
    </xdr:to>
    <xdr:graphicFrame macro="">
      <xdr:nvGraphicFramePr>
        <xdr:cNvPr id="911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1019175</xdr:colOff>
          <xdr:row>9</xdr:row>
          <xdr:rowOff>85725</xdr:rowOff>
        </xdr:to>
        <xdr:sp macro="" textlink="">
          <xdr:nvSpPr>
            <xdr:cNvPr id="47105" name="List Box 1" hidden="1">
              <a:extLst>
                <a:ext uri="{63B3BB69-23CF-44E3-9099-C40C66FF867C}">
                  <a14:compatExt spid="_x0000_s47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1019175</xdr:colOff>
          <xdr:row>9</xdr:row>
          <xdr:rowOff>85725</xdr:rowOff>
        </xdr:to>
        <xdr:sp macro="" textlink="">
          <xdr:nvSpPr>
            <xdr:cNvPr id="48129" name="List Box 1" hidden="1">
              <a:extLst>
                <a:ext uri="{63B3BB69-23CF-44E3-9099-C40C66FF867C}">
                  <a14:compatExt spid="_x0000_s48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1287780</xdr:colOff>
      <xdr:row>16</xdr:row>
      <xdr:rowOff>38100</xdr:rowOff>
    </xdr:from>
    <xdr:to>
      <xdr:col>15</xdr:col>
      <xdr:colOff>487680</xdr:colOff>
      <xdr:row>34</xdr:row>
      <xdr:rowOff>91440</xdr:rowOff>
    </xdr:to>
    <xdr:graphicFrame macro="">
      <xdr:nvGraphicFramePr>
        <xdr:cNvPr id="727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845820</xdr:colOff>
      <xdr:row>14</xdr:row>
      <xdr:rowOff>121920</xdr:rowOff>
    </xdr:from>
    <xdr:to>
      <xdr:col>14</xdr:col>
      <xdr:colOff>304800</xdr:colOff>
      <xdr:row>34</xdr:row>
      <xdr:rowOff>160020</xdr:rowOff>
    </xdr:to>
    <xdr:graphicFrame macro="">
      <xdr:nvGraphicFramePr>
        <xdr:cNvPr id="7271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1019175</xdr:colOff>
          <xdr:row>9</xdr:row>
          <xdr:rowOff>85725</xdr:rowOff>
        </xdr:to>
        <xdr:sp macro="" textlink="">
          <xdr:nvSpPr>
            <xdr:cNvPr id="72705" name="List Box 1" hidden="1">
              <a:extLst>
                <a:ext uri="{63B3BB69-23CF-44E3-9099-C40C66FF867C}">
                  <a14:compatExt spid="_x0000_s72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388620</xdr:colOff>
      <xdr:row>36</xdr:row>
      <xdr:rowOff>114300</xdr:rowOff>
    </xdr:from>
    <xdr:to>
      <xdr:col>23</xdr:col>
      <xdr:colOff>266700</xdr:colOff>
      <xdr:row>50</xdr:row>
      <xdr:rowOff>76200</xdr:rowOff>
    </xdr:to>
    <xdr:graphicFrame macro="">
      <xdr:nvGraphicFramePr>
        <xdr:cNvPr id="716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1019175</xdr:colOff>
          <xdr:row>9</xdr:row>
          <xdr:rowOff>85725</xdr:rowOff>
        </xdr:to>
        <xdr:sp macro="" textlink="">
          <xdr:nvSpPr>
            <xdr:cNvPr id="71681" name="List Box 1" hidden="1">
              <a:extLst>
                <a:ext uri="{63B3BB69-23CF-44E3-9099-C40C66FF867C}">
                  <a14:compatExt spid="_x0000_s71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388620</xdr:colOff>
      <xdr:row>36</xdr:row>
      <xdr:rowOff>114300</xdr:rowOff>
    </xdr:from>
    <xdr:to>
      <xdr:col>23</xdr:col>
      <xdr:colOff>266700</xdr:colOff>
      <xdr:row>50</xdr:row>
      <xdr:rowOff>76200</xdr:rowOff>
    </xdr:to>
    <xdr:graphicFrame macro="">
      <xdr:nvGraphicFramePr>
        <xdr:cNvPr id="3791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1019175</xdr:colOff>
          <xdr:row>9</xdr:row>
          <xdr:rowOff>85725</xdr:rowOff>
        </xdr:to>
        <xdr:sp macro="" textlink="">
          <xdr:nvSpPr>
            <xdr:cNvPr id="37896" name="List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1019175</xdr:colOff>
          <xdr:row>9</xdr:row>
          <xdr:rowOff>85725</xdr:rowOff>
        </xdr:to>
        <xdr:sp macro="" textlink="">
          <xdr:nvSpPr>
            <xdr:cNvPr id="43009" name="List Box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1280160</xdr:colOff>
      <xdr:row>16</xdr:row>
      <xdr:rowOff>38100</xdr:rowOff>
    </xdr:from>
    <xdr:to>
      <xdr:col>15</xdr:col>
      <xdr:colOff>487680</xdr:colOff>
      <xdr:row>34</xdr:row>
      <xdr:rowOff>91440</xdr:rowOff>
    </xdr:to>
    <xdr:graphicFrame macro="">
      <xdr:nvGraphicFramePr>
        <xdr:cNvPr id="4608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830580</xdr:colOff>
      <xdr:row>12</xdr:row>
      <xdr:rowOff>213360</xdr:rowOff>
    </xdr:from>
    <xdr:to>
      <xdr:col>17</xdr:col>
      <xdr:colOff>335280</xdr:colOff>
      <xdr:row>33</xdr:row>
      <xdr:rowOff>0</xdr:rowOff>
    </xdr:to>
    <xdr:graphicFrame macro="">
      <xdr:nvGraphicFramePr>
        <xdr:cNvPr id="4608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1019175</xdr:colOff>
          <xdr:row>9</xdr:row>
          <xdr:rowOff>85725</xdr:rowOff>
        </xdr:to>
        <xdr:sp macro="" textlink="">
          <xdr:nvSpPr>
            <xdr:cNvPr id="46081" name="List Box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335280</xdr:colOff>
      <xdr:row>2</xdr:row>
      <xdr:rowOff>19050</xdr:rowOff>
    </xdr:from>
    <xdr:ext cx="3927886" cy="271909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22</xdr:col>
      <xdr:colOff>49530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27123390" y="36957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594360</xdr:colOff>
      <xdr:row>15</xdr:row>
      <xdr:rowOff>91440</xdr:rowOff>
    </xdr:from>
    <xdr:to>
      <xdr:col>15</xdr:col>
      <xdr:colOff>205740</xdr:colOff>
      <xdr:row>32</xdr:row>
      <xdr:rowOff>83820</xdr:rowOff>
    </xdr:to>
    <xdr:graphicFrame macro="">
      <xdr:nvGraphicFramePr>
        <xdr:cNvPr id="890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0.02834</cdr:x>
      <cdr:y>0.42732</cdr:y>
    </cdr:from>
    <cdr:to>
      <cdr:x>0.19719</cdr:x>
      <cdr:y>0.56934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9550" y="1171575"/>
          <a:ext cx="126682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sr-Latn-ME" sz="800" i="1"/>
            <a:t>Ostvarenje</a:t>
          </a:r>
          <a:r>
            <a:rPr lang="sr-Latn-ME" sz="800" i="1" baseline="0"/>
            <a:t> prihoda </a:t>
          </a:r>
        </a:p>
        <a:p xmlns:a="http://schemas.openxmlformats.org/drawingml/2006/main">
          <a:pPr algn="r"/>
          <a:r>
            <a:rPr lang="sr-Latn-ME" sz="800" i="1" baseline="0"/>
            <a:t>u prvom kvartalu 2014.</a:t>
          </a:r>
          <a:endParaRPr lang="en-US" sz="800" i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.vukovic/AppData/Local/Microsoft/Windows/Temporary%20Internet%20Files/Content.IE5/UMFISU40/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.vukovic/AppData/Local/Microsoft/Windows/Temporary%20Internet%20Files/Content.IE5/UMFISU40/Smjernice%202014-04-04%20sa%20projekcijama%20dug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os.popovic/AppData/Roaming/Microsoft/Excel/12_BUDZET%202013-2016_2013-11-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G3">
            <v>72253815.629999995</v>
          </cell>
          <cell r="I3">
            <v>61785502.860000007</v>
          </cell>
        </row>
        <row r="5">
          <cell r="C5">
            <v>411</v>
          </cell>
          <cell r="E5" t="str">
            <v>Bruto zarade i doprinosi na teret poslodavca</v>
          </cell>
          <cell r="F5">
            <v>373750011.16000003</v>
          </cell>
          <cell r="G5">
            <v>0</v>
          </cell>
          <cell r="H5">
            <v>371004370.17000008</v>
          </cell>
          <cell r="I5">
            <v>0</v>
          </cell>
        </row>
        <row r="6">
          <cell r="D6">
            <v>4111</v>
          </cell>
          <cell r="E6" t="str">
            <v>Neto zarade</v>
          </cell>
          <cell r="F6">
            <v>223077442.45000002</v>
          </cell>
          <cell r="G6">
            <v>0</v>
          </cell>
          <cell r="H6">
            <v>221767123.58000004</v>
          </cell>
          <cell r="I6">
            <v>0</v>
          </cell>
        </row>
        <row r="7">
          <cell r="D7">
            <v>4112</v>
          </cell>
          <cell r="E7" t="str">
            <v>Porez na zarade</v>
          </cell>
          <cell r="F7">
            <v>31382937.579999998</v>
          </cell>
          <cell r="G7">
            <v>0</v>
          </cell>
          <cell r="H7">
            <v>31182223.420000009</v>
          </cell>
          <cell r="I7">
            <v>0</v>
          </cell>
        </row>
        <row r="8">
          <cell r="D8">
            <v>4113</v>
          </cell>
          <cell r="E8" t="str">
            <v>Doprinosi na teret zaposlenog</v>
          </cell>
          <cell r="F8">
            <v>75333398.440000013</v>
          </cell>
          <cell r="G8">
            <v>0</v>
          </cell>
          <cell r="H8">
            <v>74530519.99000001</v>
          </cell>
          <cell r="I8">
            <v>0</v>
          </cell>
        </row>
        <row r="9">
          <cell r="D9">
            <v>4114</v>
          </cell>
          <cell r="E9" t="str">
            <v>Doprinosi na teret poslodavca</v>
          </cell>
          <cell r="F9">
            <v>39469767.709999993</v>
          </cell>
          <cell r="G9">
            <v>0</v>
          </cell>
          <cell r="H9">
            <v>39082444.850000001</v>
          </cell>
          <cell r="I9">
            <v>0</v>
          </cell>
        </row>
        <row r="10">
          <cell r="D10">
            <v>4115</v>
          </cell>
          <cell r="E10" t="str">
            <v>Opštinski prirez</v>
          </cell>
          <cell r="F10">
            <v>4486464.9799999977</v>
          </cell>
          <cell r="G10">
            <v>0</v>
          </cell>
          <cell r="H10">
            <v>4442058.3299999991</v>
          </cell>
          <cell r="I10">
            <v>0</v>
          </cell>
        </row>
        <row r="11">
          <cell r="C11">
            <v>412</v>
          </cell>
          <cell r="E11" t="str">
            <v>Ostala lična primanja</v>
          </cell>
          <cell r="F11">
            <v>13690508.619999997</v>
          </cell>
          <cell r="G11">
            <v>132000</v>
          </cell>
          <cell r="H11">
            <v>12022159.040000003</v>
          </cell>
          <cell r="I11">
            <v>96873.23</v>
          </cell>
        </row>
        <row r="12">
          <cell r="D12">
            <v>4121</v>
          </cell>
          <cell r="E12" t="str">
            <v>Naknada za zimnicu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4122</v>
          </cell>
          <cell r="E13" t="str">
            <v>Naknada za stanovanje i odvojen život</v>
          </cell>
          <cell r="F13">
            <v>2152930.6799999997</v>
          </cell>
          <cell r="G13">
            <v>0</v>
          </cell>
          <cell r="H13">
            <v>2068232.8800000001</v>
          </cell>
          <cell r="I13">
            <v>0</v>
          </cell>
        </row>
        <row r="14">
          <cell r="D14">
            <v>4123</v>
          </cell>
          <cell r="E14" t="str">
            <v>Naknada za prevoz</v>
          </cell>
          <cell r="F14">
            <v>180901.76000000001</v>
          </cell>
          <cell r="G14">
            <v>0</v>
          </cell>
          <cell r="H14">
            <v>171869.68000000002</v>
          </cell>
          <cell r="I14">
            <v>0</v>
          </cell>
        </row>
        <row r="15">
          <cell r="D15">
            <v>4124</v>
          </cell>
          <cell r="E15" t="str">
            <v>Jubilarne nagrade</v>
          </cell>
          <cell r="F15">
            <v>90180.049999999988</v>
          </cell>
          <cell r="G15">
            <v>0</v>
          </cell>
          <cell r="H15">
            <v>13255.01</v>
          </cell>
          <cell r="I15">
            <v>0</v>
          </cell>
        </row>
        <row r="16">
          <cell r="D16">
            <v>4125</v>
          </cell>
          <cell r="E16" t="str">
            <v>Otpremnine</v>
          </cell>
          <cell r="F16">
            <v>2544265.4699999997</v>
          </cell>
          <cell r="G16">
            <v>0</v>
          </cell>
          <cell r="H16">
            <v>2482632.9299999992</v>
          </cell>
          <cell r="I16">
            <v>0</v>
          </cell>
        </row>
        <row r="17">
          <cell r="D17">
            <v>4126</v>
          </cell>
          <cell r="E17" t="str">
            <v>Naknada skupstinskim poslanicima</v>
          </cell>
          <cell r="F17">
            <v>389190</v>
          </cell>
          <cell r="G17">
            <v>0</v>
          </cell>
          <cell r="H17">
            <v>389120.75</v>
          </cell>
          <cell r="I17">
            <v>0</v>
          </cell>
        </row>
        <row r="18">
          <cell r="D18">
            <v>4127</v>
          </cell>
          <cell r="E18" t="str">
            <v>Ostale naknade</v>
          </cell>
          <cell r="F18">
            <v>8333040.6599999992</v>
          </cell>
          <cell r="G18">
            <v>132000</v>
          </cell>
          <cell r="H18">
            <v>6897047.7900000028</v>
          </cell>
          <cell r="I18">
            <v>96873.23</v>
          </cell>
        </row>
        <row r="19">
          <cell r="C19">
            <v>413</v>
          </cell>
          <cell r="E19" t="str">
            <v>Rashodi za materijal</v>
          </cell>
          <cell r="F19">
            <v>28561571.449999999</v>
          </cell>
          <cell r="G19">
            <v>0</v>
          </cell>
          <cell r="H19">
            <v>27269260.950000003</v>
          </cell>
          <cell r="I19">
            <v>0</v>
          </cell>
        </row>
        <row r="20">
          <cell r="D20">
            <v>4131</v>
          </cell>
          <cell r="E20" t="str">
            <v>Administrativni materijal</v>
          </cell>
          <cell r="F20">
            <v>5044572.6100000003</v>
          </cell>
          <cell r="G20">
            <v>0</v>
          </cell>
          <cell r="H20">
            <v>4700443.6199999992</v>
          </cell>
          <cell r="I20">
            <v>0</v>
          </cell>
        </row>
        <row r="21">
          <cell r="D21">
            <v>4132</v>
          </cell>
          <cell r="E21" t="str">
            <v>Materijal za zdravstvenu zaštitu</v>
          </cell>
          <cell r="F21">
            <v>674988.01</v>
          </cell>
          <cell r="G21">
            <v>0</v>
          </cell>
          <cell r="H21">
            <v>655880.13</v>
          </cell>
          <cell r="I21">
            <v>0</v>
          </cell>
        </row>
        <row r="22">
          <cell r="D22">
            <v>4133</v>
          </cell>
          <cell r="E22" t="str">
            <v>Materijal za posebne namjene</v>
          </cell>
          <cell r="F22">
            <v>5505847.6900000004</v>
          </cell>
          <cell r="G22">
            <v>0</v>
          </cell>
          <cell r="H22">
            <v>5367980.6500000022</v>
          </cell>
          <cell r="I22">
            <v>0</v>
          </cell>
        </row>
        <row r="23">
          <cell r="D23">
            <v>4134</v>
          </cell>
          <cell r="E23" t="str">
            <v>Rashodi za energiju</v>
          </cell>
          <cell r="F23">
            <v>7166747.5699999994</v>
          </cell>
          <cell r="G23">
            <v>0</v>
          </cell>
          <cell r="H23">
            <v>6830636.7100000028</v>
          </cell>
          <cell r="I23">
            <v>0</v>
          </cell>
        </row>
        <row r="24">
          <cell r="D24">
            <v>4135</v>
          </cell>
          <cell r="E24" t="str">
            <v>Rashodi za gorivo</v>
          </cell>
          <cell r="F24">
            <v>10169415.57</v>
          </cell>
          <cell r="G24">
            <v>0</v>
          </cell>
          <cell r="H24">
            <v>9714319.839999998</v>
          </cell>
          <cell r="I24">
            <v>0</v>
          </cell>
        </row>
        <row r="25">
          <cell r="D25">
            <v>4139</v>
          </cell>
          <cell r="E25" t="str">
            <v>Ostali rashodi za mterijal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C26">
            <v>414</v>
          </cell>
          <cell r="E26" t="str">
            <v>Rashodi za usluge</v>
          </cell>
          <cell r="F26">
            <v>42347109.620000005</v>
          </cell>
          <cell r="G26">
            <v>4637900</v>
          </cell>
          <cell r="H26">
            <v>47503563.839999996</v>
          </cell>
          <cell r="I26">
            <v>2365291.84</v>
          </cell>
        </row>
        <row r="27">
          <cell r="D27">
            <v>4141</v>
          </cell>
          <cell r="E27" t="str">
            <v>Službena putovanja</v>
          </cell>
          <cell r="F27">
            <v>5986032.9799999986</v>
          </cell>
          <cell r="G27">
            <v>0</v>
          </cell>
          <cell r="H27">
            <v>5632062.6900000013</v>
          </cell>
          <cell r="I27">
            <v>0</v>
          </cell>
        </row>
        <row r="28">
          <cell r="D28">
            <v>4142</v>
          </cell>
          <cell r="E28" t="str">
            <v>Reprezentacija</v>
          </cell>
          <cell r="F28">
            <v>754162.03999999992</v>
          </cell>
          <cell r="G28">
            <v>0</v>
          </cell>
          <cell r="H28">
            <v>716769.48999999964</v>
          </cell>
          <cell r="I28">
            <v>0</v>
          </cell>
        </row>
        <row r="29">
          <cell r="D29">
            <v>4143</v>
          </cell>
          <cell r="E29" t="str">
            <v>Komunikacione usluge</v>
          </cell>
          <cell r="F29">
            <v>6509492.7300000023</v>
          </cell>
          <cell r="G29">
            <v>0</v>
          </cell>
          <cell r="H29">
            <v>6275831.5700000012</v>
          </cell>
          <cell r="I29">
            <v>0</v>
          </cell>
        </row>
        <row r="30">
          <cell r="D30">
            <v>4144</v>
          </cell>
          <cell r="E30" t="str">
            <v>Bankarske usluge i negativne kursne razlike</v>
          </cell>
          <cell r="F30">
            <v>3912334.73</v>
          </cell>
          <cell r="G30">
            <v>3000</v>
          </cell>
          <cell r="H30">
            <v>3824271.61</v>
          </cell>
          <cell r="I30">
            <v>0</v>
          </cell>
        </row>
        <row r="31">
          <cell r="D31">
            <v>4145</v>
          </cell>
          <cell r="E31" t="str">
            <v>Usluge prevoza</v>
          </cell>
          <cell r="F31">
            <v>1096449</v>
          </cell>
          <cell r="G31">
            <v>0</v>
          </cell>
          <cell r="H31">
            <v>1065891.01</v>
          </cell>
          <cell r="I31">
            <v>0</v>
          </cell>
        </row>
        <row r="32">
          <cell r="D32">
            <v>4146</v>
          </cell>
          <cell r="E32" t="str">
            <v>Advokatske, notarske i pravne usluge</v>
          </cell>
          <cell r="F32">
            <v>1656431.34</v>
          </cell>
          <cell r="G32">
            <v>0</v>
          </cell>
          <cell r="H32">
            <v>1200179.4899999998</v>
          </cell>
          <cell r="I32">
            <v>0</v>
          </cell>
        </row>
        <row r="33">
          <cell r="D33">
            <v>4147</v>
          </cell>
          <cell r="E33" t="str">
            <v>Konsultantske usluge, projekti i studije</v>
          </cell>
          <cell r="F33">
            <v>14108318.539999999</v>
          </cell>
          <cell r="G33">
            <v>4613900</v>
          </cell>
          <cell r="H33">
            <v>21030025.770000003</v>
          </cell>
          <cell r="I33">
            <v>2359241.77</v>
          </cell>
        </row>
        <row r="34">
          <cell r="D34">
            <v>4148</v>
          </cell>
          <cell r="E34" t="str">
            <v>Usluge stručnog usavršavanja</v>
          </cell>
          <cell r="F34">
            <v>1048512.71</v>
          </cell>
          <cell r="G34">
            <v>0</v>
          </cell>
          <cell r="H34">
            <v>823888.07999999961</v>
          </cell>
          <cell r="I34">
            <v>0</v>
          </cell>
        </row>
        <row r="35">
          <cell r="D35">
            <v>4149</v>
          </cell>
          <cell r="E35" t="str">
            <v>Ostale usluge</v>
          </cell>
          <cell r="F35">
            <v>7275375.5500000007</v>
          </cell>
          <cell r="G35">
            <v>21000</v>
          </cell>
          <cell r="H35">
            <v>6934644.129999998</v>
          </cell>
          <cell r="I35">
            <v>6050.0700000000006</v>
          </cell>
        </row>
        <row r="36">
          <cell r="C36">
            <v>415</v>
          </cell>
          <cell r="E36" t="str">
            <v>Rashodi za tekuće održavanje</v>
          </cell>
          <cell r="F36">
            <v>20847543.309999999</v>
          </cell>
          <cell r="G36">
            <v>0</v>
          </cell>
          <cell r="H36">
            <v>20415784.170000002</v>
          </cell>
          <cell r="I36">
            <v>0</v>
          </cell>
        </row>
        <row r="37">
          <cell r="D37">
            <v>4151</v>
          </cell>
          <cell r="E37" t="str">
            <v>Tekuće održavanje javne infrastrukture</v>
          </cell>
          <cell r="F37">
            <v>16845344.190000001</v>
          </cell>
          <cell r="G37">
            <v>0</v>
          </cell>
          <cell r="H37">
            <v>16844534.460000001</v>
          </cell>
          <cell r="I37">
            <v>0</v>
          </cell>
        </row>
        <row r="38">
          <cell r="D38">
            <v>4152</v>
          </cell>
          <cell r="E38" t="str">
            <v>Tekuće održavanje građevinskih objekata</v>
          </cell>
          <cell r="F38">
            <v>1397007.92</v>
          </cell>
          <cell r="G38">
            <v>0</v>
          </cell>
          <cell r="H38">
            <v>1315706.7399999998</v>
          </cell>
          <cell r="I38">
            <v>0</v>
          </cell>
        </row>
        <row r="39">
          <cell r="D39">
            <v>4153</v>
          </cell>
          <cell r="E39" t="str">
            <v>Tekuće održavanje opreme</v>
          </cell>
          <cell r="F39">
            <v>2605191.2000000002</v>
          </cell>
          <cell r="G39">
            <v>0</v>
          </cell>
          <cell r="H39">
            <v>2255542.9700000007</v>
          </cell>
          <cell r="I39">
            <v>0</v>
          </cell>
        </row>
        <row r="40">
          <cell r="C40">
            <v>416</v>
          </cell>
          <cell r="E40" t="str">
            <v>Kamate</v>
          </cell>
          <cell r="F40">
            <v>47182534.509999998</v>
          </cell>
          <cell r="G40">
            <v>0</v>
          </cell>
          <cell r="H40">
            <v>67922775.540000007</v>
          </cell>
          <cell r="I40">
            <v>0</v>
          </cell>
        </row>
        <row r="41">
          <cell r="D41">
            <v>4161</v>
          </cell>
          <cell r="E41" t="str">
            <v>Kamate rezidentima</v>
          </cell>
          <cell r="F41">
            <v>5364000</v>
          </cell>
          <cell r="G41">
            <v>0</v>
          </cell>
          <cell r="H41">
            <v>8403067.8699999992</v>
          </cell>
          <cell r="I41">
            <v>0</v>
          </cell>
        </row>
        <row r="42">
          <cell r="D42">
            <v>4162</v>
          </cell>
          <cell r="E42" t="str">
            <v>Kamate nerezidentima</v>
          </cell>
          <cell r="F42">
            <v>41818534.509999998</v>
          </cell>
          <cell r="G42">
            <v>0</v>
          </cell>
          <cell r="H42">
            <v>59519707.670000002</v>
          </cell>
          <cell r="I42">
            <v>0</v>
          </cell>
        </row>
        <row r="43">
          <cell r="C43">
            <v>417</v>
          </cell>
          <cell r="E43" t="str">
            <v>Renta</v>
          </cell>
          <cell r="F43">
            <v>8109421.540000001</v>
          </cell>
          <cell r="G43">
            <v>0</v>
          </cell>
          <cell r="H43">
            <v>7928041.8100000005</v>
          </cell>
          <cell r="I43">
            <v>0</v>
          </cell>
        </row>
        <row r="44">
          <cell r="D44">
            <v>4171</v>
          </cell>
          <cell r="E44" t="str">
            <v>Zakup objekata</v>
          </cell>
          <cell r="F44">
            <v>7848716.4600000009</v>
          </cell>
          <cell r="G44">
            <v>0</v>
          </cell>
          <cell r="H44">
            <v>7674551.9700000007</v>
          </cell>
          <cell r="I44">
            <v>0</v>
          </cell>
        </row>
        <row r="45">
          <cell r="D45">
            <v>4172</v>
          </cell>
          <cell r="E45" t="str">
            <v>Zakup opreme</v>
          </cell>
          <cell r="F45">
            <v>248105.08</v>
          </cell>
          <cell r="G45">
            <v>0</v>
          </cell>
          <cell r="H45">
            <v>243409.84000000003</v>
          </cell>
          <cell r="I45">
            <v>0</v>
          </cell>
        </row>
        <row r="46">
          <cell r="D46">
            <v>4173</v>
          </cell>
          <cell r="E46" t="str">
            <v>Zakup zemljišta</v>
          </cell>
          <cell r="F46">
            <v>12600</v>
          </cell>
          <cell r="G46">
            <v>0</v>
          </cell>
          <cell r="H46">
            <v>10080</v>
          </cell>
          <cell r="I46">
            <v>0</v>
          </cell>
        </row>
        <row r="47">
          <cell r="C47">
            <v>418</v>
          </cell>
          <cell r="E47" t="str">
            <v>Subvencije</v>
          </cell>
          <cell r="F47">
            <v>17501512.219999999</v>
          </cell>
          <cell r="G47">
            <v>0</v>
          </cell>
          <cell r="H47">
            <v>17425749.960000001</v>
          </cell>
          <cell r="I47">
            <v>0</v>
          </cell>
        </row>
        <row r="48">
          <cell r="D48">
            <v>4181</v>
          </cell>
          <cell r="E48" t="str">
            <v>Subvencije za proizvodnju i pružanje usluga</v>
          </cell>
          <cell r="F48">
            <v>17501512.219999999</v>
          </cell>
          <cell r="G48">
            <v>0</v>
          </cell>
          <cell r="H48">
            <v>17425749.960000001</v>
          </cell>
          <cell r="I48">
            <v>0</v>
          </cell>
        </row>
        <row r="49">
          <cell r="D49">
            <v>4182</v>
          </cell>
          <cell r="E49" t="str">
            <v>Izvozne subvencije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D50">
            <v>4183</v>
          </cell>
          <cell r="E50" t="str">
            <v>Uvozne subvencije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C51">
            <v>419</v>
          </cell>
          <cell r="E51" t="str">
            <v>Ostali izdaci</v>
          </cell>
          <cell r="F51">
            <v>24188298.130000003</v>
          </cell>
          <cell r="G51">
            <v>2062400</v>
          </cell>
          <cell r="H51">
            <v>21938694.789999992</v>
          </cell>
          <cell r="I51">
            <v>1674945.67</v>
          </cell>
        </row>
        <row r="52">
          <cell r="D52">
            <v>4191</v>
          </cell>
          <cell r="E52" t="str">
            <v>Izdaci po osnovu isplate ugovora o djelu</v>
          </cell>
          <cell r="F52">
            <v>5481857.1499999994</v>
          </cell>
          <cell r="G52">
            <v>22000</v>
          </cell>
          <cell r="H52">
            <v>5256412.2499999963</v>
          </cell>
          <cell r="I52">
            <v>16407.93</v>
          </cell>
        </row>
        <row r="53">
          <cell r="D53">
            <v>4192</v>
          </cell>
          <cell r="E53" t="str">
            <v>Izdaci po osnovu troškova sudskih postupaka</v>
          </cell>
          <cell r="F53">
            <v>2178849.58</v>
          </cell>
          <cell r="G53">
            <v>0</v>
          </cell>
          <cell r="H53">
            <v>989862.28999999992</v>
          </cell>
          <cell r="I53">
            <v>0</v>
          </cell>
        </row>
        <row r="54">
          <cell r="D54">
            <v>4193</v>
          </cell>
          <cell r="E54" t="str">
            <v>Izrada i održavanje softvera</v>
          </cell>
          <cell r="F54">
            <v>5466724.790000001</v>
          </cell>
          <cell r="G54">
            <v>0</v>
          </cell>
          <cell r="H54">
            <v>5305145.839999998</v>
          </cell>
          <cell r="I54">
            <v>0</v>
          </cell>
        </row>
        <row r="55">
          <cell r="D55">
            <v>4194</v>
          </cell>
          <cell r="E55" t="str">
            <v>Osiguranje</v>
          </cell>
          <cell r="F55">
            <v>2168978.3600000003</v>
          </cell>
          <cell r="G55">
            <v>0</v>
          </cell>
          <cell r="H55">
            <v>1991355.9199999997</v>
          </cell>
          <cell r="I55">
            <v>0</v>
          </cell>
        </row>
        <row r="56">
          <cell r="D56">
            <v>4195</v>
          </cell>
          <cell r="E56" t="str">
            <v>Kontribucije za članstvo u domaćim i međunarodnim organizacijama</v>
          </cell>
          <cell r="F56">
            <v>2302735.7800000003</v>
          </cell>
          <cell r="G56">
            <v>0</v>
          </cell>
          <cell r="H56">
            <v>2117514.59</v>
          </cell>
          <cell r="I56">
            <v>0</v>
          </cell>
        </row>
        <row r="57">
          <cell r="D57">
            <v>4196</v>
          </cell>
          <cell r="E57" t="str">
            <v>Komunalne naknade</v>
          </cell>
          <cell r="F57">
            <v>3554610.8900000006</v>
          </cell>
          <cell r="G57">
            <v>749400</v>
          </cell>
          <cell r="H57">
            <v>3474719.08</v>
          </cell>
          <cell r="I57">
            <v>518548.24</v>
          </cell>
        </row>
        <row r="58">
          <cell r="D58">
            <v>4197</v>
          </cell>
          <cell r="E58" t="str">
            <v>Kazne</v>
          </cell>
          <cell r="F58">
            <v>800</v>
          </cell>
          <cell r="G58">
            <v>0</v>
          </cell>
          <cell r="H58">
            <v>266.72000000000003</v>
          </cell>
          <cell r="I58">
            <v>0</v>
          </cell>
        </row>
        <row r="59">
          <cell r="D59">
            <v>4198</v>
          </cell>
          <cell r="E59" t="str">
            <v>Takse</v>
          </cell>
          <cell r="F59">
            <v>13960</v>
          </cell>
          <cell r="G59">
            <v>0</v>
          </cell>
          <cell r="H59">
            <v>4915.630000000001</v>
          </cell>
          <cell r="I59">
            <v>0</v>
          </cell>
        </row>
        <row r="60">
          <cell r="D60">
            <v>4199</v>
          </cell>
          <cell r="E60" t="str">
            <v>Ostalo</v>
          </cell>
          <cell r="F60">
            <v>3019781.58</v>
          </cell>
          <cell r="G60">
            <v>1291000</v>
          </cell>
          <cell r="H60">
            <v>2798502.4699999997</v>
          </cell>
          <cell r="I60">
            <v>1139989.5</v>
          </cell>
        </row>
        <row r="61">
          <cell r="B61">
            <v>42</v>
          </cell>
          <cell r="C61" t="str">
            <v xml:space="preserve"> </v>
          </cell>
          <cell r="E61" t="str">
            <v>Transferi za socijalnu zaštitu</v>
          </cell>
          <cell r="F61">
            <v>485569147.94000006</v>
          </cell>
          <cell r="G61">
            <v>0</v>
          </cell>
          <cell r="H61">
            <v>482967420.47999996</v>
          </cell>
          <cell r="I61">
            <v>0</v>
          </cell>
        </row>
        <row r="62">
          <cell r="C62">
            <v>421</v>
          </cell>
          <cell r="D62" t="str">
            <v xml:space="preserve"> </v>
          </cell>
          <cell r="E62" t="str">
            <v>Prava iz oblasti socijalne zaštite</v>
          </cell>
          <cell r="F62">
            <v>64071104.949999996</v>
          </cell>
          <cell r="G62">
            <v>0</v>
          </cell>
          <cell r="H62">
            <v>64036543.990000002</v>
          </cell>
          <cell r="I62">
            <v>0</v>
          </cell>
        </row>
        <row r="63">
          <cell r="C63" t="str">
            <v xml:space="preserve"> </v>
          </cell>
          <cell r="D63">
            <v>4211</v>
          </cell>
          <cell r="E63" t="str">
            <v>Dječiji dodaci</v>
          </cell>
          <cell r="F63">
            <v>5093812.95</v>
          </cell>
          <cell r="G63">
            <v>0</v>
          </cell>
          <cell r="H63">
            <v>5084378.09</v>
          </cell>
          <cell r="I63">
            <v>0</v>
          </cell>
        </row>
        <row r="64">
          <cell r="D64">
            <v>4212</v>
          </cell>
          <cell r="E64" t="str">
            <v>Boračko invalidska zaštita</v>
          </cell>
          <cell r="F64">
            <v>8523104.9499999993</v>
          </cell>
          <cell r="G64">
            <v>0</v>
          </cell>
          <cell r="H64">
            <v>8521361.5399999991</v>
          </cell>
          <cell r="I64">
            <v>0</v>
          </cell>
        </row>
        <row r="65">
          <cell r="D65">
            <v>4213</v>
          </cell>
          <cell r="E65" t="str">
            <v>Materijalno obezbjeđenje porodice</v>
          </cell>
          <cell r="F65">
            <v>17843542.329999998</v>
          </cell>
          <cell r="G65">
            <v>0</v>
          </cell>
          <cell r="H65">
            <v>17843542.07</v>
          </cell>
          <cell r="I65">
            <v>0</v>
          </cell>
        </row>
        <row r="66">
          <cell r="D66">
            <v>4214</v>
          </cell>
          <cell r="E66" t="str">
            <v>Porodiljska odsustva</v>
          </cell>
          <cell r="F66">
            <v>19478486.039999999</v>
          </cell>
          <cell r="G66">
            <v>0</v>
          </cell>
          <cell r="H66">
            <v>19478483.039999999</v>
          </cell>
          <cell r="I66">
            <v>0</v>
          </cell>
        </row>
        <row r="67">
          <cell r="D67">
            <v>4215</v>
          </cell>
          <cell r="E67" t="str">
            <v>Tuđa njega i pomoć</v>
          </cell>
          <cell r="F67">
            <v>9063559.9199999999</v>
          </cell>
          <cell r="G67">
            <v>0</v>
          </cell>
          <cell r="H67">
            <v>9063508.4500000011</v>
          </cell>
          <cell r="I67">
            <v>0</v>
          </cell>
        </row>
        <row r="68">
          <cell r="D68">
            <v>4216</v>
          </cell>
          <cell r="E68" t="str">
            <v>Ishrana djece u predškolskim ustanovama</v>
          </cell>
          <cell r="F68">
            <v>610000</v>
          </cell>
          <cell r="G68">
            <v>0</v>
          </cell>
          <cell r="H68">
            <v>608655.35</v>
          </cell>
          <cell r="I68">
            <v>0</v>
          </cell>
        </row>
        <row r="69">
          <cell r="D69">
            <v>4217</v>
          </cell>
          <cell r="E69" t="str">
            <v>Izdržavanje štićenika u domovima</v>
          </cell>
          <cell r="F69">
            <v>3458598.76</v>
          </cell>
          <cell r="G69">
            <v>0</v>
          </cell>
          <cell r="H69">
            <v>3436615.45</v>
          </cell>
          <cell r="I69">
            <v>0</v>
          </cell>
        </row>
        <row r="70">
          <cell r="C70">
            <v>422</v>
          </cell>
          <cell r="D70" t="str">
            <v xml:space="preserve"> </v>
          </cell>
          <cell r="E70" t="str">
            <v>Sredstva za tehnološke viškove</v>
          </cell>
          <cell r="F70">
            <v>14836537.550000001</v>
          </cell>
          <cell r="G70">
            <v>0</v>
          </cell>
          <cell r="H70">
            <v>13086355.52</v>
          </cell>
          <cell r="I70">
            <v>0</v>
          </cell>
        </row>
        <row r="71">
          <cell r="D71">
            <v>4221</v>
          </cell>
          <cell r="E71" t="str">
            <v>Garantovane zarade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D72">
            <v>4222</v>
          </cell>
          <cell r="E72" t="str">
            <v>Otpremnine za tehnološke viškove</v>
          </cell>
          <cell r="F72">
            <v>3586537.55</v>
          </cell>
          <cell r="G72">
            <v>0</v>
          </cell>
          <cell r="H72">
            <v>2459797.9900000002</v>
          </cell>
          <cell r="I72">
            <v>0</v>
          </cell>
        </row>
        <row r="73">
          <cell r="D73">
            <v>4223</v>
          </cell>
          <cell r="E73" t="str">
            <v>Dokup staža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D74">
            <v>4224</v>
          </cell>
          <cell r="E74" t="str">
            <v>Naknade nezaposlenim licima</v>
          </cell>
          <cell r="F74">
            <v>11250000</v>
          </cell>
          <cell r="G74">
            <v>0</v>
          </cell>
          <cell r="H74">
            <v>10626557.529999999</v>
          </cell>
          <cell r="I74">
            <v>0</v>
          </cell>
        </row>
        <row r="75">
          <cell r="D75">
            <v>4225</v>
          </cell>
          <cell r="E75" t="str">
            <v>Ostalo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C76">
            <v>423</v>
          </cell>
          <cell r="D76" t="str">
            <v xml:space="preserve"> </v>
          </cell>
          <cell r="E76" t="str">
            <v>Prava iz oblasti penzijskog i invalidskog osiguranja</v>
          </cell>
          <cell r="F76">
            <v>383999409.32000005</v>
          </cell>
          <cell r="G76">
            <v>0</v>
          </cell>
          <cell r="H76">
            <v>383189899.51999998</v>
          </cell>
          <cell r="I76">
            <v>0</v>
          </cell>
        </row>
        <row r="77">
          <cell r="D77">
            <v>4231</v>
          </cell>
          <cell r="E77" t="str">
            <v>Starosna penzija</v>
          </cell>
          <cell r="F77">
            <v>214357286.10999998</v>
          </cell>
          <cell r="G77">
            <v>0</v>
          </cell>
          <cell r="H77">
            <v>214355752.44</v>
          </cell>
          <cell r="I77">
            <v>0</v>
          </cell>
        </row>
        <row r="78">
          <cell r="D78">
            <v>4232</v>
          </cell>
          <cell r="E78" t="str">
            <v>Invalidska penzija</v>
          </cell>
          <cell r="F78">
            <v>70376700.5</v>
          </cell>
          <cell r="G78">
            <v>0</v>
          </cell>
          <cell r="H78">
            <v>70353392.75999999</v>
          </cell>
          <cell r="I78">
            <v>0</v>
          </cell>
        </row>
        <row r="79">
          <cell r="D79">
            <v>4233</v>
          </cell>
          <cell r="E79" t="str">
            <v>Porodična penzija</v>
          </cell>
          <cell r="F79">
            <v>76597452.420000002</v>
          </cell>
          <cell r="G79">
            <v>0</v>
          </cell>
          <cell r="H79">
            <v>76520663.090000004</v>
          </cell>
          <cell r="I79">
            <v>0</v>
          </cell>
        </row>
        <row r="80">
          <cell r="D80">
            <v>4234</v>
          </cell>
          <cell r="E80" t="str">
            <v>Naknade</v>
          </cell>
          <cell r="F80">
            <v>10312384.810000001</v>
          </cell>
          <cell r="G80">
            <v>0</v>
          </cell>
          <cell r="H80">
            <v>9990457.1300000008</v>
          </cell>
          <cell r="I80">
            <v>0</v>
          </cell>
        </row>
        <row r="81">
          <cell r="D81">
            <v>4235</v>
          </cell>
          <cell r="E81" t="str">
            <v>Dodaci</v>
          </cell>
          <cell r="F81">
            <v>2975301</v>
          </cell>
          <cell r="G81">
            <v>0</v>
          </cell>
          <cell r="H81">
            <v>2643143.73</v>
          </cell>
          <cell r="I81">
            <v>0</v>
          </cell>
        </row>
        <row r="82">
          <cell r="D82">
            <v>4236</v>
          </cell>
          <cell r="E82" t="str">
            <v>Ostala prava</v>
          </cell>
          <cell r="F82">
            <v>9380284.4800000004</v>
          </cell>
          <cell r="G82">
            <v>0</v>
          </cell>
          <cell r="H82">
            <v>9326490.3699999992</v>
          </cell>
          <cell r="I82">
            <v>0</v>
          </cell>
        </row>
        <row r="83">
          <cell r="D83">
            <v>4237</v>
          </cell>
          <cell r="E83" t="str">
            <v>Doprinos za zdravstvenu zaštitu penzionera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C84">
            <v>424</v>
          </cell>
          <cell r="D84" t="str">
            <v xml:space="preserve"> </v>
          </cell>
          <cell r="E84" t="str">
            <v>Ostala prava iz oblasti zdravstvene zaštite</v>
          </cell>
          <cell r="F84">
            <v>14792096.119999999</v>
          </cell>
          <cell r="G84">
            <v>0</v>
          </cell>
          <cell r="H84">
            <v>14792096.09</v>
          </cell>
          <cell r="I84">
            <v>0</v>
          </cell>
        </row>
        <row r="85">
          <cell r="D85">
            <v>4241</v>
          </cell>
          <cell r="E85" t="str">
            <v>Liječenje van Crne Gore</v>
          </cell>
          <cell r="F85">
            <v>14792096.119999999</v>
          </cell>
          <cell r="G85">
            <v>0</v>
          </cell>
          <cell r="H85">
            <v>14792096.09</v>
          </cell>
          <cell r="I85">
            <v>0</v>
          </cell>
        </row>
        <row r="86">
          <cell r="C86">
            <v>425</v>
          </cell>
          <cell r="D86" t="str">
            <v xml:space="preserve"> </v>
          </cell>
          <cell r="E86" t="str">
            <v>Ostala prava iz zdravstvenog osiguranja</v>
          </cell>
          <cell r="F86">
            <v>7870000</v>
          </cell>
          <cell r="G86">
            <v>0</v>
          </cell>
          <cell r="H86">
            <v>7862525.3600000003</v>
          </cell>
          <cell r="I86">
            <v>0</v>
          </cell>
        </row>
        <row r="87">
          <cell r="D87">
            <v>4251</v>
          </cell>
          <cell r="E87" t="str">
            <v>Ortopedske sprave i pomagala</v>
          </cell>
          <cell r="F87">
            <v>1450000</v>
          </cell>
          <cell r="G87">
            <v>0</v>
          </cell>
          <cell r="H87">
            <v>1443120.78</v>
          </cell>
          <cell r="I87">
            <v>0</v>
          </cell>
        </row>
        <row r="88">
          <cell r="D88">
            <v>4252</v>
          </cell>
          <cell r="E88" t="str">
            <v>Naknade za bolovanje preko 60 dana</v>
          </cell>
          <cell r="F88">
            <v>2325000</v>
          </cell>
          <cell r="G88">
            <v>0</v>
          </cell>
          <cell r="H88">
            <v>2324999.5</v>
          </cell>
          <cell r="I88">
            <v>0</v>
          </cell>
        </row>
        <row r="89">
          <cell r="D89">
            <v>4253</v>
          </cell>
          <cell r="E89" t="str">
            <v>Naknade za putne troškove osiguranika</v>
          </cell>
          <cell r="F89">
            <v>4095000</v>
          </cell>
          <cell r="G89">
            <v>0</v>
          </cell>
          <cell r="H89">
            <v>4094405.08</v>
          </cell>
          <cell r="I89">
            <v>0</v>
          </cell>
        </row>
        <row r="90">
          <cell r="B90">
            <v>43</v>
          </cell>
          <cell r="E90" t="str">
            <v xml:space="preserve">Transferi institucijama, pojedincima, nevladinom i javnom sektoru </v>
          </cell>
          <cell r="F90">
            <v>94618839.25999999</v>
          </cell>
          <cell r="G90">
            <v>0</v>
          </cell>
          <cell r="H90">
            <v>94307026.210000008</v>
          </cell>
          <cell r="I90">
            <v>0</v>
          </cell>
        </row>
        <row r="91">
          <cell r="B91" t="str">
            <v xml:space="preserve"> </v>
          </cell>
          <cell r="C91">
            <v>431</v>
          </cell>
          <cell r="E91" t="str">
            <v xml:space="preserve">Transferi institucijama, pojedincima, nevladinom i javnom sektoru </v>
          </cell>
          <cell r="F91">
            <v>93133166.209999993</v>
          </cell>
          <cell r="G91">
            <v>0</v>
          </cell>
          <cell r="H91">
            <v>92821380.980000004</v>
          </cell>
          <cell r="I91">
            <v>0</v>
          </cell>
        </row>
        <row r="92">
          <cell r="D92">
            <v>4311</v>
          </cell>
          <cell r="E92" t="str">
            <v xml:space="preserve">Transferi za zdravstvenu zaštitu </v>
          </cell>
          <cell r="F92">
            <v>58380661.439999998</v>
          </cell>
          <cell r="G92">
            <v>0</v>
          </cell>
          <cell r="H92">
            <v>58380661.439999998</v>
          </cell>
          <cell r="I92">
            <v>0</v>
          </cell>
        </row>
        <row r="93">
          <cell r="D93">
            <v>4312</v>
          </cell>
          <cell r="E93" t="str">
            <v>Transferi obrazovanju</v>
          </cell>
          <cell r="F93">
            <v>2855000</v>
          </cell>
          <cell r="G93">
            <v>0</v>
          </cell>
          <cell r="H93">
            <v>2854734.85</v>
          </cell>
          <cell r="I93">
            <v>0</v>
          </cell>
        </row>
        <row r="94">
          <cell r="D94">
            <v>4313</v>
          </cell>
          <cell r="E94" t="str">
            <v>Transferi institucijama kulture i sporta</v>
          </cell>
          <cell r="F94">
            <v>4014400</v>
          </cell>
          <cell r="G94">
            <v>0</v>
          </cell>
          <cell r="H94">
            <v>4009035.5300000003</v>
          </cell>
          <cell r="I94">
            <v>0</v>
          </cell>
        </row>
        <row r="95">
          <cell r="D95">
            <v>4314</v>
          </cell>
          <cell r="E95" t="str">
            <v>Transferi nevladinim organizacijama</v>
          </cell>
          <cell r="F95">
            <v>2558476.27</v>
          </cell>
          <cell r="G95">
            <v>0</v>
          </cell>
          <cell r="H95">
            <v>2381216.02</v>
          </cell>
          <cell r="I95">
            <v>0</v>
          </cell>
        </row>
        <row r="96">
          <cell r="D96">
            <v>4315</v>
          </cell>
          <cell r="E96" t="str">
            <v>Transferi političkim partijama, strankama i udruženjima</v>
          </cell>
          <cell r="F96">
            <v>3502983.38</v>
          </cell>
          <cell r="G96">
            <v>0</v>
          </cell>
          <cell r="H96">
            <v>3481979.5999999996</v>
          </cell>
          <cell r="I96">
            <v>0</v>
          </cell>
        </row>
        <row r="97">
          <cell r="D97">
            <v>4316</v>
          </cell>
          <cell r="E97" t="str">
            <v>Transferi za jednokratne socijalne pomoći</v>
          </cell>
          <cell r="F97">
            <v>707700</v>
          </cell>
          <cell r="G97">
            <v>0</v>
          </cell>
          <cell r="H97">
            <v>674263.16</v>
          </cell>
          <cell r="I97">
            <v>0</v>
          </cell>
        </row>
        <row r="98">
          <cell r="D98">
            <v>4317</v>
          </cell>
          <cell r="E98" t="str">
            <v>Transferi za lična primanja pripravnika</v>
          </cell>
          <cell r="F98">
            <v>995689.84</v>
          </cell>
          <cell r="G98">
            <v>0</v>
          </cell>
          <cell r="H98">
            <v>994784.92999999993</v>
          </cell>
          <cell r="I98">
            <v>0</v>
          </cell>
        </row>
        <row r="99">
          <cell r="D99">
            <v>4318</v>
          </cell>
          <cell r="E99" t="str">
            <v>Ostali transferi pojedincima</v>
          </cell>
          <cell r="F99">
            <v>18192766.609999999</v>
          </cell>
          <cell r="G99">
            <v>0</v>
          </cell>
          <cell r="H99">
            <v>18154601.449999999</v>
          </cell>
          <cell r="I99">
            <v>0</v>
          </cell>
        </row>
        <row r="100">
          <cell r="D100">
            <v>4319</v>
          </cell>
          <cell r="E100" t="str">
            <v>Ostali transferi institucijama</v>
          </cell>
          <cell r="F100">
            <v>1925488.67</v>
          </cell>
          <cell r="G100">
            <v>0</v>
          </cell>
          <cell r="H100">
            <v>1890103.9999999998</v>
          </cell>
          <cell r="I100">
            <v>0</v>
          </cell>
        </row>
        <row r="101">
          <cell r="B101" t="str">
            <v xml:space="preserve"> </v>
          </cell>
          <cell r="C101">
            <v>432</v>
          </cell>
          <cell r="E101" t="str">
            <v xml:space="preserve">Ostali transferi </v>
          </cell>
          <cell r="F101">
            <v>1485673.05</v>
          </cell>
          <cell r="G101">
            <v>0</v>
          </cell>
          <cell r="H101">
            <v>1485645.23</v>
          </cell>
          <cell r="I101">
            <v>0</v>
          </cell>
        </row>
        <row r="102">
          <cell r="D102">
            <v>4321</v>
          </cell>
          <cell r="E102" t="str">
            <v>Transferi Fondu penzijskog i invalidskog osiguranja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D103">
            <v>4322</v>
          </cell>
          <cell r="E103" t="str">
            <v>Transferi Fondu zdravstva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D104">
            <v>4323</v>
          </cell>
          <cell r="E104" t="str">
            <v>Transferi zavodu za zapošljavanje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D105">
            <v>4324</v>
          </cell>
          <cell r="E105" t="str">
            <v>Transferi opštinama</v>
          </cell>
          <cell r="F105">
            <v>1485673.05</v>
          </cell>
          <cell r="G105">
            <v>0</v>
          </cell>
          <cell r="H105">
            <v>1485645.23</v>
          </cell>
          <cell r="I105">
            <v>0</v>
          </cell>
        </row>
        <row r="106">
          <cell r="D106">
            <v>4325</v>
          </cell>
          <cell r="E106" t="str">
            <v>Transferi budžetu države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D107">
            <v>4326</v>
          </cell>
          <cell r="E107" t="str">
            <v>Transferi javnim preduzećima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B108">
            <v>44</v>
          </cell>
          <cell r="C108" t="str">
            <v xml:space="preserve"> </v>
          </cell>
          <cell r="E108" t="str">
            <v>Kapitalni izdaci</v>
          </cell>
          <cell r="F108">
            <v>10966072.1</v>
          </cell>
          <cell r="G108">
            <v>65421515.630000003</v>
          </cell>
          <cell r="H108">
            <v>12212230.590000004</v>
          </cell>
          <cell r="I108">
            <v>57648392.120000005</v>
          </cell>
        </row>
        <row r="109">
          <cell r="C109">
            <v>441</v>
          </cell>
          <cell r="E109" t="str">
            <v>Kapitalni izdaci</v>
          </cell>
          <cell r="F109">
            <v>10966072.1</v>
          </cell>
          <cell r="G109">
            <v>65421515.630000003</v>
          </cell>
          <cell r="H109">
            <v>12212230.590000004</v>
          </cell>
          <cell r="I109">
            <v>57648392.120000005</v>
          </cell>
        </row>
        <row r="110">
          <cell r="D110">
            <v>4411</v>
          </cell>
          <cell r="E110" t="str">
            <v>Izdaci za infrastrukturu opšeg značaja</v>
          </cell>
          <cell r="F110">
            <v>0</v>
          </cell>
          <cell r="G110">
            <v>27101400</v>
          </cell>
          <cell r="H110">
            <v>0</v>
          </cell>
          <cell r="I110">
            <v>18675619.84</v>
          </cell>
        </row>
        <row r="111">
          <cell r="D111">
            <v>4412</v>
          </cell>
          <cell r="E111" t="str">
            <v>Izdaci za lokalnu infrastrukturu</v>
          </cell>
          <cell r="F111">
            <v>1378000</v>
          </cell>
          <cell r="G111">
            <v>5953000</v>
          </cell>
          <cell r="H111">
            <v>1377529.18</v>
          </cell>
          <cell r="I111">
            <v>8433561.3100000005</v>
          </cell>
        </row>
        <row r="112">
          <cell r="D112">
            <v>4413</v>
          </cell>
          <cell r="E112" t="str">
            <v>Izdaci za građevinske objekte</v>
          </cell>
          <cell r="F112">
            <v>1912950</v>
          </cell>
          <cell r="G112">
            <v>31935315.630000003</v>
          </cell>
          <cell r="H112">
            <v>1939414.98</v>
          </cell>
          <cell r="I112">
            <v>30195088.379999999</v>
          </cell>
        </row>
        <row r="113">
          <cell r="D113">
            <v>4414</v>
          </cell>
          <cell r="E113" t="str">
            <v>Izdaci za uređenje zemljišta</v>
          </cell>
          <cell r="F113">
            <v>604200</v>
          </cell>
          <cell r="G113">
            <v>1000</v>
          </cell>
          <cell r="H113">
            <v>603865.92000000004</v>
          </cell>
          <cell r="I113">
            <v>0</v>
          </cell>
        </row>
        <row r="114">
          <cell r="D114">
            <v>4415</v>
          </cell>
          <cell r="E114" t="str">
            <v>Izdaci za opremu</v>
          </cell>
          <cell r="F114">
            <v>6072757.6699999999</v>
          </cell>
          <cell r="G114">
            <v>430800</v>
          </cell>
          <cell r="H114">
            <v>5328601.0600000033</v>
          </cell>
          <cell r="I114">
            <v>344122.59</v>
          </cell>
        </row>
        <row r="115">
          <cell r="D115">
            <v>4416</v>
          </cell>
          <cell r="E115" t="str">
            <v>Izdaci za investiciono održavanje</v>
          </cell>
          <cell r="F115">
            <v>898164.43</v>
          </cell>
          <cell r="G115">
            <v>0</v>
          </cell>
          <cell r="H115">
            <v>1738301.84</v>
          </cell>
          <cell r="I115">
            <v>0</v>
          </cell>
        </row>
        <row r="116">
          <cell r="D116">
            <v>4417</v>
          </cell>
          <cell r="E116" t="str">
            <v>Izdaci za zalihe</v>
          </cell>
          <cell r="F116">
            <v>100000</v>
          </cell>
          <cell r="G116">
            <v>0</v>
          </cell>
          <cell r="H116">
            <v>99153.37</v>
          </cell>
          <cell r="I116">
            <v>0</v>
          </cell>
        </row>
        <row r="117">
          <cell r="D117">
            <v>4418</v>
          </cell>
          <cell r="E117" t="str">
            <v>Izdaci za kupovinu hartija od vrijednosti</v>
          </cell>
          <cell r="F117">
            <v>0</v>
          </cell>
          <cell r="G117">
            <v>0</v>
          </cell>
          <cell r="H117">
            <v>1125364.24</v>
          </cell>
          <cell r="I117">
            <v>0</v>
          </cell>
        </row>
        <row r="118">
          <cell r="D118">
            <v>4419</v>
          </cell>
          <cell r="E118" t="str">
            <v>Ostali kapitalni izdaci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B119">
            <v>45</v>
          </cell>
          <cell r="E119" t="str">
            <v>Krediti i pozajmice</v>
          </cell>
          <cell r="F119">
            <v>2766784.5</v>
          </cell>
          <cell r="G119">
            <v>0</v>
          </cell>
          <cell r="H119">
            <v>2752781.98</v>
          </cell>
          <cell r="I119">
            <v>0</v>
          </cell>
        </row>
        <row r="120">
          <cell r="C120">
            <v>451</v>
          </cell>
          <cell r="E120" t="str">
            <v>Pozajmice i krediti</v>
          </cell>
          <cell r="F120">
            <v>2766784.5</v>
          </cell>
          <cell r="G120">
            <v>0</v>
          </cell>
          <cell r="H120">
            <v>2752781.98</v>
          </cell>
          <cell r="I120">
            <v>0</v>
          </cell>
        </row>
        <row r="121">
          <cell r="D121">
            <v>4511</v>
          </cell>
          <cell r="E121" t="str">
            <v>Pozajmice i krediti nefinansijskim institucijama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D122">
            <v>4512</v>
          </cell>
          <cell r="E122" t="str">
            <v>Pozajmice i krediti finansijskim institucijama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D123">
            <v>4513</v>
          </cell>
          <cell r="E123" t="str">
            <v>Pozajmice i krediti pojedincima</v>
          </cell>
          <cell r="F123">
            <v>1400000</v>
          </cell>
          <cell r="G123">
            <v>0</v>
          </cell>
          <cell r="H123">
            <v>1400000</v>
          </cell>
          <cell r="I123">
            <v>0</v>
          </cell>
        </row>
        <row r="124">
          <cell r="D124">
            <v>4514</v>
          </cell>
          <cell r="E124" t="str">
            <v>Pozajmice i krediti vanbudžetskim fondovima i opštinama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D125">
            <v>4515</v>
          </cell>
          <cell r="E125" t="str">
            <v>Ostale pozajmice i krediti</v>
          </cell>
          <cell r="F125">
            <v>1366784.5</v>
          </cell>
          <cell r="G125">
            <v>0</v>
          </cell>
          <cell r="H125">
            <v>1352781.98</v>
          </cell>
          <cell r="I125">
            <v>0</v>
          </cell>
        </row>
        <row r="126">
          <cell r="B126">
            <v>46</v>
          </cell>
          <cell r="E126" t="str">
            <v>Otplata dugova</v>
          </cell>
          <cell r="F126">
            <v>119209623.22</v>
          </cell>
          <cell r="G126">
            <v>0</v>
          </cell>
          <cell r="H126">
            <v>341799234.34999996</v>
          </cell>
          <cell r="I126">
            <v>0</v>
          </cell>
        </row>
        <row r="127">
          <cell r="C127">
            <v>461</v>
          </cell>
          <cell r="E127" t="str">
            <v>Otplata duga</v>
          </cell>
          <cell r="F127">
            <v>86500000</v>
          </cell>
          <cell r="G127">
            <v>0</v>
          </cell>
          <cell r="H127">
            <v>174025451.75</v>
          </cell>
          <cell r="I127">
            <v>0</v>
          </cell>
        </row>
        <row r="128">
          <cell r="D128">
            <v>4611</v>
          </cell>
          <cell r="E128" t="str">
            <v>Otplata hartija od vrijednosti i kredita rezidentima</v>
          </cell>
          <cell r="F128">
            <v>23800000</v>
          </cell>
          <cell r="G128">
            <v>0</v>
          </cell>
          <cell r="H128">
            <v>107621020.42</v>
          </cell>
          <cell r="I128">
            <v>0</v>
          </cell>
        </row>
        <row r="129">
          <cell r="D129">
            <v>4612</v>
          </cell>
          <cell r="E129" t="str">
            <v>Otplata hartija od vrijednosti i kredita nerezidentima</v>
          </cell>
          <cell r="F129">
            <v>62700000</v>
          </cell>
          <cell r="G129">
            <v>0</v>
          </cell>
          <cell r="H129">
            <v>66404431.329999998</v>
          </cell>
          <cell r="I129">
            <v>0</v>
          </cell>
        </row>
        <row r="130">
          <cell r="C130">
            <v>462</v>
          </cell>
          <cell r="E130" t="str">
            <v>Otplata garancija</v>
          </cell>
          <cell r="F130">
            <v>0</v>
          </cell>
          <cell r="G130">
            <v>0</v>
          </cell>
          <cell r="H130">
            <v>107230592.5</v>
          </cell>
          <cell r="I130">
            <v>0</v>
          </cell>
        </row>
        <row r="131">
          <cell r="D131">
            <v>4621</v>
          </cell>
          <cell r="E131" t="str">
            <v>Otplata garancija u zemlji</v>
          </cell>
          <cell r="F131">
            <v>0</v>
          </cell>
          <cell r="G131">
            <v>0</v>
          </cell>
          <cell r="H131">
            <v>4453321.57</v>
          </cell>
          <cell r="I131">
            <v>0</v>
          </cell>
        </row>
        <row r="132">
          <cell r="D132">
            <v>4622</v>
          </cell>
          <cell r="E132" t="str">
            <v>Otplata garancija u inostranstvu</v>
          </cell>
          <cell r="F132">
            <v>0</v>
          </cell>
          <cell r="G132">
            <v>0</v>
          </cell>
          <cell r="H132">
            <v>102777270.93000001</v>
          </cell>
          <cell r="I132">
            <v>0</v>
          </cell>
        </row>
        <row r="133">
          <cell r="C133">
            <v>463</v>
          </cell>
          <cell r="D133">
            <v>4630</v>
          </cell>
          <cell r="E133" t="str">
            <v>Otplata obaveza iz prethodnih godina</v>
          </cell>
          <cell r="F133">
            <v>32709623.219999999</v>
          </cell>
          <cell r="G133">
            <v>0</v>
          </cell>
          <cell r="H133">
            <v>60543190.099999979</v>
          </cell>
          <cell r="I133">
            <v>0</v>
          </cell>
        </row>
        <row r="134">
          <cell r="B134">
            <v>47</v>
          </cell>
          <cell r="E134" t="str">
            <v>Rezerve</v>
          </cell>
          <cell r="F134">
            <v>14230875.779999999</v>
          </cell>
          <cell r="G134">
            <v>0</v>
          </cell>
          <cell r="H134">
            <v>14126844.789999999</v>
          </cell>
          <cell r="I134">
            <v>0</v>
          </cell>
        </row>
        <row r="135">
          <cell r="B135" t="str">
            <v xml:space="preserve"> </v>
          </cell>
          <cell r="C135">
            <v>471</v>
          </cell>
          <cell r="D135">
            <v>4710</v>
          </cell>
          <cell r="E135" t="str">
            <v>Tekuća budžetska rezerva</v>
          </cell>
          <cell r="F135">
            <v>13824875.779999999</v>
          </cell>
          <cell r="G135">
            <v>0</v>
          </cell>
          <cell r="H135">
            <v>13720844.789999999</v>
          </cell>
          <cell r="I135">
            <v>0</v>
          </cell>
        </row>
        <row r="136">
          <cell r="C136">
            <v>472</v>
          </cell>
          <cell r="D136">
            <v>4720</v>
          </cell>
          <cell r="E136" t="str">
            <v>Stalna budžetska rezerva</v>
          </cell>
          <cell r="F136">
            <v>406000</v>
          </cell>
          <cell r="G136">
            <v>0</v>
          </cell>
          <cell r="H136">
            <v>406000</v>
          </cell>
          <cell r="I136">
            <v>0</v>
          </cell>
        </row>
        <row r="137">
          <cell r="C137">
            <v>473</v>
          </cell>
          <cell r="D137">
            <v>4730</v>
          </cell>
          <cell r="E137" t="str">
            <v>Ostale rezerve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al Budget"/>
      <sheetName val="Cental Budget - hwy"/>
      <sheetName val="Local Government"/>
      <sheetName val="Public Expenditure"/>
      <sheetName val="Public Expenditure -hwy"/>
      <sheetName val="PRIMICI"/>
      <sheetName val="DEFICIT Tabela"/>
      <sheetName val="MasterShee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>
            <v>2</v>
          </cell>
        </row>
        <row r="151">
          <cell r="B151" t="str">
            <v>Izvor: Ministarstvo finansija Crne Gore</v>
          </cell>
          <cell r="C151" t="str">
            <v>Source: Ministry of Finance of Montenegro</v>
          </cell>
        </row>
      </sheetData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 tab"/>
      <sheetName val="Cental Budget"/>
      <sheetName val="Local Government"/>
      <sheetName val="Public expenditure"/>
      <sheetName val="Execution for 2012"/>
      <sheetName val="Core data tab"/>
      <sheetName val="Cental Budget_int"/>
      <sheetName val="Execution for 2012_int"/>
      <sheetName val="Local Government_int"/>
      <sheetName val="Public expenditure_int"/>
      <sheetName val="PRIMICI"/>
      <sheetName val="DEFICIT Tabela"/>
      <sheetName val="Monthly plan for 2012"/>
      <sheetName val="Monthly plan for 2013"/>
      <sheetName val="Execution for 2013"/>
      <sheetName val="Public debt tab"/>
      <sheetName val="Analitics tab 2013"/>
      <sheetName val="MasterSheet"/>
      <sheetName val="Data for 2011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0">
          <cell r="AE40" t="str">
            <v>Procjena 2013</v>
          </cell>
          <cell r="AF40" t="str">
            <v>Nacrt 2014</v>
          </cell>
          <cell r="AG40">
            <v>2015</v>
          </cell>
          <cell r="AH40">
            <v>2016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5" Type="http://schemas.openxmlformats.org/officeDocument/2006/relationships/comments" Target="../comments7.xml"/><Relationship Id="rId4" Type="http://schemas.openxmlformats.org/officeDocument/2006/relationships/ctrlProp" Target="../ctrlProps/ctrlProp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8.xml"/><Relationship Id="rId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4.xml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5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6.xml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Z110"/>
  <sheetViews>
    <sheetView topLeftCell="B1" zoomScale="85" zoomScaleNormal="85" workbookViewId="0">
      <selection activeCell="Q73" sqref="Q73"/>
    </sheetView>
  </sheetViews>
  <sheetFormatPr defaultColWidth="9.28515625" defaultRowHeight="12.75"/>
  <cols>
    <col min="1" max="2" width="9.28515625" style="80" customWidth="1"/>
    <col min="3" max="3" width="57.28515625" style="80" customWidth="1"/>
    <col min="4" max="4" width="6.5703125" style="80" hidden="1" customWidth="1"/>
    <col min="5" max="5" width="6.7109375" style="80" hidden="1" customWidth="1"/>
    <col min="6" max="6" width="7.5703125" style="80" hidden="1" customWidth="1"/>
    <col min="7" max="7" width="6.7109375" style="80" hidden="1" customWidth="1"/>
    <col min="8" max="8" width="7.5703125" style="80" hidden="1" customWidth="1"/>
    <col min="9" max="9" width="6.7109375" style="80" hidden="1" customWidth="1"/>
    <col min="10" max="10" width="7.5703125" style="80" hidden="1" customWidth="1"/>
    <col min="11" max="11" width="6.7109375" style="80" hidden="1" customWidth="1"/>
    <col min="12" max="12" width="7.5703125" style="80" hidden="1" customWidth="1"/>
    <col min="13" max="13" width="6.7109375" style="80" hidden="1" customWidth="1"/>
    <col min="14" max="14" width="7.5703125" style="80" hidden="1" customWidth="1"/>
    <col min="15" max="15" width="6.7109375" style="81" hidden="1" customWidth="1"/>
    <col min="16" max="16" width="7.7109375" style="81" customWidth="1"/>
    <col min="17" max="17" width="7.28515625" style="80" bestFit="1" customWidth="1"/>
    <col min="18" max="18" width="7.7109375" style="80" customWidth="1"/>
    <col min="19" max="19" width="6.28515625" style="80" customWidth="1"/>
    <col min="20" max="20" width="7.7109375" style="80" customWidth="1"/>
    <col min="21" max="21" width="7.42578125" style="80" customWidth="1"/>
    <col min="22" max="22" width="7.7109375" style="80" hidden="1" customWidth="1"/>
    <col min="23" max="23" width="6" style="80" hidden="1" customWidth="1"/>
    <col min="24" max="24" width="12.7109375" style="80" hidden="1" customWidth="1"/>
    <col min="25" max="27" width="11.7109375" style="80" hidden="1" customWidth="1"/>
    <col min="28" max="28" width="7.7109375" style="80" hidden="1" customWidth="1"/>
    <col min="29" max="29" width="6" style="80" hidden="1" customWidth="1"/>
    <col min="30" max="30" width="7.7109375" style="80" hidden="1" customWidth="1"/>
    <col min="31" max="31" width="6.28515625" style="80" hidden="1" customWidth="1"/>
    <col min="32" max="32" width="15" style="80" hidden="1" customWidth="1"/>
    <col min="33" max="33" width="7.7109375" style="80" hidden="1" customWidth="1"/>
    <col min="34" max="34" width="6.28515625" style="80" hidden="1" customWidth="1"/>
    <col min="35" max="35" width="7.7109375" style="80" hidden="1" customWidth="1"/>
    <col min="36" max="36" width="6" style="80" hidden="1" customWidth="1"/>
    <col min="37" max="37" width="15" style="80" hidden="1" customWidth="1"/>
    <col min="38" max="38" width="7.7109375" style="80" hidden="1" customWidth="1"/>
    <col min="39" max="39" width="6.28515625" style="80" hidden="1" customWidth="1"/>
    <col min="40" max="40" width="8.5703125" style="80" hidden="1" customWidth="1"/>
    <col min="41" max="41" width="6" style="80" hidden="1" customWidth="1"/>
    <col min="42" max="42" width="6.7109375" style="80" customWidth="1"/>
    <col min="43" max="43" width="18.28515625" style="80" customWidth="1"/>
    <col min="44" max="44" width="15.42578125" style="80" bestFit="1" customWidth="1"/>
    <col min="45" max="45" width="14.42578125" style="80" bestFit="1" customWidth="1"/>
    <col min="46" max="46" width="13.7109375" style="80" customWidth="1"/>
    <col min="47" max="47" width="12.5703125" style="80" bestFit="1" customWidth="1"/>
    <col min="48" max="48" width="12.7109375" style="163" bestFit="1" customWidth="1"/>
    <col min="49" max="122" width="9.28515625" style="80" customWidth="1"/>
    <col min="123" max="123" width="9.28515625" style="80"/>
    <col min="124" max="124" width="15.42578125" style="80" customWidth="1"/>
    <col min="125" max="125" width="12.7109375" style="80" customWidth="1"/>
    <col min="126" max="126" width="11.7109375" style="80" customWidth="1"/>
    <col min="127" max="16384" width="9.28515625" style="80"/>
  </cols>
  <sheetData>
    <row r="1" spans="2:122" ht="15" customHeight="1"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264">
        <f>+T16/P16*100-100</f>
        <v>10.275357261318916</v>
      </c>
      <c r="U1" s="82"/>
      <c r="V1" s="82"/>
      <c r="W1" s="82"/>
      <c r="X1" s="82"/>
      <c r="Y1" s="82"/>
      <c r="Z1" s="82"/>
      <c r="AA1" s="82"/>
      <c r="AB1" s="82"/>
      <c r="AC1" s="82"/>
      <c r="AD1" s="82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16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</row>
    <row r="2" spans="2:122" ht="15" hidden="1" customHeight="1">
      <c r="C2" s="81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120"/>
      <c r="U2" s="134"/>
      <c r="V2" s="135"/>
      <c r="W2" s="145">
        <v>2014</v>
      </c>
      <c r="X2" s="145">
        <v>2015</v>
      </c>
      <c r="Y2" s="158">
        <v>2016</v>
      </c>
      <c r="Z2" s="158"/>
      <c r="AA2" s="158"/>
      <c r="AB2" s="146">
        <v>2017</v>
      </c>
      <c r="AG2" s="150"/>
      <c r="AH2" s="150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16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</row>
    <row r="3" spans="2:122" ht="15" hidden="1" customHeight="1">
      <c r="C3" s="81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122"/>
      <c r="U3" s="136" t="s">
        <v>435</v>
      </c>
      <c r="V3" s="137"/>
      <c r="W3" s="138">
        <v>5.4037200000000007</v>
      </c>
      <c r="X3" s="138">
        <v>5.5699999999999861</v>
      </c>
      <c r="Y3" s="138">
        <v>5.8760000000000145</v>
      </c>
      <c r="Z3" s="138"/>
      <c r="AA3" s="138"/>
      <c r="AB3" s="139">
        <v>6.0799999999999965</v>
      </c>
      <c r="AG3" s="151"/>
      <c r="AH3" s="15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16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</row>
    <row r="4" spans="2:122" ht="15" hidden="1" customHeight="1">
      <c r="C4" s="81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121"/>
      <c r="U4" s="127" t="s">
        <v>436</v>
      </c>
      <c r="V4" s="128"/>
      <c r="W4" s="125">
        <v>3.54</v>
      </c>
      <c r="X4" s="125">
        <v>3.5</v>
      </c>
      <c r="Y4" s="125">
        <v>3.8</v>
      </c>
      <c r="Z4" s="125"/>
      <c r="AA4" s="125"/>
      <c r="AB4" s="126">
        <v>4</v>
      </c>
      <c r="AG4" s="151"/>
      <c r="AH4" s="15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16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</row>
    <row r="5" spans="2:122" ht="15" hidden="1" customHeight="1"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122"/>
      <c r="U5" s="140" t="s">
        <v>226</v>
      </c>
      <c r="V5" s="141"/>
      <c r="W5" s="142">
        <v>1.8</v>
      </c>
      <c r="X5" s="142">
        <v>2</v>
      </c>
      <c r="Y5" s="159">
        <v>2</v>
      </c>
      <c r="Z5" s="159"/>
      <c r="AA5" s="159"/>
      <c r="AB5" s="157">
        <v>2</v>
      </c>
      <c r="AG5" s="152"/>
      <c r="AH5" s="152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16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</row>
    <row r="6" spans="2:122" ht="15" hidden="1" customHeight="1"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143" t="s">
        <v>439</v>
      </c>
      <c r="V6" s="144"/>
      <c r="W6" s="156">
        <v>2.3E-2</v>
      </c>
      <c r="X6" s="156">
        <v>2.6499999999999999E-2</v>
      </c>
      <c r="Y6" s="156">
        <v>4.4999999999999998E-2</v>
      </c>
      <c r="Z6" s="156"/>
      <c r="AA6" s="156"/>
      <c r="AB6" s="156">
        <v>5.1999999999999998E-2</v>
      </c>
      <c r="AG6" s="149"/>
      <c r="AH6" s="149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16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</row>
    <row r="7" spans="2:122" ht="15" hidden="1" customHeight="1"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129"/>
      <c r="V7" s="130"/>
      <c r="W7" s="130"/>
      <c r="X7" s="130"/>
      <c r="Y7" s="160"/>
      <c r="Z7" s="160"/>
      <c r="AA7" s="160"/>
      <c r="AB7" s="131"/>
      <c r="AG7" s="190">
        <f>+AB16-V16</f>
        <v>40277269.649600029</v>
      </c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16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</row>
    <row r="8" spans="2:122" ht="15" hidden="1" customHeight="1">
      <c r="C8" s="81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123" t="s">
        <v>437</v>
      </c>
      <c r="V8" s="124"/>
      <c r="W8" s="147">
        <f>+AB16/V16*100-100</f>
        <v>3.1563863217460693</v>
      </c>
      <c r="X8" s="147">
        <f>+AG16/AD16*100-100</f>
        <v>3.3102891261399066</v>
      </c>
      <c r="Y8" s="147">
        <f>+AL16/AI16*100-100</f>
        <v>3.881937542124092</v>
      </c>
      <c r="Z8" s="147"/>
      <c r="AA8" s="147"/>
      <c r="AB8" s="153">
        <f>+AM16/AJ16*100-100</f>
        <v>3.881937542124092</v>
      </c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16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</row>
    <row r="9" spans="2:122" ht="15" hidden="1" customHeight="1">
      <c r="C9" s="81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132" t="s">
        <v>438</v>
      </c>
      <c r="V9" s="133"/>
      <c r="W9" s="148">
        <f>+AB16/T16*100-100</f>
        <v>6.0053253533744169</v>
      </c>
      <c r="X9" s="148">
        <f>+AG16/AB16*100-100</f>
        <v>1.7222716977624941</v>
      </c>
      <c r="Y9" s="148">
        <f>+AL16/AG16*100-100</f>
        <v>4.4999999999999432</v>
      </c>
      <c r="Z9" s="148"/>
      <c r="AA9" s="148"/>
      <c r="AB9" s="154">
        <f>+AM16/AH16*100-100</f>
        <v>-1.299633533567615</v>
      </c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16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</row>
    <row r="10" spans="2:122" ht="15" customHeight="1" thickBot="1">
      <c r="C10" s="8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16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</row>
    <row r="11" spans="2:122" ht="18.75" customHeight="1" thickTop="1" thickBot="1">
      <c r="C11" s="261" t="str">
        <f>IF(MasterSheet!$A$1=1,MasterSheet!B67,MasterSheet!B66)</f>
        <v>BDP (u mil. €)</v>
      </c>
      <c r="D11" s="494">
        <v>2148900000</v>
      </c>
      <c r="E11" s="496"/>
      <c r="F11" s="497">
        <v>2680500000</v>
      </c>
      <c r="G11" s="498"/>
      <c r="H11" s="497">
        <v>3085600000</v>
      </c>
      <c r="I11" s="498"/>
      <c r="J11" s="497">
        <v>2981000000</v>
      </c>
      <c r="K11" s="498"/>
      <c r="L11" s="497">
        <v>3104000000</v>
      </c>
      <c r="M11" s="498"/>
      <c r="N11" s="497">
        <v>3234000000</v>
      </c>
      <c r="O11" s="498"/>
      <c r="P11" s="493">
        <v>3149000000</v>
      </c>
      <c r="Q11" s="493"/>
      <c r="R11" s="494">
        <v>3335894492.1291356</v>
      </c>
      <c r="S11" s="495"/>
      <c r="T11" s="495"/>
      <c r="U11" s="496"/>
      <c r="V11" s="488">
        <v>3516156889.9792166</v>
      </c>
      <c r="W11" s="488"/>
      <c r="X11" s="494"/>
      <c r="Y11" s="496"/>
      <c r="Z11" s="329"/>
      <c r="AA11" s="329"/>
      <c r="AB11" s="488">
        <f>+V11</f>
        <v>3516156889.9792166</v>
      </c>
      <c r="AC11" s="488"/>
      <c r="AD11" s="488">
        <v>3712006828.7510591</v>
      </c>
      <c r="AE11" s="488"/>
      <c r="AF11" s="330"/>
      <c r="AG11" s="488">
        <v>3712006828.7510591</v>
      </c>
      <c r="AH11" s="488"/>
      <c r="AI11" s="488">
        <v>3930124350.0084715</v>
      </c>
      <c r="AJ11" s="488"/>
      <c r="AK11" s="330"/>
      <c r="AL11" s="488">
        <v>3930124350.0084715</v>
      </c>
      <c r="AM11" s="488"/>
      <c r="AN11" s="488">
        <v>4169075910.4889903</v>
      </c>
      <c r="AO11" s="488"/>
      <c r="AP11" s="234"/>
      <c r="AQ11" s="81"/>
      <c r="AR11" s="81"/>
      <c r="AS11" s="81"/>
      <c r="AT11" s="81"/>
      <c r="AU11" s="81"/>
      <c r="AV11" s="16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</row>
    <row r="12" spans="2:122" ht="19.5" customHeight="1" thickTop="1">
      <c r="C12" s="81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489"/>
      <c r="Q12" s="489"/>
      <c r="R12" s="333"/>
      <c r="S12" s="333"/>
      <c r="T12" s="491" t="s">
        <v>337</v>
      </c>
      <c r="U12" s="491"/>
      <c r="V12" s="83"/>
      <c r="W12" s="83"/>
      <c r="X12" s="82"/>
      <c r="Y12" s="82"/>
      <c r="Z12" s="82"/>
      <c r="AA12" s="82"/>
      <c r="AB12" s="82"/>
      <c r="AC12" s="82"/>
      <c r="AD12" s="82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1"/>
      <c r="AR12" s="81"/>
      <c r="AS12" s="81"/>
      <c r="AT12" s="81"/>
      <c r="AU12" s="81"/>
      <c r="AV12" s="16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</row>
    <row r="13" spans="2:122" ht="17.25" customHeight="1" thickBot="1">
      <c r="B13" s="85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485"/>
      <c r="O13" s="485"/>
      <c r="P13" s="490"/>
      <c r="Q13" s="490"/>
      <c r="R13" s="334"/>
      <c r="S13" s="334"/>
      <c r="T13" s="492"/>
      <c r="U13" s="492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84"/>
      <c r="AK13" s="84"/>
      <c r="AL13" s="84"/>
      <c r="AM13" s="84"/>
      <c r="AN13" s="84"/>
      <c r="AO13" s="84"/>
      <c r="AP13" s="84"/>
      <c r="AQ13" s="81"/>
      <c r="AR13" s="81"/>
      <c r="AS13" s="81"/>
      <c r="AT13" s="81"/>
      <c r="AU13" s="164"/>
      <c r="AV13" s="165"/>
      <c r="AW13" s="164"/>
      <c r="AX13" s="164"/>
      <c r="AY13" s="164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</row>
    <row r="14" spans="2:122" ht="15.75" customHeight="1" thickTop="1">
      <c r="B14" s="87"/>
      <c r="C14" s="486" t="str">
        <f>IF(MasterSheet!$A$1=1,MasterSheet!B71,MasterSheet!B70)</f>
        <v>Budžet Crne Gore</v>
      </c>
      <c r="D14" s="473">
        <v>2006</v>
      </c>
      <c r="E14" s="474"/>
      <c r="F14" s="473">
        <v>2007</v>
      </c>
      <c r="G14" s="474"/>
      <c r="H14" s="473">
        <v>2008</v>
      </c>
      <c r="I14" s="474"/>
      <c r="J14" s="473">
        <v>2009</v>
      </c>
      <c r="K14" s="474"/>
      <c r="L14" s="473">
        <v>2010</v>
      </c>
      <c r="M14" s="474"/>
      <c r="N14" s="473">
        <v>2011</v>
      </c>
      <c r="O14" s="474"/>
      <c r="P14" s="473">
        <v>2012</v>
      </c>
      <c r="Q14" s="474"/>
      <c r="R14" s="475" t="s">
        <v>477</v>
      </c>
      <c r="S14" s="476"/>
      <c r="T14" s="475">
        <v>2013</v>
      </c>
      <c r="U14" s="476"/>
      <c r="V14" s="475" t="s">
        <v>393</v>
      </c>
      <c r="W14" s="476"/>
      <c r="X14" s="483" t="s">
        <v>444</v>
      </c>
      <c r="Y14" s="483"/>
      <c r="Z14" s="331"/>
      <c r="AA14" s="331"/>
      <c r="AB14" s="475" t="s">
        <v>434</v>
      </c>
      <c r="AC14" s="476"/>
      <c r="AD14" s="475" t="s">
        <v>440</v>
      </c>
      <c r="AE14" s="476"/>
      <c r="AF14" s="477" t="s">
        <v>443</v>
      </c>
      <c r="AG14" s="479" t="s">
        <v>442</v>
      </c>
      <c r="AH14" s="480"/>
      <c r="AI14" s="475" t="s">
        <v>441</v>
      </c>
      <c r="AJ14" s="476"/>
      <c r="AK14" s="481" t="s">
        <v>443</v>
      </c>
      <c r="AL14" s="475" t="s">
        <v>445</v>
      </c>
      <c r="AM14" s="476"/>
      <c r="AN14" s="475" t="s">
        <v>446</v>
      </c>
      <c r="AO14" s="476"/>
      <c r="AQ14" s="103"/>
      <c r="AR14" s="103"/>
      <c r="AS14" s="103"/>
      <c r="AT14" s="103"/>
      <c r="AU14" s="117"/>
      <c r="AV14" s="161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</row>
    <row r="15" spans="2:122" ht="15" customHeight="1" thickBot="1">
      <c r="C15" s="487" t="str">
        <f>IF(MasterSheet!$A$1=1,MasterSheet!B71,MasterSheet!B70)</f>
        <v>Budžet Crne Gore</v>
      </c>
      <c r="D15" s="196" t="str">
        <f>IF(MasterSheet!$A$1=1,MasterSheet!C71,MasterSheet!C70)</f>
        <v>mil. €</v>
      </c>
      <c r="E15" s="197" t="str">
        <f>IF(MasterSheet!$A$1=1,MasterSheet!D71,MasterSheet!D70)</f>
        <v>% BDP</v>
      </c>
      <c r="F15" s="198" t="str">
        <f>IF(MasterSheet!$A$1=1,MasterSheet!E71,MasterSheet!E70)</f>
        <v>mil. €</v>
      </c>
      <c r="G15" s="199" t="str">
        <f>IF(MasterSheet!$A$1=1,MasterSheet!F71,MasterSheet!F70)</f>
        <v>% BDP</v>
      </c>
      <c r="H15" s="200" t="str">
        <f>IF(MasterSheet!$A$1=1,MasterSheet!G71,MasterSheet!G70)</f>
        <v>mil. €</v>
      </c>
      <c r="I15" s="199" t="str">
        <f>IF(MasterSheet!$A$1=1,MasterSheet!H71,MasterSheet!H70)</f>
        <v>% BDP</v>
      </c>
      <c r="J15" s="196" t="str">
        <f>IF(MasterSheet!$A$1=1,MasterSheet!I71,MasterSheet!I70)</f>
        <v>mil. €</v>
      </c>
      <c r="K15" s="198" t="str">
        <f>IF(MasterSheet!$A$1=1,MasterSheet!J71,MasterSheet!J70)</f>
        <v>% BDP</v>
      </c>
      <c r="L15" s="196" t="str">
        <f>IF(MasterSheet!$A$1=1,MasterSheet!K71,MasterSheet!K70)</f>
        <v>mil. €</v>
      </c>
      <c r="M15" s="197" t="str">
        <f>IF(MasterSheet!$A$1=1,MasterSheet!L71,MasterSheet!L70)</f>
        <v>% BDP</v>
      </c>
      <c r="N15" s="196" t="str">
        <f>IF(MasterSheet!$A$1=1,MasterSheet!M71,MasterSheet!M70)</f>
        <v>mil. €</v>
      </c>
      <c r="O15" s="198" t="str">
        <f>IF(MasterSheet!$A$1=1,MasterSheet!N71,MasterSheet!N70)</f>
        <v>% BDP</v>
      </c>
      <c r="P15" s="196" t="str">
        <f>IF(MasterSheet!$A$1=1,MasterSheet!O71,MasterSheet!O70)</f>
        <v>mil. €</v>
      </c>
      <c r="Q15" s="198" t="str">
        <f>IF(MasterSheet!$A$1=1,MasterSheet!P71,MasterSheet!P70)</f>
        <v>% BDP</v>
      </c>
      <c r="R15" s="88" t="str">
        <f>+T15</f>
        <v>mil. €</v>
      </c>
      <c r="S15" s="89" t="str">
        <f>+U15</f>
        <v>% BDP</v>
      </c>
      <c r="T15" s="88" t="str">
        <f>IF(MasterSheet!$A$1=1,MasterSheet!S71,MasterSheet!S70)</f>
        <v>mil. €</v>
      </c>
      <c r="U15" s="89" t="str">
        <f>IF(MasterSheet!$A$1=1,MasterSheet!T71,MasterSheet!T70)</f>
        <v>% BDP</v>
      </c>
      <c r="V15" s="88" t="s">
        <v>263</v>
      </c>
      <c r="W15" s="89" t="s">
        <v>150</v>
      </c>
      <c r="X15" s="484"/>
      <c r="Y15" s="484"/>
      <c r="Z15" s="332"/>
      <c r="AA15" s="332"/>
      <c r="AB15" s="88" t="s">
        <v>263</v>
      </c>
      <c r="AC15" s="89" t="s">
        <v>150</v>
      </c>
      <c r="AD15" s="88" t="str">
        <f>IF(MasterSheet!$A$1=1,MasterSheet!U71,MasterSheet!U70)</f>
        <v>mil. €</v>
      </c>
      <c r="AE15" s="89" t="str">
        <f>IF(MasterSheet!$A$1=1,MasterSheet!V71,MasterSheet!V70)</f>
        <v>% BDP</v>
      </c>
      <c r="AF15" s="478"/>
      <c r="AG15" s="88" t="str">
        <f>+AD15</f>
        <v>mil. €</v>
      </c>
      <c r="AH15" s="155" t="str">
        <f>+AE15</f>
        <v>% BDP</v>
      </c>
      <c r="AI15" s="88" t="s">
        <v>263</v>
      </c>
      <c r="AJ15" s="89" t="s">
        <v>150</v>
      </c>
      <c r="AK15" s="482"/>
      <c r="AL15" s="88" t="s">
        <v>263</v>
      </c>
      <c r="AM15" s="89" t="s">
        <v>150</v>
      </c>
      <c r="AN15" s="88" t="str">
        <f>+AL15</f>
        <v>mil. €</v>
      </c>
      <c r="AO15" s="89" t="str">
        <f>+AM15</f>
        <v>% BDP</v>
      </c>
      <c r="AQ15" s="103"/>
      <c r="AR15" s="103"/>
      <c r="AS15" s="103"/>
      <c r="AT15" s="103"/>
      <c r="AU15" s="166"/>
      <c r="AV15" s="161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</row>
    <row r="16" spans="2:122" ht="15" customHeight="1" thickTop="1" thickBot="1">
      <c r="B16" s="80">
        <v>7</v>
      </c>
      <c r="C16" s="90" t="str">
        <f>IF(MasterSheet!$A$1=1,MasterSheet!C72,MasterSheet!B72)</f>
        <v>Izvorni prihodi</v>
      </c>
      <c r="D16" s="91">
        <f>D17+D25+D30+D35+D42+D47</f>
        <v>861248548.43999958</v>
      </c>
      <c r="E16" s="92">
        <f t="shared" ref="E16:E47" si="0">D16/D$11*100</f>
        <v>40.07857733910371</v>
      </c>
      <c r="F16" s="91">
        <f>F17+F25+F30+F35+F42+F47</f>
        <v>1128300449.6399999</v>
      </c>
      <c r="G16" s="92">
        <f t="shared" ref="G16:G47" si="1">F16/F$11*100</f>
        <v>42.092909891438154</v>
      </c>
      <c r="H16" s="91">
        <f>H17+H25+H30+H35+H42+H47</f>
        <v>1287200216.2899997</v>
      </c>
      <c r="I16" s="92">
        <f>H16/H$11*100</f>
        <v>41.716366874837945</v>
      </c>
      <c r="J16" s="91">
        <f>J17+J25+J30+J35+J42+J47</f>
        <v>1169267417.6000001</v>
      </c>
      <c r="K16" s="92">
        <f>J16/J$11*100</f>
        <v>39.223999248574309</v>
      </c>
      <c r="L16" s="91">
        <f>L17+L25+L30+L35+L42+L47</f>
        <v>1140357804.0200005</v>
      </c>
      <c r="M16" s="92">
        <f>L16/L$11*100</f>
        <v>36.738331315077332</v>
      </c>
      <c r="N16" s="91">
        <f>N17+N25+N30+N35+N42+N47</f>
        <v>1129142807.0900002</v>
      </c>
      <c r="O16" s="92">
        <f>N16/N$11*100</f>
        <v>34.914743571119359</v>
      </c>
      <c r="P16" s="236">
        <f>P17+P25+P30+P35+P42+P47+P48</f>
        <v>1126055595.6099999</v>
      </c>
      <c r="Q16" s="92">
        <f>P16/P$11*100</f>
        <v>35.759148796760876</v>
      </c>
      <c r="R16" s="236">
        <f>R17+R25+R30+R35+R42+R47+R48</f>
        <v>1161800821.0012336</v>
      </c>
      <c r="S16" s="92">
        <f t="shared" ref="S16:S79" si="2">R16/P$11*100</f>
        <v>36.894278215345622</v>
      </c>
      <c r="T16" s="236">
        <f>T17+T25+T30+T35+T42+T47+T48</f>
        <v>1241761831.02</v>
      </c>
      <c r="U16" s="92">
        <f t="shared" ref="U16:U79" si="3">T16/R$11*100</f>
        <v>37.224253763117225</v>
      </c>
      <c r="V16" s="236">
        <f>V17+V25+V30+V35+V42+V47+V48</f>
        <v>1276056399.4371703</v>
      </c>
      <c r="W16" s="92">
        <f>V16/V$11*100</f>
        <v>36.291224748071834</v>
      </c>
      <c r="X16" s="237"/>
      <c r="Y16" s="237"/>
      <c r="Z16" s="237" t="s">
        <v>459</v>
      </c>
      <c r="AA16" s="237" t="s">
        <v>460</v>
      </c>
      <c r="AB16" s="236">
        <f>AB17+AB25+AB30+AB35+AB42+AB47+AB48</f>
        <v>1316333669.0867703</v>
      </c>
      <c r="AC16" s="92">
        <f>AB16/AB$11*100</f>
        <v>37.436716002014087</v>
      </c>
      <c r="AD16" s="236">
        <f>AD17+AD25+AD30+AD35+AD42+AD47</f>
        <v>1296099858.6333168</v>
      </c>
      <c r="AE16" s="92">
        <f>AD16/AD$11*100</f>
        <v>34.916419026885308</v>
      </c>
      <c r="AF16" s="237"/>
      <c r="AG16" s="236">
        <f>AG17+AG25+AG30+AG35+AG42+AG47+AG48</f>
        <v>1339004511.3175702</v>
      </c>
      <c r="AH16" s="92">
        <f>AG16/AG$11*100</f>
        <v>36.072253449169736</v>
      </c>
      <c r="AI16" s="236">
        <f>AI17+AI25+AI30+AI35+AI42+AI47</f>
        <v>1346971136.1125324</v>
      </c>
      <c r="AJ16" s="92">
        <f>AI16/AI$11*100</f>
        <v>34.272990270896365</v>
      </c>
      <c r="AK16" s="237"/>
      <c r="AL16" s="236">
        <f>AL17+AL25+AL30+AL35+AL42+AL47+AL48</f>
        <v>1399259714.3268602</v>
      </c>
      <c r="AM16" s="92">
        <f>AL16/AL$11*100</f>
        <v>35.603446347030825</v>
      </c>
      <c r="AN16" s="236">
        <f>AN17+AN25+AN30+AN35+AN42+AN47+AN48</f>
        <v>1472021219.4718575</v>
      </c>
      <c r="AO16" s="92">
        <f>AN16/AN$11*100</f>
        <v>35.308093473865398</v>
      </c>
      <c r="AQ16" s="103">
        <f>+AN16/AB16*100-100</f>
        <v>11.827362168218201</v>
      </c>
      <c r="AR16" s="103"/>
      <c r="AS16" s="103"/>
      <c r="AT16" s="103"/>
      <c r="AU16" s="167"/>
      <c r="AV16" s="168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</row>
    <row r="17" spans="2:127" ht="15" customHeight="1" thickTop="1">
      <c r="B17" s="80">
        <v>711</v>
      </c>
      <c r="C17" s="94" t="str">
        <f>IF(MasterSheet!$A$1=1,MasterSheet!C73,MasterSheet!B73)</f>
        <v>Porezi</v>
      </c>
      <c r="D17" s="95">
        <f>SUM(D18:D24)</f>
        <v>499381748.50999969</v>
      </c>
      <c r="E17" s="96">
        <f t="shared" si="0"/>
        <v>23.238947764437604</v>
      </c>
      <c r="F17" s="97">
        <f>SUM(F18:F24)</f>
        <v>708017212.35000002</v>
      </c>
      <c r="G17" s="96">
        <f t="shared" si="1"/>
        <v>26.413624784555122</v>
      </c>
      <c r="H17" s="95">
        <f>SUM(H18:H24)</f>
        <v>827975111.18999994</v>
      </c>
      <c r="I17" s="96">
        <f t="shared" ref="I17:I47" si="4">H17/H$11*100</f>
        <v>26.833520585623539</v>
      </c>
      <c r="J17" s="95">
        <f>SUM(J18:J24)</f>
        <v>712439343.42000008</v>
      </c>
      <c r="K17" s="96">
        <f t="shared" ref="K17:K47" si="5">J17/J$11*100</f>
        <v>23.899340604495141</v>
      </c>
      <c r="L17" s="95">
        <f>SUM(L18:L24)</f>
        <v>675800345.0200001</v>
      </c>
      <c r="M17" s="96">
        <f t="shared" ref="M17:M47" si="6">L17/L$11*100</f>
        <v>21.771918331829902</v>
      </c>
      <c r="N17" s="95">
        <f>SUM(N18:N24)</f>
        <v>704070354.97000003</v>
      </c>
      <c r="O17" s="96">
        <f t="shared" ref="O17:O47" si="7">N17/N$11*100</f>
        <v>21.770882961348175</v>
      </c>
      <c r="P17" s="207">
        <f>SUM(P18:P24)</f>
        <v>687444134.69000006</v>
      </c>
      <c r="Q17" s="96">
        <f t="shared" ref="Q17:Q47" si="8">P17/P$11*100</f>
        <v>21.830553657986666</v>
      </c>
      <c r="R17" s="207">
        <f>SUM(R18:R24)</f>
        <v>700430529.24184442</v>
      </c>
      <c r="S17" s="98">
        <f t="shared" si="2"/>
        <v>22.242951071509825</v>
      </c>
      <c r="T17" s="207">
        <f>SUM(T18:T24)</f>
        <v>755696459.51000011</v>
      </c>
      <c r="U17" s="98">
        <f t="shared" si="3"/>
        <v>22.653488031261944</v>
      </c>
      <c r="V17" s="207">
        <v>797828901.35953081</v>
      </c>
      <c r="W17" s="98">
        <f t="shared" ref="W17:W47" si="9">V17/V$11*100</f>
        <v>22.690366963808792</v>
      </c>
      <c r="X17" s="96"/>
      <c r="Y17" s="96"/>
      <c r="Z17" s="252">
        <f>+AB17-V17</f>
        <v>21248576.70919919</v>
      </c>
      <c r="AA17" s="252">
        <f>+AB17-T17</f>
        <v>63381018.558729887</v>
      </c>
      <c r="AB17" s="207">
        <f>SUM(AB18:AB24)</f>
        <v>819077478.06873</v>
      </c>
      <c r="AC17" s="96">
        <f t="shared" ref="AC17:AC47" si="10">AB17/AB$11*100</f>
        <v>23.294679495190881</v>
      </c>
      <c r="AD17" s="207">
        <f>SUM(AD18:AD24)</f>
        <v>818474769.74480236</v>
      </c>
      <c r="AE17" s="96">
        <f t="shared" ref="AE17:AE47" si="11">AD17/AD$11*100</f>
        <v>22.049387501266697</v>
      </c>
      <c r="AF17" s="208"/>
      <c r="AG17" s="207">
        <f>SUM(AG18:AG24)</f>
        <v>836783031.23755121</v>
      </c>
      <c r="AH17" s="96">
        <f t="shared" ref="AH17:AH47" si="12">AG17/AG$11*100</f>
        <v>22.5426048453444</v>
      </c>
      <c r="AI17" s="207">
        <f>SUM(AI18:AI24)</f>
        <v>850899824.70947254</v>
      </c>
      <c r="AJ17" s="96">
        <f t="shared" ref="AJ17:AJ47" si="13">AI17/AI$11*100</f>
        <v>21.65070997582146</v>
      </c>
      <c r="AK17" s="208"/>
      <c r="AL17" s="207">
        <f>SUM(AL18:AL24)</f>
        <v>874438267.64324093</v>
      </c>
      <c r="AM17" s="96">
        <f t="shared" ref="AM17:AM47" si="14">AL17/AL$11*100</f>
        <v>22.249633593434673</v>
      </c>
      <c r="AN17" s="207">
        <f>SUM(AN18:AN24)</f>
        <v>919909057.56068969</v>
      </c>
      <c r="AO17" s="98">
        <f t="shared" ref="AO17:AO47" si="15">AN17/AN$11*100</f>
        <v>22.06505895578173</v>
      </c>
      <c r="AQ17" s="103">
        <f>+AQ16/4</f>
        <v>2.9568405420545503</v>
      </c>
      <c r="AR17" s="103"/>
      <c r="AS17" s="103"/>
      <c r="AT17" s="103"/>
      <c r="AU17" s="167"/>
      <c r="AV17" s="168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</row>
    <row r="18" spans="2:127" ht="15" customHeight="1">
      <c r="B18" s="80">
        <v>7111</v>
      </c>
      <c r="C18" s="100" t="str">
        <f>IF(MasterSheet!$A$1=1,MasterSheet!C74,MasterSheet!B74)</f>
        <v>Porez na dohodak fizičkih lica</v>
      </c>
      <c r="D18" s="101">
        <v>72493703.819999963</v>
      </c>
      <c r="E18" s="102">
        <f t="shared" si="0"/>
        <v>3.3735261678067832</v>
      </c>
      <c r="F18" s="101">
        <v>85402227.900000006</v>
      </c>
      <c r="G18" s="102">
        <f t="shared" si="1"/>
        <v>3.1860558813654167</v>
      </c>
      <c r="H18" s="101">
        <v>111918603.98999999</v>
      </c>
      <c r="I18" s="102">
        <f t="shared" si="4"/>
        <v>3.6271261339771841</v>
      </c>
      <c r="J18" s="101">
        <v>94990513.510000005</v>
      </c>
      <c r="K18" s="102">
        <f t="shared" si="5"/>
        <v>3.1865318185172762</v>
      </c>
      <c r="L18" s="101">
        <v>89753928.969999999</v>
      </c>
      <c r="M18" s="102">
        <f t="shared" si="6"/>
        <v>2.8915569900128868</v>
      </c>
      <c r="N18" s="101">
        <v>81640031.710000008</v>
      </c>
      <c r="O18" s="102">
        <f t="shared" si="7"/>
        <v>2.5244289335188621</v>
      </c>
      <c r="P18" s="209">
        <v>82261833.280000001</v>
      </c>
      <c r="Q18" s="102">
        <f t="shared" si="8"/>
        <v>2.6123160774849161</v>
      </c>
      <c r="R18" s="209">
        <v>90882254.340598434</v>
      </c>
      <c r="S18" s="102">
        <f t="shared" si="2"/>
        <v>2.8860671432390737</v>
      </c>
      <c r="T18" s="209">
        <v>95618433.909999996</v>
      </c>
      <c r="U18" s="102">
        <f t="shared" si="3"/>
        <v>2.8663506635358695</v>
      </c>
      <c r="V18" s="209">
        <v>96011654.614494905</v>
      </c>
      <c r="W18" s="102">
        <f t="shared" si="9"/>
        <v>2.7305850568875618</v>
      </c>
      <c r="X18" s="210">
        <v>-2000000</v>
      </c>
      <c r="Y18" s="210">
        <v>963492.84</v>
      </c>
      <c r="Z18" s="253">
        <f t="shared" ref="Z18:Z75" si="16">+AB18-V18</f>
        <v>769496.11543509364</v>
      </c>
      <c r="AA18" s="253">
        <f t="shared" ref="AA18:AA75" si="17">+AB18-T18</f>
        <v>1162716.8199300021</v>
      </c>
      <c r="AB18" s="211">
        <f t="shared" ref="AB18:AB24" si="18">+T18*(1+$W$6)+X18+Y18</f>
        <v>96781150.729929999</v>
      </c>
      <c r="AC18" s="102">
        <f t="shared" si="10"/>
        <v>2.7524696354064582</v>
      </c>
      <c r="AD18" s="211">
        <f>+(V18-7000000)*1.035</f>
        <v>92127062.526002213</v>
      </c>
      <c r="AE18" s="102">
        <f t="shared" si="11"/>
        <v>2.481866730751658</v>
      </c>
      <c r="AF18" s="212">
        <v>-7000000</v>
      </c>
      <c r="AG18" s="211">
        <f>+AB18*(1+$X$6)+AF18</f>
        <v>92345851.224273145</v>
      </c>
      <c r="AH18" s="102">
        <f t="shared" si="12"/>
        <v>2.4877608119956993</v>
      </c>
      <c r="AI18" s="209">
        <f>+AD18*1.04</f>
        <v>95812145.0270423</v>
      </c>
      <c r="AJ18" s="102">
        <f t="shared" si="13"/>
        <v>2.4378909289940349</v>
      </c>
      <c r="AK18" s="212"/>
      <c r="AL18" s="211">
        <f t="shared" ref="AL18:AL24" si="19">+AG18*(1+$Y$6)+AK18</f>
        <v>96501414.529365435</v>
      </c>
      <c r="AM18" s="102">
        <f t="shared" si="14"/>
        <v>2.4554290382480497</v>
      </c>
      <c r="AN18" s="211">
        <f t="shared" ref="AN18:AN24" si="20">+AL18*(1+$AB$6)</f>
        <v>101519488.08489244</v>
      </c>
      <c r="AO18" s="102">
        <f t="shared" si="15"/>
        <v>2.4350597174179356</v>
      </c>
      <c r="AQ18" s="103"/>
      <c r="AR18" s="104" t="s">
        <v>427</v>
      </c>
      <c r="AS18" s="104"/>
      <c r="AT18" s="104"/>
      <c r="AU18" s="104"/>
      <c r="AV18" s="169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</row>
    <row r="19" spans="2:127" ht="15" customHeight="1">
      <c r="B19" s="80">
        <v>7112</v>
      </c>
      <c r="C19" s="100" t="str">
        <f>IF(MasterSheet!$A$1=1,MasterSheet!C75,MasterSheet!B75)</f>
        <v>Porez na dobit pravnih lica</v>
      </c>
      <c r="D19" s="101">
        <v>12681282.079999981</v>
      </c>
      <c r="E19" s="102">
        <f t="shared" si="0"/>
        <v>0.59012899995346368</v>
      </c>
      <c r="F19" s="101">
        <v>39076661.670000002</v>
      </c>
      <c r="G19" s="102">
        <f t="shared" si="1"/>
        <v>1.457812410744264</v>
      </c>
      <c r="H19" s="101">
        <v>62803344.119999997</v>
      </c>
      <c r="I19" s="102">
        <f t="shared" si="4"/>
        <v>2.035368943479388</v>
      </c>
      <c r="J19" s="101">
        <v>54738222.979999997</v>
      </c>
      <c r="K19" s="102">
        <f t="shared" si="5"/>
        <v>1.8362369332438777</v>
      </c>
      <c r="L19" s="101">
        <v>20270971.710000001</v>
      </c>
      <c r="M19" s="102">
        <f t="shared" si="6"/>
        <v>0.65305965560567014</v>
      </c>
      <c r="N19" s="101">
        <v>36101185.260000005</v>
      </c>
      <c r="O19" s="102">
        <f t="shared" si="7"/>
        <v>1.1163013376623379</v>
      </c>
      <c r="P19" s="211">
        <v>64016557.520000003</v>
      </c>
      <c r="Q19" s="102">
        <f t="shared" si="8"/>
        <v>2.0329170377897743</v>
      </c>
      <c r="R19" s="211">
        <v>41932967.183892116</v>
      </c>
      <c r="S19" s="102">
        <f t="shared" si="2"/>
        <v>1.3316280464875234</v>
      </c>
      <c r="T19" s="211">
        <v>40638726.390000008</v>
      </c>
      <c r="U19" s="102">
        <f t="shared" si="3"/>
        <v>1.2182257708055488</v>
      </c>
      <c r="V19" s="211">
        <v>44395641.531501003</v>
      </c>
      <c r="W19" s="102">
        <f t="shared" si="9"/>
        <v>1.2626183336137604</v>
      </c>
      <c r="X19" s="210">
        <v>8000000</v>
      </c>
      <c r="Y19" s="210">
        <v>445517.61</v>
      </c>
      <c r="Z19" s="253">
        <f t="shared" si="16"/>
        <v>5623293.1754690036</v>
      </c>
      <c r="AA19" s="253">
        <f t="shared" si="17"/>
        <v>9380208.3169699982</v>
      </c>
      <c r="AB19" s="211">
        <f t="shared" si="18"/>
        <v>50018934.706970006</v>
      </c>
      <c r="AC19" s="102">
        <f t="shared" si="10"/>
        <v>1.4225455880401758</v>
      </c>
      <c r="AD19" s="211">
        <f>+V19*1.035</f>
        <v>45949488.985103533</v>
      </c>
      <c r="AE19" s="102">
        <f t="shared" si="11"/>
        <v>1.2378611113860394</v>
      </c>
      <c r="AF19" s="212"/>
      <c r="AG19" s="211">
        <f t="shared" ref="AG19:AG24" si="21">+AB19*(1+$X$6)+AF19</f>
        <v>51344436.476704709</v>
      </c>
      <c r="AH19" s="102">
        <f t="shared" si="12"/>
        <v>1.3831988691136121</v>
      </c>
      <c r="AI19" s="211">
        <f>+AD19*1.04</f>
        <v>47787468.544507675</v>
      </c>
      <c r="AJ19" s="102">
        <f t="shared" si="13"/>
        <v>1.2159276472869025</v>
      </c>
      <c r="AK19" s="212"/>
      <c r="AL19" s="211">
        <f t="shared" si="19"/>
        <v>53654936.118156418</v>
      </c>
      <c r="AM19" s="102">
        <f t="shared" si="14"/>
        <v>1.3652223527746843</v>
      </c>
      <c r="AN19" s="211">
        <f t="shared" si="20"/>
        <v>56444992.796300553</v>
      </c>
      <c r="AO19" s="102">
        <f t="shared" si="15"/>
        <v>1.3538969788074722</v>
      </c>
      <c r="AQ19" s="103"/>
      <c r="AR19" s="104"/>
      <c r="AS19" s="105">
        <f>+T14</f>
        <v>2013</v>
      </c>
      <c r="AT19" s="105" t="str">
        <f>+V14</f>
        <v>Plan 2014</v>
      </c>
      <c r="AU19" s="170" t="str">
        <f>+AB14</f>
        <v>Procjena 2014</v>
      </c>
      <c r="AV19" s="170" t="str">
        <f>+AG14</f>
        <v>Procjena 2015</v>
      </c>
      <c r="AW19" s="81" t="str">
        <f>+AL14</f>
        <v>Procjena 2016</v>
      </c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1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3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  <c r="CH19" s="172"/>
      <c r="CI19" s="172"/>
      <c r="CJ19" s="172"/>
      <c r="CK19" s="172"/>
      <c r="CL19" s="172"/>
      <c r="CM19" s="172"/>
      <c r="CN19" s="172"/>
      <c r="CO19" s="172"/>
      <c r="CP19" s="172"/>
      <c r="CQ19" s="172"/>
      <c r="CR19" s="172"/>
      <c r="CS19" s="172"/>
      <c r="CT19" s="172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T19" s="81"/>
    </row>
    <row r="20" spans="2:127" ht="15" customHeight="1">
      <c r="B20" s="80">
        <v>7113</v>
      </c>
      <c r="C20" s="100" t="str">
        <f>IF(MasterSheet!$A$1=1,MasterSheet!C76,MasterSheet!B76)</f>
        <v>Porez na promet nepokretnosti</v>
      </c>
      <c r="D20" s="101">
        <v>7371892.8599999985</v>
      </c>
      <c r="E20" s="102">
        <f t="shared" si="0"/>
        <v>0.3430542538042719</v>
      </c>
      <c r="F20" s="101">
        <v>20590669.43</v>
      </c>
      <c r="G20" s="102">
        <f t="shared" si="1"/>
        <v>0.76816524640925199</v>
      </c>
      <c r="H20" s="101">
        <v>11428331.24</v>
      </c>
      <c r="I20" s="102">
        <f t="shared" si="4"/>
        <v>0.37037630412237488</v>
      </c>
      <c r="J20" s="101">
        <v>5206820.57</v>
      </c>
      <c r="K20" s="102">
        <f t="shared" si="5"/>
        <v>0.17466690942636701</v>
      </c>
      <c r="L20" s="101">
        <v>4938431.08</v>
      </c>
      <c r="M20" s="102">
        <f t="shared" si="6"/>
        <v>0.15909893943298969</v>
      </c>
      <c r="N20" s="101">
        <v>1237096.94</v>
      </c>
      <c r="O20" s="102">
        <f t="shared" si="7"/>
        <v>3.8252842918985772E-2</v>
      </c>
      <c r="P20" s="211">
        <v>1441449.4</v>
      </c>
      <c r="Q20" s="102">
        <f t="shared" si="8"/>
        <v>4.5774830104795168E-2</v>
      </c>
      <c r="R20" s="211">
        <v>1521889.0598464906</v>
      </c>
      <c r="S20" s="102">
        <f t="shared" si="2"/>
        <v>4.8329281036725645E-2</v>
      </c>
      <c r="T20" s="211">
        <v>1440565.3199999998</v>
      </c>
      <c r="U20" s="102">
        <f t="shared" si="3"/>
        <v>4.318377944503151E-2</v>
      </c>
      <c r="V20" s="211">
        <v>1544536.6728920399</v>
      </c>
      <c r="W20" s="102">
        <f t="shared" si="9"/>
        <v>4.3926841754241781E-2</v>
      </c>
      <c r="X20" s="210"/>
      <c r="Y20" s="210">
        <v>15499.68</v>
      </c>
      <c r="Z20" s="253">
        <f t="shared" si="16"/>
        <v>-55338.670532040298</v>
      </c>
      <c r="AA20" s="253">
        <f t="shared" si="17"/>
        <v>48632.682359999744</v>
      </c>
      <c r="AB20" s="211">
        <f t="shared" si="18"/>
        <v>1489198.0023599996</v>
      </c>
      <c r="AC20" s="102">
        <f t="shared" si="10"/>
        <v>4.2353002125818169E-2</v>
      </c>
      <c r="AD20" s="211">
        <f>+V20*1.03</f>
        <v>1590872.7730788011</v>
      </c>
      <c r="AE20" s="102">
        <f t="shared" si="11"/>
        <v>4.2857485087495539E-2</v>
      </c>
      <c r="AF20" s="212"/>
      <c r="AG20" s="211">
        <f t="shared" si="21"/>
        <v>1528661.7494225395</v>
      </c>
      <c r="AH20" s="102">
        <f t="shared" si="12"/>
        <v>4.1181544645403377E-2</v>
      </c>
      <c r="AI20" s="211">
        <f>+AD20*1.03</f>
        <v>1638598.9562711653</v>
      </c>
      <c r="AJ20" s="102">
        <f t="shared" si="13"/>
        <v>4.1693310703200349E-2</v>
      </c>
      <c r="AK20" s="212"/>
      <c r="AL20" s="211">
        <f t="shared" si="19"/>
        <v>1597451.5281465536</v>
      </c>
      <c r="AM20" s="102">
        <f t="shared" si="14"/>
        <v>4.0646335481550611E-2</v>
      </c>
      <c r="AN20" s="211">
        <f t="shared" si="20"/>
        <v>1680519.0076101744</v>
      </c>
      <c r="AO20" s="102">
        <f t="shared" si="15"/>
        <v>4.0309148686454757E-2</v>
      </c>
      <c r="AQ20" s="103"/>
      <c r="AR20" s="104" t="s">
        <v>428</v>
      </c>
      <c r="AS20" s="104">
        <f>+U52</f>
        <v>11.121585860864755</v>
      </c>
      <c r="AT20" s="104">
        <f>+W52</f>
        <v>10.991793193911903</v>
      </c>
      <c r="AU20" s="106">
        <f>+AC52</f>
        <v>10.991793193911903</v>
      </c>
      <c r="AV20" s="106">
        <f>+AH52</f>
        <v>10.620090042426959</v>
      </c>
      <c r="AW20" s="106">
        <f>+AM52</f>
        <v>10.080840315689196</v>
      </c>
      <c r="AX20" s="106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3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  <c r="CH20" s="172"/>
      <c r="CI20" s="172"/>
      <c r="CJ20" s="172"/>
      <c r="CK20" s="172"/>
      <c r="CL20" s="172"/>
      <c r="CM20" s="172"/>
      <c r="CN20" s="172"/>
      <c r="CO20" s="172"/>
      <c r="CP20" s="172"/>
      <c r="CQ20" s="172"/>
      <c r="CR20" s="172"/>
      <c r="CS20" s="172"/>
      <c r="CT20" s="172"/>
      <c r="CU20" s="173"/>
      <c r="CV20" s="173"/>
      <c r="CW20" s="173"/>
      <c r="CX20" s="173"/>
      <c r="CY20" s="173"/>
      <c r="CZ20" s="173"/>
      <c r="DA20" s="173"/>
      <c r="DB20" s="173"/>
      <c r="DC20" s="173"/>
      <c r="DD20" s="173"/>
      <c r="DE20" s="173"/>
      <c r="DF20" s="173"/>
      <c r="DG20" s="172"/>
      <c r="DH20" s="172"/>
      <c r="DI20" s="172"/>
      <c r="DJ20" s="172"/>
      <c r="DK20" s="172"/>
      <c r="DL20" s="172"/>
      <c r="DM20" s="172"/>
      <c r="DN20" s="172"/>
      <c r="DO20" s="172"/>
      <c r="DP20" s="172"/>
      <c r="DQ20" s="172"/>
      <c r="DR20" s="172"/>
    </row>
    <row r="21" spans="2:127" ht="15" customHeight="1">
      <c r="B21" s="80">
        <v>7114</v>
      </c>
      <c r="C21" s="100" t="str">
        <f>IF(MasterSheet!$A$1=1,MasterSheet!C77,MasterSheet!B77)</f>
        <v>Porez na dodatu vrijednost</v>
      </c>
      <c r="D21" s="101">
        <v>273156637.07999986</v>
      </c>
      <c r="E21" s="102">
        <f t="shared" si="0"/>
        <v>12.711463403601837</v>
      </c>
      <c r="F21" s="101">
        <v>393174255.16000003</v>
      </c>
      <c r="G21" s="102">
        <f t="shared" si="1"/>
        <v>14.667944605857116</v>
      </c>
      <c r="H21" s="101">
        <v>440064484.29000002</v>
      </c>
      <c r="I21" s="102">
        <f t="shared" si="4"/>
        <v>14.26187724559243</v>
      </c>
      <c r="J21" s="101">
        <v>370776941.73000002</v>
      </c>
      <c r="K21" s="102">
        <f t="shared" si="5"/>
        <v>12.438005425360618</v>
      </c>
      <c r="L21" s="101">
        <v>364177041.45999998</v>
      </c>
      <c r="M21" s="102">
        <f t="shared" si="6"/>
        <v>11.732507778994844</v>
      </c>
      <c r="N21" s="101">
        <v>392235880.90999997</v>
      </c>
      <c r="O21" s="102">
        <f t="shared" si="7"/>
        <v>12.12850590321583</v>
      </c>
      <c r="P21" s="209">
        <v>354714031.35000002</v>
      </c>
      <c r="Q21" s="102">
        <f t="shared" si="8"/>
        <v>11.264338880597016</v>
      </c>
      <c r="R21" s="209">
        <v>373045631.00580907</v>
      </c>
      <c r="S21" s="102">
        <f t="shared" si="2"/>
        <v>11.846479231686539</v>
      </c>
      <c r="T21" s="209">
        <v>429195069.32999998</v>
      </c>
      <c r="U21" s="102">
        <f t="shared" si="3"/>
        <v>12.865966544885122</v>
      </c>
      <c r="V21" s="209">
        <v>455945630.52919102</v>
      </c>
      <c r="W21" s="102">
        <f t="shared" si="9"/>
        <v>12.967158315051353</v>
      </c>
      <c r="X21" s="210">
        <v>30000000</v>
      </c>
      <c r="Y21" s="210">
        <v>4575489.8600000003</v>
      </c>
      <c r="Z21" s="253">
        <f t="shared" si="16"/>
        <v>17696415.255398929</v>
      </c>
      <c r="AA21" s="253">
        <f t="shared" si="17"/>
        <v>44446976.454589963</v>
      </c>
      <c r="AB21" s="211">
        <f t="shared" si="18"/>
        <v>473642045.78458995</v>
      </c>
      <c r="AC21" s="102">
        <f t="shared" si="10"/>
        <v>13.470446871538474</v>
      </c>
      <c r="AD21" s="209">
        <f>+V21*1.035</f>
        <v>471903727.5977127</v>
      </c>
      <c r="AE21" s="102">
        <f t="shared" si="11"/>
        <v>12.712900308873875</v>
      </c>
      <c r="AF21" s="212"/>
      <c r="AG21" s="211">
        <f t="shared" si="21"/>
        <v>486193559.99788159</v>
      </c>
      <c r="AH21" s="102">
        <f t="shared" si="12"/>
        <v>13.097862758012926</v>
      </c>
      <c r="AI21" s="209">
        <f>+AD21*1.04</f>
        <v>490779876.70162123</v>
      </c>
      <c r="AJ21" s="102">
        <f t="shared" si="13"/>
        <v>12.487642450818722</v>
      </c>
      <c r="AK21" s="212"/>
      <c r="AL21" s="211">
        <f t="shared" si="19"/>
        <v>508072270.19778621</v>
      </c>
      <c r="AM21" s="102">
        <f t="shared" si="14"/>
        <v>12.927638541429129</v>
      </c>
      <c r="AN21" s="211">
        <f>+AL21*(1+$AB$6)</f>
        <v>534492028.24807113</v>
      </c>
      <c r="AO21" s="102">
        <f t="shared" si="15"/>
        <v>12.820395687767189</v>
      </c>
      <c r="AQ21" s="106"/>
      <c r="AR21" s="107" t="s">
        <v>429</v>
      </c>
      <c r="AS21" s="107">
        <f>+U65</f>
        <v>11.486871075332749</v>
      </c>
      <c r="AT21" s="107">
        <f>+W65</f>
        <v>11.299844898910312</v>
      </c>
      <c r="AU21" s="106">
        <f>+AC65</f>
        <v>11.299844898910312</v>
      </c>
      <c r="AV21" s="106">
        <f>+AH65</f>
        <v>11.026926777171898</v>
      </c>
      <c r="AW21" s="106">
        <f>+AM65</f>
        <v>10.618500530882704</v>
      </c>
      <c r="AX21" s="106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</row>
    <row r="22" spans="2:127" ht="15" customHeight="1">
      <c r="B22" s="80">
        <v>7115</v>
      </c>
      <c r="C22" s="100" t="str">
        <f>IF(MasterSheet!$A$1=1,MasterSheet!C78,MasterSheet!B78)</f>
        <v>Akcize</v>
      </c>
      <c r="D22" s="101">
        <v>72376242.179999948</v>
      </c>
      <c r="E22" s="102">
        <f t="shared" si="0"/>
        <v>3.3680600390897646</v>
      </c>
      <c r="F22" s="101">
        <v>94538367.25</v>
      </c>
      <c r="G22" s="102">
        <f t="shared" si="1"/>
        <v>3.526893014362992</v>
      </c>
      <c r="H22" s="101">
        <v>120303864.65000001</v>
      </c>
      <c r="I22" s="102">
        <f t="shared" si="4"/>
        <v>3.8988807573891631</v>
      </c>
      <c r="J22" s="101">
        <v>128684864.44</v>
      </c>
      <c r="K22" s="102">
        <f t="shared" si="5"/>
        <v>4.3168354391143904</v>
      </c>
      <c r="L22" s="101">
        <v>134261371.03</v>
      </c>
      <c r="M22" s="102">
        <f t="shared" si="6"/>
        <v>4.3254307677190722</v>
      </c>
      <c r="N22" s="101">
        <v>143379590.77000001</v>
      </c>
      <c r="O22" s="102">
        <f t="shared" si="7"/>
        <v>4.4335062081014227</v>
      </c>
      <c r="P22" s="211">
        <v>151766097.75999999</v>
      </c>
      <c r="Q22" s="102">
        <f t="shared" si="8"/>
        <v>4.8195013578913937</v>
      </c>
      <c r="R22" s="211">
        <v>157448789.82527599</v>
      </c>
      <c r="S22" s="102">
        <f t="shared" si="2"/>
        <v>4.9999615695546522</v>
      </c>
      <c r="T22" s="211">
        <v>161445470.17000002</v>
      </c>
      <c r="U22" s="102">
        <f t="shared" si="3"/>
        <v>4.8396455748502225</v>
      </c>
      <c r="V22" s="211">
        <v>171111988.52539012</v>
      </c>
      <c r="W22" s="102">
        <f t="shared" si="9"/>
        <v>4.8664491909631922</v>
      </c>
      <c r="X22" s="238">
        <v>4000000</v>
      </c>
      <c r="Y22" s="210"/>
      <c r="Z22" s="253">
        <f t="shared" si="16"/>
        <v>-1953272.541480124</v>
      </c>
      <c r="AA22" s="253">
        <f t="shared" si="17"/>
        <v>7713245.8139099777</v>
      </c>
      <c r="AB22" s="211">
        <f t="shared" si="18"/>
        <v>169158715.98390999</v>
      </c>
      <c r="AC22" s="102">
        <f t="shared" si="10"/>
        <v>4.8108978432105705</v>
      </c>
      <c r="AD22" s="211">
        <f>+V22*1.035</f>
        <v>177100908.12377876</v>
      </c>
      <c r="AE22" s="102">
        <f t="shared" si="11"/>
        <v>4.7710286185913642</v>
      </c>
      <c r="AF22" s="212">
        <v>3000000</v>
      </c>
      <c r="AG22" s="211">
        <f t="shared" si="21"/>
        <v>176641421.95748359</v>
      </c>
      <c r="AH22" s="102">
        <f t="shared" si="12"/>
        <v>4.7586502424866586</v>
      </c>
      <c r="AI22" s="211">
        <f>+AD22*1.04</f>
        <v>184184944.4487299</v>
      </c>
      <c r="AJ22" s="102">
        <f t="shared" si="13"/>
        <v>4.6864915215299199</v>
      </c>
      <c r="AK22" s="212"/>
      <c r="AL22" s="211">
        <f t="shared" si="19"/>
        <v>184590285.94557035</v>
      </c>
      <c r="AM22" s="102">
        <f t="shared" si="14"/>
        <v>4.6968052281901072</v>
      </c>
      <c r="AN22" s="211">
        <f t="shared" si="20"/>
        <v>194188980.81474</v>
      </c>
      <c r="AO22" s="102">
        <f t="shared" si="15"/>
        <v>4.6578422888913913</v>
      </c>
      <c r="AQ22" s="106"/>
      <c r="AR22" s="107" t="s">
        <v>229</v>
      </c>
      <c r="AS22" s="107">
        <f>+U49-AS20-AS21</f>
        <v>18.85721016361655</v>
      </c>
      <c r="AT22" s="107">
        <f>+W49-AT20-AT21</f>
        <v>15.750039559050311</v>
      </c>
      <c r="AU22" s="107">
        <f>+AC49-AU20-AU21</f>
        <v>15.896597332814228</v>
      </c>
      <c r="AV22" s="107">
        <f>+AH49-AV20-AV21</f>
        <v>15.087129198909079</v>
      </c>
      <c r="AW22" s="107">
        <f>+AM49-AW20-AW21</f>
        <v>14.051740765339391</v>
      </c>
      <c r="AX22" s="107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</row>
    <row r="23" spans="2:127" ht="15" customHeight="1">
      <c r="B23" s="80">
        <v>7116</v>
      </c>
      <c r="C23" s="100" t="str">
        <f>IF(MasterSheet!$A$1=1,MasterSheet!C79,MasterSheet!B79)</f>
        <v>Porez na međunarodnu trgovinu i transakcije</v>
      </c>
      <c r="D23" s="101">
        <v>56766223.619999953</v>
      </c>
      <c r="E23" s="102">
        <f t="shared" si="0"/>
        <v>2.6416410079575572</v>
      </c>
      <c r="F23" s="101">
        <v>68495722.040000007</v>
      </c>
      <c r="G23" s="102">
        <f t="shared" si="1"/>
        <v>2.5553337825032645</v>
      </c>
      <c r="H23" s="101">
        <v>72926890</v>
      </c>
      <c r="I23" s="102">
        <f t="shared" si="4"/>
        <v>2.3634589707026183</v>
      </c>
      <c r="J23" s="101">
        <v>49121124.340000004</v>
      </c>
      <c r="K23" s="102">
        <f t="shared" si="5"/>
        <v>1.6478069218383093</v>
      </c>
      <c r="L23" s="101">
        <v>50811537.57</v>
      </c>
      <c r="M23" s="102">
        <f t="shared" si="6"/>
        <v>1.6369696382087628</v>
      </c>
      <c r="N23" s="101">
        <v>45327985.280000009</v>
      </c>
      <c r="O23" s="102">
        <f t="shared" si="7"/>
        <v>1.4016074607297468</v>
      </c>
      <c r="P23" s="211">
        <v>28965025.329999998</v>
      </c>
      <c r="Q23" s="102">
        <f t="shared" si="8"/>
        <v>0.91981661892664335</v>
      </c>
      <c r="R23" s="211">
        <v>31189932.243369084</v>
      </c>
      <c r="S23" s="102">
        <f t="shared" si="2"/>
        <v>0.99047101439723984</v>
      </c>
      <c r="T23" s="211">
        <v>22269382.640000001</v>
      </c>
      <c r="U23" s="102">
        <f t="shared" si="3"/>
        <v>0.66756855447746977</v>
      </c>
      <c r="V23" s="211">
        <v>23735353.696558259</v>
      </c>
      <c r="W23" s="102">
        <f t="shared" si="9"/>
        <v>0.67503682114419394</v>
      </c>
      <c r="X23" s="210">
        <v>0</v>
      </c>
      <c r="Y23" s="210"/>
      <c r="Z23" s="253">
        <f t="shared" si="16"/>
        <v>-953775.25583826005</v>
      </c>
      <c r="AA23" s="253">
        <f t="shared" si="17"/>
        <v>512195.80071999878</v>
      </c>
      <c r="AB23" s="211">
        <f t="shared" si="18"/>
        <v>22781578.440719999</v>
      </c>
      <c r="AC23" s="102">
        <f t="shared" si="10"/>
        <v>0.64791131776985811</v>
      </c>
      <c r="AD23" s="211">
        <f>+V23*1.035</f>
        <v>24566091.075937796</v>
      </c>
      <c r="AE23" s="102">
        <f t="shared" si="11"/>
        <v>0.66180080504332739</v>
      </c>
      <c r="AF23" s="212"/>
      <c r="AG23" s="211">
        <f t="shared" si="21"/>
        <v>23385290.26939908</v>
      </c>
      <c r="AH23" s="102">
        <f t="shared" si="12"/>
        <v>0.62999049700744458</v>
      </c>
      <c r="AI23" s="211">
        <f>+AD23*1.03</f>
        <v>25303073.808215931</v>
      </c>
      <c r="AJ23" s="102">
        <f t="shared" si="13"/>
        <v>0.6438237458863455</v>
      </c>
      <c r="AK23" s="212"/>
      <c r="AL23" s="211">
        <f t="shared" si="19"/>
        <v>24437628.331522036</v>
      </c>
      <c r="AM23" s="102">
        <f t="shared" si="14"/>
        <v>0.62180292925004677</v>
      </c>
      <c r="AN23" s="211">
        <f t="shared" si="20"/>
        <v>25708385.004761182</v>
      </c>
      <c r="AO23" s="102">
        <f t="shared" si="15"/>
        <v>0.61664468473892209</v>
      </c>
      <c r="AQ23" s="106"/>
      <c r="AR23" s="107"/>
      <c r="AS23" s="107"/>
      <c r="AT23" s="107"/>
      <c r="AU23" s="107"/>
      <c r="AV23" s="108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DU23" s="174"/>
      <c r="DV23" s="174"/>
      <c r="DW23" s="81"/>
    </row>
    <row r="24" spans="2:127" ht="15" customHeight="1">
      <c r="B24" s="80">
        <v>7118</v>
      </c>
      <c r="C24" s="100" t="str">
        <f>IF(MasterSheet!$A$1=1,MasterSheet!C80,MasterSheet!B80)</f>
        <v>Ostali republički prihodi</v>
      </c>
      <c r="D24" s="101">
        <v>4535766.87</v>
      </c>
      <c r="E24" s="102">
        <f t="shared" si="0"/>
        <v>0.21107389222392853</v>
      </c>
      <c r="F24" s="101">
        <v>6739308.9000000004</v>
      </c>
      <c r="G24" s="102">
        <f t="shared" si="1"/>
        <v>0.25141984331281481</v>
      </c>
      <c r="H24" s="101">
        <v>8529592.9000000004</v>
      </c>
      <c r="I24" s="102">
        <f t="shared" si="4"/>
        <v>0.27643223036038372</v>
      </c>
      <c r="J24" s="101">
        <v>8920855.8499999996</v>
      </c>
      <c r="K24" s="102">
        <f t="shared" si="5"/>
        <v>0.29925715699429722</v>
      </c>
      <c r="L24" s="101">
        <v>11587063.199999999</v>
      </c>
      <c r="M24" s="102">
        <f t="shared" si="6"/>
        <v>0.37329456185567006</v>
      </c>
      <c r="N24" s="101">
        <v>4148584.0999999996</v>
      </c>
      <c r="O24" s="102">
        <f t="shared" si="7"/>
        <v>0.12828027520098947</v>
      </c>
      <c r="P24" s="211">
        <v>4279140.05</v>
      </c>
      <c r="Q24" s="102">
        <f t="shared" si="8"/>
        <v>0.13588885519212449</v>
      </c>
      <c r="R24" s="211">
        <v>4409065.5830532731</v>
      </c>
      <c r="S24" s="102">
        <f t="shared" si="2"/>
        <v>0.14001478510807475</v>
      </c>
      <c r="T24" s="211">
        <v>5088811.75</v>
      </c>
      <c r="U24" s="102">
        <f t="shared" si="3"/>
        <v>0.15254714326267749</v>
      </c>
      <c r="V24" s="211">
        <v>5084095.7895035082</v>
      </c>
      <c r="W24" s="102">
        <f t="shared" si="9"/>
        <v>0.14459240439449103</v>
      </c>
      <c r="X24" s="210"/>
      <c r="Y24" s="210"/>
      <c r="Z24" s="253">
        <f t="shared" si="16"/>
        <v>121758.63074649125</v>
      </c>
      <c r="AA24" s="253">
        <f t="shared" si="17"/>
        <v>117042.6702499995</v>
      </c>
      <c r="AB24" s="211">
        <f t="shared" si="18"/>
        <v>5205854.4202499995</v>
      </c>
      <c r="AC24" s="102">
        <f t="shared" si="10"/>
        <v>0.14805523709952459</v>
      </c>
      <c r="AD24" s="211">
        <f>+V24*1.03</f>
        <v>5236618.663188614</v>
      </c>
      <c r="AE24" s="102">
        <f t="shared" si="11"/>
        <v>0.14107244153294096</v>
      </c>
      <c r="AF24" s="212"/>
      <c r="AG24" s="211">
        <f t="shared" si="21"/>
        <v>5343809.5623866245</v>
      </c>
      <c r="AH24" s="102">
        <f t="shared" si="12"/>
        <v>0.14396012208265793</v>
      </c>
      <c r="AI24" s="211">
        <f>+AD24*1.03</f>
        <v>5393717.2230842728</v>
      </c>
      <c r="AJ24" s="102">
        <f t="shared" si="13"/>
        <v>0.13724037060233596</v>
      </c>
      <c r="AK24" s="212"/>
      <c r="AL24" s="211">
        <f t="shared" si="19"/>
        <v>5584280.9926940221</v>
      </c>
      <c r="AM24" s="102">
        <f t="shared" si="14"/>
        <v>0.14208916806110689</v>
      </c>
      <c r="AN24" s="211">
        <f t="shared" si="20"/>
        <v>5874663.6043141112</v>
      </c>
      <c r="AO24" s="102">
        <f t="shared" si="15"/>
        <v>0.14091044947236456</v>
      </c>
      <c r="AQ24" s="106"/>
      <c r="AR24" s="107"/>
      <c r="AS24" s="107"/>
      <c r="AT24" s="107"/>
      <c r="AU24" s="107"/>
      <c r="AV24" s="108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DU24" s="174"/>
      <c r="DV24" s="174"/>
      <c r="DW24" s="81"/>
    </row>
    <row r="25" spans="2:127" ht="15" customHeight="1">
      <c r="B25" s="80">
        <v>712</v>
      </c>
      <c r="C25" s="94" t="str">
        <f>IF(MasterSheet!$A$1=1,MasterSheet!C81,MasterSheet!B81)</f>
        <v>Doprinosi</v>
      </c>
      <c r="D25" s="95">
        <f>SUM(D26:D29)</f>
        <v>255157132.13</v>
      </c>
      <c r="E25" s="98">
        <f t="shared" si="0"/>
        <v>11.873848579738471</v>
      </c>
      <c r="F25" s="95">
        <f>SUM(F26:F29)</f>
        <v>306787808.32999998</v>
      </c>
      <c r="G25" s="98">
        <f t="shared" si="1"/>
        <v>11.445170987875395</v>
      </c>
      <c r="H25" s="95">
        <f>SUM(H26:H29)</f>
        <v>339912631.83999997</v>
      </c>
      <c r="I25" s="98">
        <f t="shared" si="4"/>
        <v>11.016095146486906</v>
      </c>
      <c r="J25" s="95">
        <f>SUM(J26:J29)</f>
        <v>307544352.32999998</v>
      </c>
      <c r="K25" s="98">
        <f t="shared" si="5"/>
        <v>10.316818259979872</v>
      </c>
      <c r="L25" s="95">
        <f>SUM(L26:L29)</f>
        <v>379756996.48000008</v>
      </c>
      <c r="M25" s="98">
        <f t="shared" si="6"/>
        <v>12.234439319587631</v>
      </c>
      <c r="N25" s="95">
        <f>SUM(N26:N29)</f>
        <v>353577453.33000004</v>
      </c>
      <c r="O25" s="98">
        <f t="shared" si="7"/>
        <v>10.933130900742116</v>
      </c>
      <c r="P25" s="239">
        <f>SUM(P26:P29)</f>
        <v>362250409.59999996</v>
      </c>
      <c r="Q25" s="98">
        <f t="shared" si="8"/>
        <v>11.503664960304857</v>
      </c>
      <c r="R25" s="239">
        <f>SUM(R26:R29)</f>
        <v>384217730.43822622</v>
      </c>
      <c r="S25" s="98">
        <f t="shared" si="2"/>
        <v>12.201261684287907</v>
      </c>
      <c r="T25" s="239">
        <f>SUM(T26:T29)</f>
        <v>398494284.19</v>
      </c>
      <c r="U25" s="98">
        <f t="shared" si="3"/>
        <v>11.94565011364196</v>
      </c>
      <c r="V25" s="207">
        <v>397823173.70918262</v>
      </c>
      <c r="W25" s="98">
        <f t="shared" si="9"/>
        <v>11.314147410286179</v>
      </c>
      <c r="X25" s="96"/>
      <c r="Y25" s="96"/>
      <c r="Z25" s="254">
        <f t="shared" si="16"/>
        <v>19736479.027187347</v>
      </c>
      <c r="AA25" s="254">
        <f t="shared" si="17"/>
        <v>19065368.54636997</v>
      </c>
      <c r="AB25" s="207">
        <f>SUM(AB26:AB29)</f>
        <v>417559652.73636997</v>
      </c>
      <c r="AC25" s="98">
        <f t="shared" si="10"/>
        <v>11.87545566940951</v>
      </c>
      <c r="AD25" s="207">
        <f>SUM(AD26:AD29)</f>
        <v>411746984.78900397</v>
      </c>
      <c r="AE25" s="98">
        <f t="shared" si="11"/>
        <v>11.092301382633508</v>
      </c>
      <c r="AF25" s="208"/>
      <c r="AG25" s="207">
        <f>SUM(AG26:AG29)</f>
        <v>428624983.53388375</v>
      </c>
      <c r="AH25" s="98">
        <f t="shared" si="12"/>
        <v>11.546988012360387</v>
      </c>
      <c r="AI25" s="207">
        <f>SUM(AI26:AI29)</f>
        <v>428216864.18056417</v>
      </c>
      <c r="AJ25" s="98">
        <f t="shared" si="13"/>
        <v>10.895758659128461</v>
      </c>
      <c r="AK25" s="208"/>
      <c r="AL25" s="207">
        <f>SUM(AL26:AL29)</f>
        <v>447913107.79290849</v>
      </c>
      <c r="AM25" s="98">
        <f t="shared" si="14"/>
        <v>11.396919484034724</v>
      </c>
      <c r="AN25" s="207">
        <f>SUM(AN26:AN29)</f>
        <v>471204589.39813972</v>
      </c>
      <c r="AO25" s="98">
        <f t="shared" si="15"/>
        <v>11.302374903096265</v>
      </c>
      <c r="AQ25" s="106"/>
      <c r="AR25" s="107"/>
      <c r="AS25" s="107"/>
      <c r="AT25" s="107"/>
      <c r="AU25" s="107"/>
      <c r="AV25" s="108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DU25" s="174"/>
      <c r="DV25" s="174"/>
      <c r="DW25" s="81"/>
    </row>
    <row r="26" spans="2:127" ht="15" customHeight="1">
      <c r="B26" s="80">
        <v>7121</v>
      </c>
      <c r="C26" s="100" t="str">
        <f>IF(MasterSheet!$A$1=1,MasterSheet!C82,MasterSheet!B82)</f>
        <v>Doprinosi za penzijsko i invalidsko osiguranje</v>
      </c>
      <c r="D26" s="101">
        <v>138179769.16</v>
      </c>
      <c r="E26" s="102">
        <f t="shared" si="0"/>
        <v>6.4302559058122766</v>
      </c>
      <c r="F26" s="101">
        <v>173517241.65000001</v>
      </c>
      <c r="G26" s="102">
        <f t="shared" si="1"/>
        <v>6.473316233911584</v>
      </c>
      <c r="H26" s="101">
        <v>213850904.31999999</v>
      </c>
      <c r="I26" s="102">
        <f t="shared" si="4"/>
        <v>6.9306100700025919</v>
      </c>
      <c r="J26" s="101">
        <v>199510659.24000001</v>
      </c>
      <c r="K26" s="102">
        <f t="shared" si="5"/>
        <v>6.6927426782958737</v>
      </c>
      <c r="L26" s="101">
        <v>233496116.37</v>
      </c>
      <c r="M26" s="102">
        <f t="shared" si="6"/>
        <v>7.5224264294458765</v>
      </c>
      <c r="N26" s="101">
        <v>213452220.68000001</v>
      </c>
      <c r="O26" s="102">
        <f t="shared" si="7"/>
        <v>6.6002541954236245</v>
      </c>
      <c r="P26" s="211">
        <v>216501675.27000001</v>
      </c>
      <c r="Q26" s="102">
        <f t="shared" si="8"/>
        <v>6.8752516757700857</v>
      </c>
      <c r="R26" s="211">
        <v>226849483.25081638</v>
      </c>
      <c r="S26" s="102">
        <f t="shared" si="2"/>
        <v>7.2038578358468204</v>
      </c>
      <c r="T26" s="211">
        <v>241949355.72999999</v>
      </c>
      <c r="U26" s="102">
        <f t="shared" si="3"/>
        <v>7.2529079172277937</v>
      </c>
      <c r="V26" s="211">
        <v>234882396.70208701</v>
      </c>
      <c r="W26" s="102">
        <f t="shared" si="9"/>
        <v>6.6800886323213922</v>
      </c>
      <c r="X26" s="210">
        <v>5000000</v>
      </c>
      <c r="Y26" s="210">
        <v>2361676.37</v>
      </c>
      <c r="Z26" s="253">
        <f t="shared" si="16"/>
        <v>19993470.579702944</v>
      </c>
      <c r="AA26" s="253">
        <f t="shared" si="17"/>
        <v>12926511.551789969</v>
      </c>
      <c r="AB26" s="211">
        <f>+T26*(1+$W$6)+X26+Y26</f>
        <v>254875867.28178996</v>
      </c>
      <c r="AC26" s="102">
        <f t="shared" si="10"/>
        <v>7.2487057676000486</v>
      </c>
      <c r="AD26" s="211">
        <f>+V26*1.035</f>
        <v>243103280.58666003</v>
      </c>
      <c r="AE26" s="102">
        <f t="shared" si="11"/>
        <v>6.5491065022758725</v>
      </c>
      <c r="AF26" s="212"/>
      <c r="AG26" s="211">
        <f>+AB26*(1+$X$6)+AF26</f>
        <v>261630077.76475739</v>
      </c>
      <c r="AH26" s="102">
        <f t="shared" si="12"/>
        <v>7.0482111115292696</v>
      </c>
      <c r="AI26" s="211">
        <f>+AD26*1.04</f>
        <v>252827411.81012642</v>
      </c>
      <c r="AJ26" s="102">
        <f t="shared" si="13"/>
        <v>6.433063926070977</v>
      </c>
      <c r="AK26" s="212"/>
      <c r="AL26" s="211">
        <f>+AG26*(1+$Y$6)+AK26</f>
        <v>273403431.26417148</v>
      </c>
      <c r="AM26" s="102">
        <f t="shared" si="14"/>
        <v>6.9566101964071994</v>
      </c>
      <c r="AN26" s="211">
        <f>+AL26*(1+$AB$6)</f>
        <v>287620409.68990839</v>
      </c>
      <c r="AO26" s="102">
        <f t="shared" si="15"/>
        <v>6.8989007603887318</v>
      </c>
      <c r="AQ26" s="106"/>
      <c r="AR26" s="107"/>
      <c r="AS26" s="107"/>
      <c r="AT26" s="107"/>
      <c r="AU26" s="107"/>
      <c r="AV26" s="108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DU26" s="174"/>
      <c r="DV26" s="174"/>
      <c r="DW26" s="81"/>
    </row>
    <row r="27" spans="2:127" ht="15" customHeight="1">
      <c r="B27" s="80">
        <v>7122</v>
      </c>
      <c r="C27" s="100" t="str">
        <f>IF(MasterSheet!$A$1=1,MasterSheet!C83,MasterSheet!B83)</f>
        <v>Doprinosi za zdravstveno osiguranje</v>
      </c>
      <c r="D27" s="101">
        <v>110592983</v>
      </c>
      <c r="E27" s="102">
        <f t="shared" si="0"/>
        <v>5.1464927637395883</v>
      </c>
      <c r="F27" s="101">
        <v>125446267</v>
      </c>
      <c r="G27" s="102">
        <f t="shared" si="1"/>
        <v>4.6799577317664616</v>
      </c>
      <c r="H27" s="101">
        <v>115860488.59999999</v>
      </c>
      <c r="I27" s="102">
        <f t="shared" si="4"/>
        <v>3.7548771260046667</v>
      </c>
      <c r="J27" s="101">
        <v>97587762.519999996</v>
      </c>
      <c r="K27" s="102">
        <f t="shared" si="5"/>
        <v>3.2736585883931566</v>
      </c>
      <c r="L27" s="101">
        <v>129895634.22</v>
      </c>
      <c r="M27" s="102">
        <f t="shared" si="6"/>
        <v>4.1847820302835048</v>
      </c>
      <c r="N27" s="101">
        <v>120890439.24000001</v>
      </c>
      <c r="O27" s="102">
        <f t="shared" si="7"/>
        <v>3.7381088200371062</v>
      </c>
      <c r="P27" s="211">
        <v>125738855</v>
      </c>
      <c r="Q27" s="102">
        <f t="shared" si="8"/>
        <v>3.9929772943791679</v>
      </c>
      <c r="R27" s="211">
        <v>133924915.28862786</v>
      </c>
      <c r="S27" s="102">
        <f t="shared" si="2"/>
        <v>4.2529347503533783</v>
      </c>
      <c r="T27" s="211">
        <v>134703897.09</v>
      </c>
      <c r="U27" s="102">
        <f t="shared" si="3"/>
        <v>4.038014313936686</v>
      </c>
      <c r="V27" s="211">
        <v>138667298.82084399</v>
      </c>
      <c r="W27" s="102">
        <f t="shared" si="9"/>
        <v>3.9437176201106214</v>
      </c>
      <c r="X27" s="210"/>
      <c r="Y27" s="210">
        <v>1394260.65</v>
      </c>
      <c r="Z27" s="253">
        <f t="shared" si="16"/>
        <v>529048.55222600698</v>
      </c>
      <c r="AA27" s="253">
        <f t="shared" si="17"/>
        <v>4492450.283069998</v>
      </c>
      <c r="AB27" s="211">
        <f>+T27*(1+$W$6)+X27+Y27</f>
        <v>139196347.37307</v>
      </c>
      <c r="AC27" s="102">
        <f t="shared" si="10"/>
        <v>3.9587638358734543</v>
      </c>
      <c r="AD27" s="211">
        <f>+V27*1.035</f>
        <v>143520654.27957353</v>
      </c>
      <c r="AE27" s="102">
        <f t="shared" si="11"/>
        <v>3.8663898236378635</v>
      </c>
      <c r="AF27" s="212"/>
      <c r="AG27" s="211">
        <f>+AB27*(1+$X$6)+AF27</f>
        <v>142885050.57845634</v>
      </c>
      <c r="AH27" s="102">
        <f t="shared" si="12"/>
        <v>3.849266910603486</v>
      </c>
      <c r="AI27" s="211">
        <f>+AD27*1.04</f>
        <v>149261480.45075649</v>
      </c>
      <c r="AJ27" s="102">
        <f t="shared" si="13"/>
        <v>3.7978818774636167</v>
      </c>
      <c r="AK27" s="212"/>
      <c r="AL27" s="211">
        <f>+AG27*(1+$Y$6)+AK27</f>
        <v>149314877.85448685</v>
      </c>
      <c r="AM27" s="102">
        <f t="shared" si="14"/>
        <v>3.7992405470367627</v>
      </c>
      <c r="AN27" s="211">
        <f>+AL27*(1+$AB$6)</f>
        <v>157079251.50292018</v>
      </c>
      <c r="AO27" s="102">
        <f t="shared" si="15"/>
        <v>3.7677234685922616</v>
      </c>
      <c r="AQ27" s="106"/>
      <c r="AR27" s="107"/>
      <c r="AS27" s="107"/>
      <c r="AT27" s="107"/>
      <c r="AU27" s="107"/>
      <c r="AV27" s="108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DU27" s="174"/>
      <c r="DV27" s="174"/>
      <c r="DW27" s="81"/>
    </row>
    <row r="28" spans="2:127" ht="15" customHeight="1">
      <c r="B28" s="80">
        <v>7123</v>
      </c>
      <c r="C28" s="100" t="str">
        <f>IF(MasterSheet!$A$1=1,MasterSheet!C84,MasterSheet!B84)</f>
        <v>Doprinosi za osiguranje od nezaposlenosti</v>
      </c>
      <c r="D28" s="101">
        <v>6384379.9699999997</v>
      </c>
      <c r="E28" s="102">
        <f t="shared" si="0"/>
        <v>0.29709991018660709</v>
      </c>
      <c r="F28" s="101">
        <v>7824299.6800000006</v>
      </c>
      <c r="G28" s="102">
        <f t="shared" si="1"/>
        <v>0.29189702219735131</v>
      </c>
      <c r="H28" s="101">
        <v>10201238.92</v>
      </c>
      <c r="I28" s="102">
        <f t="shared" si="4"/>
        <v>0.33060795047964742</v>
      </c>
      <c r="J28" s="101">
        <v>10445930.57</v>
      </c>
      <c r="K28" s="102">
        <f t="shared" si="5"/>
        <v>0.35041699329084197</v>
      </c>
      <c r="L28" s="101">
        <v>10149691.789999999</v>
      </c>
      <c r="M28" s="102">
        <f t="shared" si="6"/>
        <v>0.32698749323453608</v>
      </c>
      <c r="N28" s="101">
        <v>10764704.380000001</v>
      </c>
      <c r="O28" s="102">
        <f t="shared" si="7"/>
        <v>0.33286037043908479</v>
      </c>
      <c r="P28" s="211">
        <v>9987592.2599999998</v>
      </c>
      <c r="Q28" s="102">
        <f t="shared" si="8"/>
        <v>0.31716710892346772</v>
      </c>
      <c r="R28" s="211">
        <v>11220074.127307797</v>
      </c>
      <c r="S28" s="102">
        <f t="shared" si="2"/>
        <v>0.35630594243594149</v>
      </c>
      <c r="T28" s="211">
        <v>10770190.189999999</v>
      </c>
      <c r="U28" s="102">
        <f t="shared" si="3"/>
        <v>0.32285763879558199</v>
      </c>
      <c r="V28" s="211">
        <v>11617385.520490499</v>
      </c>
      <c r="W28" s="102">
        <f t="shared" si="9"/>
        <v>0.33040008975706336</v>
      </c>
      <c r="X28" s="210">
        <v>300000</v>
      </c>
      <c r="Y28" s="210">
        <v>116809.54</v>
      </c>
      <c r="Z28" s="253">
        <f t="shared" si="16"/>
        <v>-182671.41612050124</v>
      </c>
      <c r="AA28" s="253">
        <f t="shared" si="17"/>
        <v>664523.9143699985</v>
      </c>
      <c r="AB28" s="211">
        <f>+T28*(1+$W$6)+X28+Y28</f>
        <v>11434714.104369998</v>
      </c>
      <c r="AC28" s="102">
        <f t="shared" si="10"/>
        <v>0.3252048888079504</v>
      </c>
      <c r="AD28" s="211">
        <f>+V28*1.035</f>
        <v>12023994.013707666</v>
      </c>
      <c r="AE28" s="102">
        <f t="shared" si="11"/>
        <v>0.3239216566245719</v>
      </c>
      <c r="AF28" s="212"/>
      <c r="AG28" s="211">
        <f>+AB28*(1+$X$6)+AF28</f>
        <v>11737734.028135803</v>
      </c>
      <c r="AH28" s="102">
        <f t="shared" si="12"/>
        <v>0.31620992551043015</v>
      </c>
      <c r="AI28" s="211">
        <f>+AD28*1.04</f>
        <v>12504953.774255972</v>
      </c>
      <c r="AJ28" s="102">
        <f t="shared" si="13"/>
        <v>0.31818214032411002</v>
      </c>
      <c r="AK28" s="212"/>
      <c r="AL28" s="211">
        <f>+AG28*(1+$Y$6)+AK28</f>
        <v>12265932.059401913</v>
      </c>
      <c r="AM28" s="102">
        <f t="shared" si="14"/>
        <v>0.31210035528202745</v>
      </c>
      <c r="AN28" s="211">
        <f>+AL28*(1+$AB$6)</f>
        <v>12903760.526490813</v>
      </c>
      <c r="AO28" s="102">
        <f t="shared" si="15"/>
        <v>0.30951128747802853</v>
      </c>
      <c r="AQ28" s="106"/>
      <c r="AR28" s="107"/>
      <c r="AS28" s="104"/>
      <c r="AT28" s="104"/>
      <c r="AU28" s="104"/>
      <c r="AV28" s="108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DU28" s="174"/>
      <c r="DV28" s="174"/>
      <c r="DW28" s="81"/>
    </row>
    <row r="29" spans="2:127" ht="15" customHeight="1">
      <c r="B29" s="80">
        <v>7124</v>
      </c>
      <c r="C29" s="100" t="str">
        <f>IF(MasterSheet!$A$1=1,MasterSheet!C85,MasterSheet!B85)</f>
        <v>Ostali doprinosi</v>
      </c>
      <c r="D29" s="101"/>
      <c r="E29" s="102">
        <f t="shared" si="0"/>
        <v>0</v>
      </c>
      <c r="F29" s="101"/>
      <c r="G29" s="102">
        <f t="shared" si="1"/>
        <v>0</v>
      </c>
      <c r="H29" s="101"/>
      <c r="I29" s="102">
        <f t="shared" si="4"/>
        <v>0</v>
      </c>
      <c r="J29" s="101"/>
      <c r="K29" s="102">
        <f t="shared" si="5"/>
        <v>0</v>
      </c>
      <c r="L29" s="101">
        <v>6215554.0999999996</v>
      </c>
      <c r="M29" s="102">
        <f t="shared" si="6"/>
        <v>0.20024336662371134</v>
      </c>
      <c r="N29" s="101">
        <v>8470089.0300000012</v>
      </c>
      <c r="O29" s="102">
        <f t="shared" si="7"/>
        <v>0.26190751484230057</v>
      </c>
      <c r="P29" s="211">
        <v>10022287.07</v>
      </c>
      <c r="Q29" s="102">
        <f t="shared" si="8"/>
        <v>0.3182688812321372</v>
      </c>
      <c r="R29" s="211">
        <v>12223257.77147427</v>
      </c>
      <c r="S29" s="102">
        <f t="shared" si="2"/>
        <v>0.38816315565177106</v>
      </c>
      <c r="T29" s="211">
        <v>11070841.180000002</v>
      </c>
      <c r="U29" s="102">
        <f t="shared" si="3"/>
        <v>0.33187024368189877</v>
      </c>
      <c r="V29" s="209">
        <v>12656092.6657611</v>
      </c>
      <c r="W29" s="102">
        <f t="shared" si="9"/>
        <v>0.3599410680971038</v>
      </c>
      <c r="X29" s="210">
        <v>600000</v>
      </c>
      <c r="Y29" s="210">
        <v>127253.45</v>
      </c>
      <c r="Z29" s="253">
        <f t="shared" si="16"/>
        <v>-603368.68862110004</v>
      </c>
      <c r="AA29" s="253">
        <f t="shared" si="17"/>
        <v>981882.79713999853</v>
      </c>
      <c r="AB29" s="211">
        <f>+T29*(1+$W$6)+X29+Y29</f>
        <v>12052723.97714</v>
      </c>
      <c r="AC29" s="102">
        <f t="shared" si="10"/>
        <v>0.34278117712805589</v>
      </c>
      <c r="AD29" s="211">
        <f>+V29*1.035</f>
        <v>13099055.909062738</v>
      </c>
      <c r="AE29" s="102">
        <f t="shared" si="11"/>
        <v>0.35288340009519981</v>
      </c>
      <c r="AF29" s="212"/>
      <c r="AG29" s="211">
        <f>+AB29*(1+$X$6)+AF29</f>
        <v>12372121.162534209</v>
      </c>
      <c r="AH29" s="102">
        <f t="shared" si="12"/>
        <v>0.33330006471720119</v>
      </c>
      <c r="AI29" s="211">
        <f>+AD29*1.04</f>
        <v>13623018.145425247</v>
      </c>
      <c r="AJ29" s="102">
        <f t="shared" si="13"/>
        <v>0.34663071526975686</v>
      </c>
      <c r="AK29" s="212"/>
      <c r="AL29" s="211">
        <f>+AG29*(1+$Y$6)+AK29</f>
        <v>12928866.614848247</v>
      </c>
      <c r="AM29" s="102">
        <f t="shared" si="14"/>
        <v>0.32896838530873401</v>
      </c>
      <c r="AN29" s="211">
        <f>+AL29*(1+$AB$6)</f>
        <v>13601167.678820357</v>
      </c>
      <c r="AO29" s="102">
        <f t="shared" si="15"/>
        <v>0.3262393866372435</v>
      </c>
      <c r="AQ29" s="106"/>
      <c r="AR29" s="107"/>
      <c r="AS29" s="104"/>
      <c r="AT29" s="104"/>
      <c r="AU29" s="104"/>
      <c r="AV29" s="108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DU29" s="81"/>
      <c r="DV29" s="81"/>
      <c r="DW29" s="81"/>
    </row>
    <row r="30" spans="2:127" ht="15" customHeight="1">
      <c r="B30" s="80">
        <v>713</v>
      </c>
      <c r="C30" s="94" t="str">
        <f>IF(MasterSheet!$A$1=1,MasterSheet!C86,MasterSheet!B86)</f>
        <v>Takse</v>
      </c>
      <c r="D30" s="95">
        <f>SUM(D31:D34)</f>
        <v>15777845.709999993</v>
      </c>
      <c r="E30" s="98">
        <f t="shared" si="0"/>
        <v>0.73422894085345958</v>
      </c>
      <c r="F30" s="95">
        <f>SUM(F31:F34)</f>
        <v>21847073.970000003</v>
      </c>
      <c r="G30" s="98">
        <f t="shared" si="1"/>
        <v>0.81503726804700616</v>
      </c>
      <c r="H30" s="95">
        <f>SUM(H31:H34)</f>
        <v>26594093.5</v>
      </c>
      <c r="I30" s="98">
        <f t="shared" si="4"/>
        <v>0.86187754407570649</v>
      </c>
      <c r="J30" s="95">
        <f>SUM(J31:J34)</f>
        <v>22516562.169999998</v>
      </c>
      <c r="K30" s="98">
        <f t="shared" si="5"/>
        <v>0.75533586615229786</v>
      </c>
      <c r="L30" s="95">
        <f>SUM(L31:L34)</f>
        <v>20544226.239999998</v>
      </c>
      <c r="M30" s="98">
        <f t="shared" si="6"/>
        <v>0.66186295876288659</v>
      </c>
      <c r="N30" s="95">
        <f>SUM(N31:N34)</f>
        <v>16011669.92</v>
      </c>
      <c r="O30" s="98">
        <f t="shared" si="7"/>
        <v>0.49510420284477424</v>
      </c>
      <c r="P30" s="207">
        <f>SUM(P31:P34)</f>
        <v>17998206.289999999</v>
      </c>
      <c r="Q30" s="98">
        <f t="shared" si="8"/>
        <v>0.57155307367418229</v>
      </c>
      <c r="R30" s="207">
        <f>SUM(R31:R34)</f>
        <v>29066769.356451273</v>
      </c>
      <c r="S30" s="98">
        <f t="shared" si="2"/>
        <v>0.92304761373297151</v>
      </c>
      <c r="T30" s="207">
        <f>SUM(T31:T34)</f>
        <v>27069458</v>
      </c>
      <c r="U30" s="98">
        <f t="shared" si="3"/>
        <v>0.81146025642804165</v>
      </c>
      <c r="V30" s="207">
        <v>20923047.198280636</v>
      </c>
      <c r="W30" s="98">
        <f t="shared" si="9"/>
        <v>0.59505442598166625</v>
      </c>
      <c r="X30" s="96"/>
      <c r="Y30" s="96"/>
      <c r="Z30" s="254">
        <f t="shared" si="16"/>
        <v>-1000000</v>
      </c>
      <c r="AA30" s="254">
        <f t="shared" si="17"/>
        <v>-7146410.8017193638</v>
      </c>
      <c r="AB30" s="207">
        <f>SUM(AB31:AB34)</f>
        <v>19923047.198280636</v>
      </c>
      <c r="AC30" s="98">
        <f t="shared" si="10"/>
        <v>0.56661428433582772</v>
      </c>
      <c r="AD30" s="207">
        <f>SUM(AD31:AD34)</f>
        <v>13310738.614229057</v>
      </c>
      <c r="AE30" s="98">
        <f t="shared" si="11"/>
        <v>0.35858604868751237</v>
      </c>
      <c r="AF30" s="208"/>
      <c r="AG30" s="207">
        <f>SUM(AG31:AG34)</f>
        <v>20451007.949035071</v>
      </c>
      <c r="AH30" s="98">
        <f t="shared" si="12"/>
        <v>0.55094208853909921</v>
      </c>
      <c r="AI30" s="207">
        <f>SUM(AI31:AI34)</f>
        <v>13710060.772655927</v>
      </c>
      <c r="AJ30" s="98">
        <f t="shared" si="13"/>
        <v>0.34884547031257102</v>
      </c>
      <c r="AK30" s="208"/>
      <c r="AL30" s="207">
        <f>SUM(AL31:AL34)</f>
        <v>21371303.306741647</v>
      </c>
      <c r="AM30" s="98">
        <f t="shared" si="14"/>
        <v>0.54378186040590748</v>
      </c>
      <c r="AN30" s="207">
        <f>SUM(AN31:AN34)</f>
        <v>22482611.078692216</v>
      </c>
      <c r="AO30" s="98">
        <f t="shared" si="15"/>
        <v>0.53927084949756254</v>
      </c>
      <c r="AQ30" s="106"/>
      <c r="AR30" s="107"/>
      <c r="AS30" s="104"/>
      <c r="AT30" s="104"/>
      <c r="AU30" s="104"/>
      <c r="AV30" s="108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DU30" s="81"/>
      <c r="DV30" s="81"/>
      <c r="DW30" s="81"/>
    </row>
    <row r="31" spans="2:127" ht="15" customHeight="1">
      <c r="B31" s="80">
        <v>7131</v>
      </c>
      <c r="C31" s="100" t="str">
        <f>IF(MasterSheet!$A$1=1,MasterSheet!C87,MasterSheet!B87)</f>
        <v>Administrativne takse</v>
      </c>
      <c r="D31" s="101">
        <v>7506509.4799999958</v>
      </c>
      <c r="E31" s="102">
        <f t="shared" si="0"/>
        <v>0.34931869700777124</v>
      </c>
      <c r="F31" s="101">
        <v>9153048.3600000013</v>
      </c>
      <c r="G31" s="102">
        <f t="shared" si="1"/>
        <v>0.34146794851706774</v>
      </c>
      <c r="H31" s="101">
        <v>18319319.420000002</v>
      </c>
      <c r="I31" s="102">
        <f t="shared" si="4"/>
        <v>0.59370363689395911</v>
      </c>
      <c r="J31" s="101">
        <v>14744246.369999999</v>
      </c>
      <c r="K31" s="102">
        <f t="shared" si="5"/>
        <v>0.49460739248574298</v>
      </c>
      <c r="L31" s="101">
        <v>13257206.299999997</v>
      </c>
      <c r="M31" s="102">
        <f t="shared" si="6"/>
        <v>0.42710071842783498</v>
      </c>
      <c r="N31" s="101">
        <v>10724280.77</v>
      </c>
      <c r="O31" s="102">
        <f t="shared" si="7"/>
        <v>0.33161041341991337</v>
      </c>
      <c r="P31" s="211">
        <v>8544481.8000000007</v>
      </c>
      <c r="Q31" s="102">
        <f t="shared" si="8"/>
        <v>0.27133953000952682</v>
      </c>
      <c r="R31" s="211">
        <v>8766628.5488016624</v>
      </c>
      <c r="S31" s="102">
        <f t="shared" si="2"/>
        <v>0.27839404727855388</v>
      </c>
      <c r="T31" s="211">
        <v>7881462.9399999995</v>
      </c>
      <c r="U31" s="102">
        <f t="shared" si="3"/>
        <v>0.23626235657620134</v>
      </c>
      <c r="V31" s="211">
        <v>8144616.5029747505</v>
      </c>
      <c r="W31" s="102">
        <f t="shared" si="9"/>
        <v>0.23163404699563594</v>
      </c>
      <c r="X31" s="210"/>
      <c r="Y31" s="210"/>
      <c r="Z31" s="253">
        <f t="shared" si="16"/>
        <v>0</v>
      </c>
      <c r="AA31" s="253">
        <f t="shared" si="17"/>
        <v>263153.562974751</v>
      </c>
      <c r="AB31" s="211">
        <f>+V31+X31+Y31</f>
        <v>8144616.5029747505</v>
      </c>
      <c r="AC31" s="102">
        <f t="shared" si="10"/>
        <v>0.23163404699563594</v>
      </c>
      <c r="AD31" s="211">
        <f>+V31*1.03</f>
        <v>8388954.9980639927</v>
      </c>
      <c r="AE31" s="102">
        <f t="shared" si="11"/>
        <v>0.22599513915459413</v>
      </c>
      <c r="AF31" s="212"/>
      <c r="AG31" s="211">
        <f>+AB31*(1+$X$6)+AF31</f>
        <v>8360448.8403035812</v>
      </c>
      <c r="AH31" s="102">
        <f t="shared" si="12"/>
        <v>0.22522719450698142</v>
      </c>
      <c r="AI31" s="211">
        <f>+AD31*1.03</f>
        <v>8640623.6480059121</v>
      </c>
      <c r="AJ31" s="102">
        <f t="shared" si="13"/>
        <v>0.21985624062982348</v>
      </c>
      <c r="AK31" s="212"/>
      <c r="AL31" s="211">
        <f>+AG31*(1+$Y$6)+AK31</f>
        <v>8736669.0381172411</v>
      </c>
      <c r="AM31" s="102">
        <f t="shared" si="14"/>
        <v>0.22230006636045521</v>
      </c>
      <c r="AN31" s="211">
        <f>+AL31*(1+$AB$6)</f>
        <v>9190975.8280993383</v>
      </c>
      <c r="AO31" s="102">
        <f t="shared" si="15"/>
        <v>0.22045594816289468</v>
      </c>
      <c r="AQ31" s="106"/>
      <c r="AR31" s="107"/>
      <c r="AS31" s="104"/>
      <c r="AT31" s="104"/>
      <c r="AU31" s="104"/>
      <c r="AV31" s="108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DU31" s="81"/>
      <c r="DV31" s="81"/>
      <c r="DW31" s="81"/>
    </row>
    <row r="32" spans="2:127" ht="15" customHeight="1">
      <c r="B32" s="80">
        <v>7132</v>
      </c>
      <c r="C32" s="100" t="str">
        <f>IF(MasterSheet!$A$1=1,MasterSheet!C88,MasterSheet!B88)</f>
        <v>Sudske takse</v>
      </c>
      <c r="D32" s="101">
        <v>6027790.6899999976</v>
      </c>
      <c r="E32" s="102">
        <f t="shared" si="0"/>
        <v>0.28050587230676149</v>
      </c>
      <c r="F32" s="101">
        <v>8663338.5800000001</v>
      </c>
      <c r="G32" s="102">
        <f t="shared" si="1"/>
        <v>0.32319860399179257</v>
      </c>
      <c r="H32" s="101">
        <v>7688705.0099999998</v>
      </c>
      <c r="I32" s="102">
        <f t="shared" si="4"/>
        <v>0.24918022459165154</v>
      </c>
      <c r="J32" s="101">
        <v>6834686.9299999997</v>
      </c>
      <c r="K32" s="102">
        <f t="shared" si="5"/>
        <v>0.22927497249245221</v>
      </c>
      <c r="L32" s="101">
        <v>6236916.9700000007</v>
      </c>
      <c r="M32" s="102">
        <f t="shared" si="6"/>
        <v>0.20093160341494845</v>
      </c>
      <c r="N32" s="101">
        <v>3918273.44</v>
      </c>
      <c r="O32" s="102">
        <f t="shared" si="7"/>
        <v>0.12115873345701918</v>
      </c>
      <c r="P32" s="211">
        <v>3475076.76</v>
      </c>
      <c r="Q32" s="102">
        <f t="shared" si="8"/>
        <v>0.11035493045411242</v>
      </c>
      <c r="R32" s="211">
        <v>3555464.5495234667</v>
      </c>
      <c r="S32" s="102">
        <f t="shared" si="2"/>
        <v>0.11290773418620093</v>
      </c>
      <c r="T32" s="211">
        <v>4557791.26</v>
      </c>
      <c r="U32" s="102">
        <f t="shared" si="3"/>
        <v>0.13662875941531916</v>
      </c>
      <c r="V32" s="211">
        <v>3676083.5729169641</v>
      </c>
      <c r="W32" s="102">
        <f t="shared" si="9"/>
        <v>0.10454833751569864</v>
      </c>
      <c r="X32" s="210">
        <v>1500000</v>
      </c>
      <c r="Y32" s="210"/>
      <c r="Z32" s="253">
        <f t="shared" si="16"/>
        <v>1500000</v>
      </c>
      <c r="AA32" s="253">
        <f t="shared" si="17"/>
        <v>618292.31291696429</v>
      </c>
      <c r="AB32" s="211">
        <f>+V32+X32+Y32</f>
        <v>5176083.5729169641</v>
      </c>
      <c r="AC32" s="102">
        <f t="shared" si="10"/>
        <v>0.14720854998445643</v>
      </c>
      <c r="AD32" s="211">
        <f>+V32*1.03</f>
        <v>3786366.080104473</v>
      </c>
      <c r="AE32" s="102">
        <f t="shared" si="11"/>
        <v>0.1020032089051526</v>
      </c>
      <c r="AF32" s="212"/>
      <c r="AG32" s="211">
        <f>+AB32*(1+$X$6)+AF32</f>
        <v>5313249.7875992637</v>
      </c>
      <c r="AH32" s="102">
        <f t="shared" si="12"/>
        <v>0.14313685380225871</v>
      </c>
      <c r="AI32" s="211">
        <f>+AD32*1.03</f>
        <v>3899957.0625076075</v>
      </c>
      <c r="AJ32" s="102">
        <f t="shared" si="13"/>
        <v>9.9232408829486557E-2</v>
      </c>
      <c r="AK32" s="212"/>
      <c r="AL32" s="211">
        <f>+AG32*(1+$Y$6)+AK32</f>
        <v>5552346.0280412305</v>
      </c>
      <c r="AM32" s="102">
        <f t="shared" si="14"/>
        <v>0.14127659925135097</v>
      </c>
      <c r="AN32" s="211">
        <f>+AL32*(1+$AB$6)</f>
        <v>5841068.0214993749</v>
      </c>
      <c r="AO32" s="102">
        <f t="shared" si="15"/>
        <v>0.14010462142950705</v>
      </c>
      <c r="AQ32" s="106"/>
      <c r="AR32" s="107"/>
      <c r="AS32" s="104"/>
      <c r="AT32" s="104"/>
      <c r="AU32" s="104"/>
      <c r="AV32" s="108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DU32" s="174"/>
      <c r="DV32" s="174"/>
      <c r="DW32" s="174"/>
    </row>
    <row r="33" spans="2:130" ht="15" customHeight="1">
      <c r="B33" s="80">
        <v>7133</v>
      </c>
      <c r="C33" s="100" t="str">
        <f>IF(MasterSheet!$A$1=1,MasterSheet!C89,MasterSheet!B89)</f>
        <v>Boravišne takse</v>
      </c>
      <c r="D33" s="101">
        <v>365979.02</v>
      </c>
      <c r="E33" s="102">
        <f t="shared" si="0"/>
        <v>1.7030993531574296E-2</v>
      </c>
      <c r="F33" s="101">
        <v>564651.91</v>
      </c>
      <c r="G33" s="102">
        <f t="shared" si="1"/>
        <v>2.1065171050177207E-2</v>
      </c>
      <c r="H33" s="101">
        <v>544318.97</v>
      </c>
      <c r="I33" s="102">
        <f t="shared" si="4"/>
        <v>1.76406199766658E-2</v>
      </c>
      <c r="J33" s="101">
        <v>409061.18</v>
      </c>
      <c r="K33" s="102">
        <f t="shared" si="5"/>
        <v>1.3722280442804427E-2</v>
      </c>
      <c r="L33" s="101">
        <v>449587.51</v>
      </c>
      <c r="M33" s="102">
        <f t="shared" si="6"/>
        <v>1.4484133698453607E-2</v>
      </c>
      <c r="N33" s="101">
        <v>553959.80999999994</v>
      </c>
      <c r="O33" s="102">
        <f t="shared" si="7"/>
        <v>1.7129245825602966E-2</v>
      </c>
      <c r="P33" s="211">
        <v>491975.95</v>
      </c>
      <c r="Q33" s="102">
        <f t="shared" si="8"/>
        <v>1.5623243886948239E-2</v>
      </c>
      <c r="R33" s="211">
        <v>502511.14882618561</v>
      </c>
      <c r="S33" s="102">
        <f t="shared" si="2"/>
        <v>1.5957800851895382E-2</v>
      </c>
      <c r="T33" s="211">
        <v>767936.98999999987</v>
      </c>
      <c r="U33" s="102">
        <f t="shared" si="3"/>
        <v>2.3020422013103413E-2</v>
      </c>
      <c r="V33" s="211">
        <v>762511.44191594806</v>
      </c>
      <c r="W33" s="102">
        <f t="shared" si="9"/>
        <v>2.1685933414662142E-2</v>
      </c>
      <c r="X33" s="210"/>
      <c r="Y33" s="210"/>
      <c r="Z33" s="253">
        <f t="shared" si="16"/>
        <v>0</v>
      </c>
      <c r="AA33" s="253">
        <f t="shared" si="17"/>
        <v>-5425.5480840518139</v>
      </c>
      <c r="AB33" s="211">
        <f>+V33+X33+Y33</f>
        <v>762511.44191594806</v>
      </c>
      <c r="AC33" s="102">
        <f t="shared" si="10"/>
        <v>2.1685933414662142E-2</v>
      </c>
      <c r="AD33" s="211">
        <f>+V33*1.03</f>
        <v>785386.7851734265</v>
      </c>
      <c r="AE33" s="102">
        <f t="shared" si="11"/>
        <v>2.1158010246378711E-2</v>
      </c>
      <c r="AF33" s="212"/>
      <c r="AG33" s="211">
        <f>+AB33*(1+$X$6)+AF33</f>
        <v>782717.99512672063</v>
      </c>
      <c r="AH33" s="102">
        <f t="shared" si="12"/>
        <v>2.1086114095056063E-2</v>
      </c>
      <c r="AI33" s="211">
        <f>+AD33*1.03</f>
        <v>808948.38872862933</v>
      </c>
      <c r="AJ33" s="102">
        <f t="shared" si="13"/>
        <v>2.0583277186302911E-2</v>
      </c>
      <c r="AK33" s="212"/>
      <c r="AL33" s="211">
        <f>+AG33*(1+$Y$6)+AK33</f>
        <v>817940.30490742298</v>
      </c>
      <c r="AM33" s="102">
        <f t="shared" si="14"/>
        <v>2.0812071885350395E-2</v>
      </c>
      <c r="AN33" s="211">
        <f>+AL33*(1+$AB$6)</f>
        <v>860473.20076260902</v>
      </c>
      <c r="AO33" s="102">
        <f t="shared" si="15"/>
        <v>2.0639422721897244E-2</v>
      </c>
      <c r="AQ33" s="106"/>
      <c r="AR33" s="107"/>
      <c r="AS33" s="104"/>
      <c r="AT33" s="109"/>
      <c r="AU33" s="104"/>
      <c r="AV33" s="108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DU33" s="174"/>
      <c r="DV33" s="174"/>
      <c r="DW33" s="174"/>
    </row>
    <row r="34" spans="2:130" ht="15" customHeight="1">
      <c r="B34" s="80">
        <v>7136</v>
      </c>
      <c r="C34" s="100" t="str">
        <f>IF(MasterSheet!$A$1=1,MasterSheet!C90,MasterSheet!B90)</f>
        <v>Ostale takse</v>
      </c>
      <c r="D34" s="101">
        <v>1877566.52</v>
      </c>
      <c r="E34" s="102">
        <f t="shared" si="0"/>
        <v>8.7373378007352592E-2</v>
      </c>
      <c r="F34" s="101">
        <v>3466035.12</v>
      </c>
      <c r="G34" s="102">
        <f t="shared" si="1"/>
        <v>0.12930554448796866</v>
      </c>
      <c r="H34" s="101">
        <v>41750.1</v>
      </c>
      <c r="I34" s="102">
        <f t="shared" si="4"/>
        <v>1.3530626134301269E-3</v>
      </c>
      <c r="J34" s="101">
        <v>528567.68999999994</v>
      </c>
      <c r="K34" s="102">
        <f t="shared" si="5"/>
        <v>1.7731220731298222E-2</v>
      </c>
      <c r="L34" s="101">
        <v>600515.46</v>
      </c>
      <c r="M34" s="102">
        <f t="shared" si="6"/>
        <v>1.9346503221649484E-2</v>
      </c>
      <c r="N34" s="101">
        <v>815155.9</v>
      </c>
      <c r="O34" s="102">
        <f t="shared" si="7"/>
        <v>2.5205810142238712E-2</v>
      </c>
      <c r="P34" s="209">
        <v>5486671.7800000003</v>
      </c>
      <c r="Q34" s="102">
        <f t="shared" si="8"/>
        <v>0.17423536932359479</v>
      </c>
      <c r="R34" s="209">
        <v>16242165.10929996</v>
      </c>
      <c r="S34" s="102">
        <f t="shared" si="2"/>
        <v>0.51578803141632135</v>
      </c>
      <c r="T34" s="209">
        <v>13862266.809999999</v>
      </c>
      <c r="U34" s="102">
        <f t="shared" si="3"/>
        <v>0.41554871842341756</v>
      </c>
      <c r="V34" s="209">
        <v>8339835.6804729737</v>
      </c>
      <c r="W34" s="102">
        <f t="shared" si="9"/>
        <v>0.23718610805566953</v>
      </c>
      <c r="X34" s="210">
        <v>-2500000</v>
      </c>
      <c r="Y34" s="210"/>
      <c r="Z34" s="253">
        <f t="shared" si="16"/>
        <v>-2500000</v>
      </c>
      <c r="AA34" s="253">
        <f t="shared" si="17"/>
        <v>-8022431.1295270249</v>
      </c>
      <c r="AB34" s="209">
        <f>+V34+X34+Y34</f>
        <v>5839835.6804729737</v>
      </c>
      <c r="AC34" s="102">
        <f t="shared" si="10"/>
        <v>0.16608575394107319</v>
      </c>
      <c r="AD34" s="211">
        <f>+(V34-8000000)*1.03</f>
        <v>350030.75088716298</v>
      </c>
      <c r="AE34" s="102">
        <f t="shared" si="11"/>
        <v>9.4296903813868866E-3</v>
      </c>
      <c r="AF34" s="212"/>
      <c r="AG34" s="211">
        <f>+AB34*(1+$X$6)+AF34</f>
        <v>5994591.3260055073</v>
      </c>
      <c r="AH34" s="102">
        <f t="shared" si="12"/>
        <v>0.16149192613480309</v>
      </c>
      <c r="AI34" s="209">
        <f>+AD34*1.03</f>
        <v>360531.6734137779</v>
      </c>
      <c r="AJ34" s="102">
        <f t="shared" si="13"/>
        <v>9.1735436669580384E-3</v>
      </c>
      <c r="AK34" s="212"/>
      <c r="AL34" s="211">
        <f>+AG34*(1+$Y$6)+AK34</f>
        <v>6264347.9356757542</v>
      </c>
      <c r="AM34" s="102">
        <f t="shared" si="14"/>
        <v>0.15939312290875102</v>
      </c>
      <c r="AN34" s="211">
        <f>+AL34*(1+$AB$6)</f>
        <v>6590094.0283308933</v>
      </c>
      <c r="AO34" s="102">
        <f t="shared" si="15"/>
        <v>0.15807085718326347</v>
      </c>
      <c r="AQ34" s="106"/>
      <c r="AR34" s="107"/>
      <c r="AS34" s="104"/>
      <c r="AT34" s="104"/>
      <c r="AU34" s="104"/>
      <c r="AV34" s="108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DU34" s="174"/>
      <c r="DV34" s="174"/>
      <c r="DW34" s="174"/>
    </row>
    <row r="35" spans="2:130" ht="15" customHeight="1">
      <c r="B35" s="80">
        <v>714</v>
      </c>
      <c r="C35" s="94" t="str">
        <f>IF(MasterSheet!$A$1=1,MasterSheet!C91,MasterSheet!B91)</f>
        <v>Naknade</v>
      </c>
      <c r="D35" s="95">
        <f>SUM(D36:D41)</f>
        <v>17868340.149999995</v>
      </c>
      <c r="E35" s="98">
        <f t="shared" si="0"/>
        <v>0.83151101261110316</v>
      </c>
      <c r="F35" s="95">
        <f>SUM(F36:F41)</f>
        <v>22895117.909999996</v>
      </c>
      <c r="G35" s="98">
        <f t="shared" si="1"/>
        <v>0.85413609065472851</v>
      </c>
      <c r="H35" s="95">
        <f>SUM(H36:H41)</f>
        <v>38239154.099999994</v>
      </c>
      <c r="I35" s="98">
        <f t="shared" si="4"/>
        <v>1.2392777450090742</v>
      </c>
      <c r="J35" s="95">
        <f>SUM(J36:J41)</f>
        <v>28332415.080000002</v>
      </c>
      <c r="K35" s="98">
        <f t="shared" si="5"/>
        <v>0.95043324656155659</v>
      </c>
      <c r="L35" s="95">
        <f>SUM(L36:L41)</f>
        <v>27428633.469999999</v>
      </c>
      <c r="M35" s="98">
        <f t="shared" si="6"/>
        <v>0.88365442880154643</v>
      </c>
      <c r="N35" s="95">
        <f>SUM(N36:N41)</f>
        <v>25699255.23</v>
      </c>
      <c r="O35" s="98">
        <f t="shared" si="7"/>
        <v>0.79465847959183677</v>
      </c>
      <c r="P35" s="207">
        <f>SUM(P36:P41)</f>
        <v>12706115.310000001</v>
      </c>
      <c r="Q35" s="98">
        <f t="shared" si="8"/>
        <v>0.40349683423308985</v>
      </c>
      <c r="R35" s="207">
        <f>SUM(R36:R41)</f>
        <v>13858592.542606134</v>
      </c>
      <c r="S35" s="98">
        <f t="shared" si="2"/>
        <v>0.44009503152131263</v>
      </c>
      <c r="T35" s="207">
        <f>SUM(T36:T41)</f>
        <v>13233490.18</v>
      </c>
      <c r="U35" s="98">
        <f t="shared" si="3"/>
        <v>0.39669990196703492</v>
      </c>
      <c r="V35" s="207">
        <v>13024243.76827177</v>
      </c>
      <c r="W35" s="98">
        <f t="shared" si="9"/>
        <v>0.37041133759957889</v>
      </c>
      <c r="X35" s="96"/>
      <c r="Y35" s="96"/>
      <c r="Z35" s="254">
        <f t="shared" si="16"/>
        <v>-300000</v>
      </c>
      <c r="AA35" s="254">
        <f t="shared" si="17"/>
        <v>-509246.41172822937</v>
      </c>
      <c r="AB35" s="207">
        <f>SUM(AB36:AB41)</f>
        <v>12724243.76827177</v>
      </c>
      <c r="AC35" s="98">
        <f t="shared" si="10"/>
        <v>0.36187929510582734</v>
      </c>
      <c r="AD35" s="207">
        <f>SUM(AD36:AD41)</f>
        <v>13414971.081319923</v>
      </c>
      <c r="AE35" s="98">
        <f t="shared" si="11"/>
        <v>0.36139403024302952</v>
      </c>
      <c r="AF35" s="208"/>
      <c r="AG35" s="207">
        <f>SUM(AG36:AG41)</f>
        <v>13061436.228130972</v>
      </c>
      <c r="AH35" s="98">
        <f t="shared" si="12"/>
        <v>0.35186994072760419</v>
      </c>
      <c r="AI35" s="207">
        <f>SUM(AI36:AI41)</f>
        <v>13817420.213759521</v>
      </c>
      <c r="AJ35" s="98">
        <f t="shared" si="13"/>
        <v>0.35157717627254559</v>
      </c>
      <c r="AK35" s="208"/>
      <c r="AL35" s="207">
        <f>SUM(AL36:AL41)</f>
        <v>13649200.858396865</v>
      </c>
      <c r="AM35" s="98">
        <f t="shared" si="14"/>
        <v>0.3472969209833639</v>
      </c>
      <c r="AN35" s="207">
        <f>SUM(AN36:AN41)</f>
        <v>14358959.303033501</v>
      </c>
      <c r="AO35" s="98">
        <f t="shared" si="15"/>
        <v>0.34441587563583942</v>
      </c>
      <c r="AQ35" s="106"/>
      <c r="AR35" s="107" t="s">
        <v>430</v>
      </c>
      <c r="AS35" s="104"/>
      <c r="AT35" s="104"/>
      <c r="AU35" s="104"/>
      <c r="AV35" s="108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DU35" s="174"/>
      <c r="DV35" s="174"/>
      <c r="DW35" s="174"/>
    </row>
    <row r="36" spans="2:130" ht="15" customHeight="1">
      <c r="B36" s="80">
        <v>7141</v>
      </c>
      <c r="C36" s="100" t="str">
        <f>IF(MasterSheet!$A$1=1,MasterSheet!C92,MasterSheet!B92)</f>
        <v>Naknade za korišćenje dobara od opšteg interesa</v>
      </c>
      <c r="D36" s="101">
        <v>1274186.23</v>
      </c>
      <c r="E36" s="102">
        <f t="shared" si="0"/>
        <v>5.9294812694867145E-2</v>
      </c>
      <c r="F36" s="101">
        <v>2986015.41</v>
      </c>
      <c r="G36" s="102">
        <f t="shared" si="1"/>
        <v>0.11139770229434809</v>
      </c>
      <c r="H36" s="101">
        <v>2856435.93</v>
      </c>
      <c r="I36" s="102">
        <f t="shared" si="4"/>
        <v>9.25731115504278E-2</v>
      </c>
      <c r="J36" s="101">
        <v>2890522.73</v>
      </c>
      <c r="K36" s="102">
        <f t="shared" si="5"/>
        <v>9.696486850050319E-2</v>
      </c>
      <c r="L36" s="101">
        <v>2020524.58</v>
      </c>
      <c r="M36" s="102">
        <f t="shared" si="6"/>
        <v>6.5094219716494844E-2</v>
      </c>
      <c r="N36" s="101">
        <v>1002041.9199999999</v>
      </c>
      <c r="O36" s="102">
        <f t="shared" si="7"/>
        <v>3.0984598639455779E-2</v>
      </c>
      <c r="P36" s="211">
        <v>563371.34</v>
      </c>
      <c r="Q36" s="102">
        <f t="shared" si="8"/>
        <v>1.7890483963162909E-2</v>
      </c>
      <c r="R36" s="211">
        <v>767516.73656893219</v>
      </c>
      <c r="S36" s="102">
        <f t="shared" si="2"/>
        <v>2.4373348255602799E-2</v>
      </c>
      <c r="T36" s="211">
        <v>647266.8600000001</v>
      </c>
      <c r="U36" s="102">
        <f t="shared" si="3"/>
        <v>1.9403097475870164E-2</v>
      </c>
      <c r="V36" s="211">
        <v>698651.48499726248</v>
      </c>
      <c r="W36" s="102">
        <f t="shared" si="9"/>
        <v>1.9869747194397578E-2</v>
      </c>
      <c r="X36" s="210"/>
      <c r="Y36" s="210"/>
      <c r="Z36" s="253">
        <f t="shared" si="16"/>
        <v>0</v>
      </c>
      <c r="AA36" s="253">
        <f t="shared" si="17"/>
        <v>51384.624997262377</v>
      </c>
      <c r="AB36" s="211">
        <f t="shared" ref="AB36:AB41" si="22">+V36+X36+Y36</f>
        <v>698651.48499726248</v>
      </c>
      <c r="AC36" s="102">
        <f t="shared" si="10"/>
        <v>1.9869747194397578E-2</v>
      </c>
      <c r="AD36" s="211">
        <f t="shared" ref="AD36:AD41" si="23">+V36*1.03</f>
        <v>719611.0295471804</v>
      </c>
      <c r="AE36" s="102">
        <f t="shared" si="11"/>
        <v>1.938603733089846E-2</v>
      </c>
      <c r="AF36" s="212"/>
      <c r="AG36" s="211">
        <f t="shared" ref="AG36:AG41" si="24">+AB36*(1+$X$6)+AF36</f>
        <v>717165.74934968993</v>
      </c>
      <c r="AH36" s="102">
        <f t="shared" si="12"/>
        <v>1.9320162446764339E-2</v>
      </c>
      <c r="AI36" s="211">
        <f t="shared" ref="AI36:AI41" si="25">+AD36*1.03</f>
        <v>741199.36043359584</v>
      </c>
      <c r="AJ36" s="102">
        <f t="shared" si="13"/>
        <v>1.8859437880941302E-2</v>
      </c>
      <c r="AK36" s="212"/>
      <c r="AL36" s="211">
        <f t="shared" ref="AL36:AL41" si="26">+AG36*(1+$Y$6)+AK36</f>
        <v>749438.2080704259</v>
      </c>
      <c r="AM36" s="102">
        <f t="shared" si="14"/>
        <v>1.9069071136866459E-2</v>
      </c>
      <c r="AN36" s="211">
        <f t="shared" ref="AN36:AN41" si="27">+AL36*(1+$AB$6)</f>
        <v>788408.9948900881</v>
      </c>
      <c r="AO36" s="102">
        <f t="shared" si="15"/>
        <v>1.8910881255640551E-2</v>
      </c>
      <c r="AQ36" s="106"/>
      <c r="AR36" s="107"/>
      <c r="AS36" s="105">
        <f>+AS19</f>
        <v>2013</v>
      </c>
      <c r="AT36" s="105" t="str">
        <f>+AT19</f>
        <v>Plan 2014</v>
      </c>
      <c r="AU36" s="105" t="str">
        <f>+AU19</f>
        <v>Procjena 2014</v>
      </c>
      <c r="AV36" s="170" t="str">
        <f>+AV19</f>
        <v>Procjena 2015</v>
      </c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DU36" s="174"/>
      <c r="DV36" s="174"/>
      <c r="DW36" s="174"/>
    </row>
    <row r="37" spans="2:130" ht="15" customHeight="1">
      <c r="B37" s="80">
        <v>7142</v>
      </c>
      <c r="C37" s="100" t="str">
        <f>IF(MasterSheet!$A$1=1,MasterSheet!C93,MasterSheet!B93)</f>
        <v>Naknade za korišćenje prirodnih dobara</v>
      </c>
      <c r="D37" s="101">
        <v>3521417.44</v>
      </c>
      <c r="E37" s="102">
        <f t="shared" si="0"/>
        <v>0.16387069849690539</v>
      </c>
      <c r="F37" s="101">
        <v>3729314.35</v>
      </c>
      <c r="G37" s="102">
        <f t="shared" si="1"/>
        <v>0.13912756388733447</v>
      </c>
      <c r="H37" s="101">
        <v>3925540.16</v>
      </c>
      <c r="I37" s="102">
        <f t="shared" si="4"/>
        <v>0.12722129115893183</v>
      </c>
      <c r="J37" s="101">
        <v>3661578.93</v>
      </c>
      <c r="K37" s="102">
        <f t="shared" si="5"/>
        <v>0.12283055786648776</v>
      </c>
      <c r="L37" s="101">
        <v>3239633.87</v>
      </c>
      <c r="M37" s="102">
        <f t="shared" si="6"/>
        <v>0.10436964787371135</v>
      </c>
      <c r="N37" s="101">
        <v>3009556.45</v>
      </c>
      <c r="O37" s="102">
        <f t="shared" si="7"/>
        <v>9.3059877860235007E-2</v>
      </c>
      <c r="P37" s="211">
        <v>1376923.26</v>
      </c>
      <c r="Q37" s="102">
        <f t="shared" si="8"/>
        <v>4.3725730708161319E-2</v>
      </c>
      <c r="R37" s="211">
        <v>1273375.6964537622</v>
      </c>
      <c r="S37" s="102">
        <f t="shared" si="2"/>
        <v>4.0437462573952435E-2</v>
      </c>
      <c r="T37" s="211">
        <v>1995183.6300000001</v>
      </c>
      <c r="U37" s="102">
        <f t="shared" si="3"/>
        <v>5.9809554370125591E-2</v>
      </c>
      <c r="V37" s="211">
        <v>1997965.7673730874</v>
      </c>
      <c r="W37" s="102">
        <f t="shared" si="9"/>
        <v>5.6822429427627073E-2</v>
      </c>
      <c r="X37" s="210"/>
      <c r="Y37" s="210"/>
      <c r="Z37" s="253">
        <f t="shared" si="16"/>
        <v>0</v>
      </c>
      <c r="AA37" s="253">
        <f t="shared" si="17"/>
        <v>2782.1373730872292</v>
      </c>
      <c r="AB37" s="211">
        <f t="shared" si="22"/>
        <v>1997965.7673730874</v>
      </c>
      <c r="AC37" s="102">
        <f t="shared" si="10"/>
        <v>5.6822429427627073E-2</v>
      </c>
      <c r="AD37" s="211">
        <f t="shared" si="23"/>
        <v>2057904.7403942801</v>
      </c>
      <c r="AE37" s="102">
        <f t="shared" si="11"/>
        <v>5.5439142095724064E-2</v>
      </c>
      <c r="AF37" s="212"/>
      <c r="AG37" s="211">
        <f t="shared" si="24"/>
        <v>2050911.8602084741</v>
      </c>
      <c r="AH37" s="102">
        <f t="shared" si="12"/>
        <v>5.5250756661418196E-2</v>
      </c>
      <c r="AI37" s="211">
        <f t="shared" si="25"/>
        <v>2119641.8826061087</v>
      </c>
      <c r="AJ37" s="102">
        <f t="shared" si="13"/>
        <v>5.3933201441871415E-2</v>
      </c>
      <c r="AK37" s="212"/>
      <c r="AL37" s="211">
        <f t="shared" si="26"/>
        <v>2143202.8939178553</v>
      </c>
      <c r="AM37" s="102">
        <f t="shared" si="14"/>
        <v>5.4532699300296583E-2</v>
      </c>
      <c r="AN37" s="211">
        <f t="shared" si="27"/>
        <v>2254649.4444015841</v>
      </c>
      <c r="AO37" s="102">
        <f t="shared" si="15"/>
        <v>5.4080316425256375E-2</v>
      </c>
      <c r="AQ37" s="106"/>
      <c r="AR37" s="107" t="s">
        <v>431</v>
      </c>
      <c r="AS37" s="110">
        <f>+T18+T19+T20+T25</f>
        <v>536192009.81</v>
      </c>
      <c r="AT37" s="110">
        <f>+V18+V19+V20+V25</f>
        <v>539775006.52807057</v>
      </c>
      <c r="AU37" s="110">
        <f>+AD18+AD19+AD20+AD25</f>
        <v>551414409.07318854</v>
      </c>
      <c r="AV37" s="110">
        <f>+AI18+AI19+AI20+AI25</f>
        <v>573455076.70838535</v>
      </c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DU37" s="174"/>
      <c r="DV37" s="174"/>
      <c r="DW37" s="174"/>
    </row>
    <row r="38" spans="2:130" ht="15" customHeight="1">
      <c r="B38" s="80">
        <v>7143</v>
      </c>
      <c r="C38" s="100" t="str">
        <f>IF(MasterSheet!$A$1=1,MasterSheet!C94,MasterSheet!B94)</f>
        <v>Ekološke naknade</v>
      </c>
      <c r="D38" s="101">
        <v>1902110.17</v>
      </c>
      <c r="E38" s="102">
        <f t="shared" si="0"/>
        <v>8.851552747917539E-2</v>
      </c>
      <c r="F38" s="101">
        <v>2195706.9700000002</v>
      </c>
      <c r="G38" s="102">
        <f t="shared" si="1"/>
        <v>8.1914082074239891E-2</v>
      </c>
      <c r="H38" s="101">
        <v>9210786.3699999992</v>
      </c>
      <c r="I38" s="102">
        <f t="shared" si="4"/>
        <v>0.2985087623152709</v>
      </c>
      <c r="J38" s="101">
        <v>9651406.9600000009</v>
      </c>
      <c r="K38" s="102">
        <f t="shared" si="5"/>
        <v>0.32376407111707484</v>
      </c>
      <c r="L38" s="101">
        <v>7609457.3499999996</v>
      </c>
      <c r="M38" s="102">
        <f t="shared" si="6"/>
        <v>0.24515004349226804</v>
      </c>
      <c r="N38" s="101">
        <v>7452842.79</v>
      </c>
      <c r="O38" s="102">
        <f t="shared" si="7"/>
        <v>0.23045277643784787</v>
      </c>
      <c r="P38" s="211">
        <v>654296.18000000005</v>
      </c>
      <c r="Q38" s="102">
        <f t="shared" si="8"/>
        <v>2.0777903461416322E-2</v>
      </c>
      <c r="R38" s="211">
        <v>906158.07444858248</v>
      </c>
      <c r="S38" s="102">
        <f t="shared" si="2"/>
        <v>2.8776058254956573E-2</v>
      </c>
      <c r="T38" s="211">
        <v>309851.25</v>
      </c>
      <c r="U38" s="102">
        <f t="shared" si="3"/>
        <v>9.2884007791936302E-3</v>
      </c>
      <c r="V38" s="211">
        <v>424373.88097611902</v>
      </c>
      <c r="W38" s="102">
        <f t="shared" si="9"/>
        <v>1.2069253285755047E-2</v>
      </c>
      <c r="X38" s="210"/>
      <c r="Y38" s="210"/>
      <c r="Z38" s="253">
        <f t="shared" si="16"/>
        <v>0</v>
      </c>
      <c r="AA38" s="253">
        <f t="shared" si="17"/>
        <v>114522.63097611902</v>
      </c>
      <c r="AB38" s="211">
        <f t="shared" si="22"/>
        <v>424373.88097611902</v>
      </c>
      <c r="AC38" s="102">
        <f t="shared" si="10"/>
        <v>1.2069253285755047E-2</v>
      </c>
      <c r="AD38" s="211">
        <f t="shared" si="23"/>
        <v>437105.09740540263</v>
      </c>
      <c r="AE38" s="102">
        <f t="shared" si="11"/>
        <v>1.1775438935613999E-2</v>
      </c>
      <c r="AF38" s="212"/>
      <c r="AG38" s="211">
        <f t="shared" si="24"/>
        <v>435619.78882198618</v>
      </c>
      <c r="AH38" s="102">
        <f t="shared" si="12"/>
        <v>1.1735425308162881E-2</v>
      </c>
      <c r="AI38" s="211">
        <f t="shared" si="25"/>
        <v>450218.25032756472</v>
      </c>
      <c r="AJ38" s="102">
        <f t="shared" si="13"/>
        <v>1.1455572654503777E-2</v>
      </c>
      <c r="AK38" s="212"/>
      <c r="AL38" s="211">
        <f t="shared" si="26"/>
        <v>455222.67931897554</v>
      </c>
      <c r="AM38" s="102">
        <f t="shared" si="14"/>
        <v>1.1582907785551221E-2</v>
      </c>
      <c r="AN38" s="211">
        <f t="shared" si="27"/>
        <v>478894.25864356227</v>
      </c>
      <c r="AO38" s="102">
        <f t="shared" si="15"/>
        <v>1.1486820315233666E-2</v>
      </c>
      <c r="AQ38" s="106"/>
      <c r="AR38" s="107" t="s">
        <v>432</v>
      </c>
      <c r="AS38" s="110">
        <f>+T21+T22+T23</f>
        <v>612909922.13999999</v>
      </c>
      <c r="AT38" s="110">
        <f>+V21+V22+V23</f>
        <v>650792972.7511394</v>
      </c>
      <c r="AU38" s="110">
        <f>+AD21+AD22+AD23</f>
        <v>673570726.7974292</v>
      </c>
      <c r="AV38" s="110">
        <f>+AI21+AI22+AI23</f>
        <v>700267894.95856714</v>
      </c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DU38" s="174"/>
      <c r="DV38" s="174"/>
      <c r="DW38" s="174"/>
      <c r="DX38" s="81"/>
      <c r="DY38" s="81"/>
    </row>
    <row r="39" spans="2:130" ht="15" customHeight="1">
      <c r="B39" s="80">
        <v>7144</v>
      </c>
      <c r="C39" s="100" t="str">
        <f>IF(MasterSheet!$A$1=1,MasterSheet!C95,MasterSheet!B95)</f>
        <v>Naknade za priređivanje igara na sreću</v>
      </c>
      <c r="D39" s="101">
        <v>3406245.76</v>
      </c>
      <c r="E39" s="102">
        <f t="shared" si="0"/>
        <v>0.15851113406859324</v>
      </c>
      <c r="F39" s="101">
        <v>4400291.1100000003</v>
      </c>
      <c r="G39" s="102">
        <f t="shared" si="1"/>
        <v>0.16415934004849844</v>
      </c>
      <c r="H39" s="101">
        <v>5175563.96</v>
      </c>
      <c r="I39" s="102">
        <f t="shared" si="4"/>
        <v>0.16773282214156079</v>
      </c>
      <c r="J39" s="101">
        <v>4679989.66</v>
      </c>
      <c r="K39" s="102">
        <f t="shared" si="5"/>
        <v>0.15699395035223079</v>
      </c>
      <c r="L39" s="101">
        <v>6380752.96</v>
      </c>
      <c r="M39" s="102">
        <f t="shared" si="6"/>
        <v>0.20556549484536082</v>
      </c>
      <c r="N39" s="101">
        <v>4180845.3600000003</v>
      </c>
      <c r="O39" s="102">
        <f t="shared" si="7"/>
        <v>0.12927784044526905</v>
      </c>
      <c r="P39" s="211">
        <v>3319092.83</v>
      </c>
      <c r="Q39" s="102">
        <f t="shared" si="8"/>
        <v>0.10540148713877422</v>
      </c>
      <c r="R39" s="211">
        <v>2899337.5332013466</v>
      </c>
      <c r="S39" s="102">
        <f t="shared" si="2"/>
        <v>9.207169047956007E-2</v>
      </c>
      <c r="T39" s="211">
        <v>3324177.16</v>
      </c>
      <c r="U39" s="102">
        <f t="shared" si="3"/>
        <v>9.9648749918296836E-2</v>
      </c>
      <c r="V39" s="211">
        <v>3266343.0516235088</v>
      </c>
      <c r="W39" s="102">
        <f t="shared" si="9"/>
        <v>9.2895259052073062E-2</v>
      </c>
      <c r="X39" s="210">
        <v>400000</v>
      </c>
      <c r="Y39" s="210"/>
      <c r="Z39" s="253">
        <f t="shared" si="16"/>
        <v>400000</v>
      </c>
      <c r="AA39" s="253">
        <f t="shared" si="17"/>
        <v>342165.89162350865</v>
      </c>
      <c r="AB39" s="211">
        <f t="shared" si="22"/>
        <v>3666343.0516235088</v>
      </c>
      <c r="AC39" s="102">
        <f t="shared" si="10"/>
        <v>0.10427131571040847</v>
      </c>
      <c r="AD39" s="211">
        <f t="shared" si="23"/>
        <v>3364333.343172214</v>
      </c>
      <c r="AE39" s="102">
        <f t="shared" si="11"/>
        <v>9.0633813416344841E-2</v>
      </c>
      <c r="AF39" s="212"/>
      <c r="AG39" s="211">
        <f t="shared" si="24"/>
        <v>3763501.1424915316</v>
      </c>
      <c r="AH39" s="102">
        <f t="shared" si="12"/>
        <v>0.10138723650348991</v>
      </c>
      <c r="AI39" s="211">
        <f t="shared" si="25"/>
        <v>3465263.3434673804</v>
      </c>
      <c r="AJ39" s="102">
        <f t="shared" si="13"/>
        <v>8.8171849917672726E-2</v>
      </c>
      <c r="AK39" s="212"/>
      <c r="AL39" s="211">
        <f t="shared" si="26"/>
        <v>3932858.6939036502</v>
      </c>
      <c r="AM39" s="102">
        <f t="shared" si="14"/>
        <v>0.10006957397913306</v>
      </c>
      <c r="AN39" s="211">
        <f t="shared" si="27"/>
        <v>4137367.3459866401</v>
      </c>
      <c r="AO39" s="102">
        <f t="shared" si="15"/>
        <v>9.9239434225158268E-2</v>
      </c>
      <c r="AQ39" s="106"/>
      <c r="AR39" s="107" t="s">
        <v>433</v>
      </c>
      <c r="AS39" s="110">
        <f>+T24+T30+T35+T42+T47</f>
        <v>86044447.530000001</v>
      </c>
      <c r="AT39" s="110">
        <f>+V24+V30+V35+V42+V47</f>
        <v>77488420.15796043</v>
      </c>
      <c r="AU39" s="110">
        <f>+AD24+AD30+AD35+AD42+AD47</f>
        <v>71114722.762699261</v>
      </c>
      <c r="AV39" s="110">
        <f>+AI24+AI30+AI35+AI42+AI47</f>
        <v>73248164.445580229</v>
      </c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DU39" s="174"/>
      <c r="DV39" s="174"/>
      <c r="DW39" s="174"/>
      <c r="DX39" s="81"/>
      <c r="DY39" s="81"/>
    </row>
    <row r="40" spans="2:130" ht="15" customHeight="1">
      <c r="B40" s="80">
        <v>7148</v>
      </c>
      <c r="C40" s="100" t="str">
        <f>IF(MasterSheet!$A$1=1,MasterSheet!C96,MasterSheet!B96)</f>
        <v>Naknada za puteve</v>
      </c>
      <c r="D40" s="101">
        <v>5372953.1699999962</v>
      </c>
      <c r="E40" s="102">
        <f t="shared" si="0"/>
        <v>0.25003272232304885</v>
      </c>
      <c r="F40" s="101">
        <v>6458859.3499999996</v>
      </c>
      <c r="G40" s="102">
        <f t="shared" si="1"/>
        <v>0.24095725983958216</v>
      </c>
      <c r="H40" s="101">
        <v>7089990.1699999999</v>
      </c>
      <c r="I40" s="102">
        <f t="shared" si="4"/>
        <v>0.2297767102022297</v>
      </c>
      <c r="J40" s="101">
        <v>4037944.42</v>
      </c>
      <c r="K40" s="102">
        <f t="shared" si="5"/>
        <v>0.13545603555853739</v>
      </c>
      <c r="L40" s="101">
        <v>3597161.86</v>
      </c>
      <c r="M40" s="102">
        <f t="shared" si="6"/>
        <v>0.11588794652061854</v>
      </c>
      <c r="N40" s="101">
        <v>4863937.55</v>
      </c>
      <c r="O40" s="102">
        <f t="shared" si="7"/>
        <v>0.15040004792826223</v>
      </c>
      <c r="P40" s="211">
        <v>3327409.68</v>
      </c>
      <c r="Q40" s="102">
        <f t="shared" si="8"/>
        <v>0.10566559796760877</v>
      </c>
      <c r="R40" s="211">
        <v>4038872.8310599797</v>
      </c>
      <c r="S40" s="102">
        <f t="shared" si="2"/>
        <v>0.12825890222483263</v>
      </c>
      <c r="T40" s="211">
        <v>3659024.1899999995</v>
      </c>
      <c r="U40" s="102">
        <f t="shared" si="3"/>
        <v>0.10968644837638813</v>
      </c>
      <c r="V40" s="211">
        <v>3355752.0175728933</v>
      </c>
      <c r="W40" s="102">
        <f t="shared" si="9"/>
        <v>9.5438062708081514E-2</v>
      </c>
      <c r="X40" s="210"/>
      <c r="Y40" s="210"/>
      <c r="Z40" s="253">
        <f t="shared" si="16"/>
        <v>0</v>
      </c>
      <c r="AA40" s="253">
        <f t="shared" si="17"/>
        <v>-303272.17242710618</v>
      </c>
      <c r="AB40" s="211">
        <f t="shared" si="22"/>
        <v>3355752.0175728933</v>
      </c>
      <c r="AC40" s="102">
        <f t="shared" si="10"/>
        <v>9.5438062708081514E-2</v>
      </c>
      <c r="AD40" s="211">
        <f t="shared" si="23"/>
        <v>3456424.5781000801</v>
      </c>
      <c r="AE40" s="102">
        <f t="shared" si="11"/>
        <v>9.3114714965732648E-2</v>
      </c>
      <c r="AF40" s="212"/>
      <c r="AG40" s="211">
        <f t="shared" si="24"/>
        <v>3444679.4460385749</v>
      </c>
      <c r="AH40" s="102">
        <f t="shared" si="12"/>
        <v>9.2798305740120934E-2</v>
      </c>
      <c r="AI40" s="211">
        <f t="shared" si="25"/>
        <v>3560117.3154430827</v>
      </c>
      <c r="AJ40" s="102">
        <f t="shared" si="13"/>
        <v>9.0585360624414052E-2</v>
      </c>
      <c r="AK40" s="212"/>
      <c r="AL40" s="211">
        <f t="shared" si="26"/>
        <v>3599690.0211103107</v>
      </c>
      <c r="AM40" s="102">
        <f t="shared" si="14"/>
        <v>9.1592267840139754E-2</v>
      </c>
      <c r="AN40" s="211">
        <f t="shared" si="27"/>
        <v>3786873.902208047</v>
      </c>
      <c r="AO40" s="102">
        <f t="shared" si="15"/>
        <v>9.0832452646895684E-2</v>
      </c>
      <c r="AQ40" s="106"/>
      <c r="AR40" s="107"/>
      <c r="AS40" s="107"/>
      <c r="AT40" s="107"/>
      <c r="AU40" s="107"/>
      <c r="AV40" s="108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DU40" s="174"/>
      <c r="DV40" s="174"/>
      <c r="DW40" s="174"/>
      <c r="DX40" s="81"/>
      <c r="DY40" s="81"/>
    </row>
    <row r="41" spans="2:130" ht="15" customHeight="1">
      <c r="B41" s="80">
        <v>7149</v>
      </c>
      <c r="C41" s="100" t="str">
        <f>IF(MasterSheet!$A$1=1,MasterSheet!C97,MasterSheet!B97)</f>
        <v>Ostale naknade</v>
      </c>
      <c r="D41" s="101">
        <v>2391427.38</v>
      </c>
      <c r="E41" s="102">
        <f t="shared" si="0"/>
        <v>0.11128611754851318</v>
      </c>
      <c r="F41" s="101">
        <v>3124930.72</v>
      </c>
      <c r="G41" s="102">
        <f t="shared" si="1"/>
        <v>0.11658014251072563</v>
      </c>
      <c r="H41" s="101">
        <v>9980837.5099999998</v>
      </c>
      <c r="I41" s="102">
        <f t="shared" si="4"/>
        <v>0.32346504764065337</v>
      </c>
      <c r="J41" s="101">
        <v>3410972.38</v>
      </c>
      <c r="K41" s="102">
        <f t="shared" si="5"/>
        <v>0.11442376316672256</v>
      </c>
      <c r="L41" s="101">
        <v>4581102.8499999996</v>
      </c>
      <c r="M41" s="102">
        <f t="shared" si="6"/>
        <v>0.14758707635309276</v>
      </c>
      <c r="N41" s="101">
        <v>5190031.1599999992</v>
      </c>
      <c r="O41" s="102">
        <f t="shared" si="7"/>
        <v>0.16048333828076683</v>
      </c>
      <c r="P41" s="211">
        <v>3465022.02</v>
      </c>
      <c r="Q41" s="102">
        <f t="shared" si="8"/>
        <v>0.11003563099396634</v>
      </c>
      <c r="R41" s="211">
        <v>3973331.6708735307</v>
      </c>
      <c r="S41" s="102">
        <f t="shared" si="2"/>
        <v>0.12617756973240807</v>
      </c>
      <c r="T41" s="211">
        <v>3297987.09</v>
      </c>
      <c r="U41" s="102">
        <f t="shared" si="3"/>
        <v>9.8863651047160633E-2</v>
      </c>
      <c r="V41" s="211">
        <v>3281157.5657288986</v>
      </c>
      <c r="W41" s="102">
        <f t="shared" si="9"/>
        <v>9.331658593164463E-2</v>
      </c>
      <c r="X41" s="210">
        <v>-700000</v>
      </c>
      <c r="Y41" s="210"/>
      <c r="Z41" s="253">
        <f t="shared" si="16"/>
        <v>-700000</v>
      </c>
      <c r="AA41" s="253">
        <f t="shared" si="17"/>
        <v>-716829.52427110123</v>
      </c>
      <c r="AB41" s="211">
        <f t="shared" si="22"/>
        <v>2581157.5657288986</v>
      </c>
      <c r="AC41" s="102">
        <f t="shared" si="10"/>
        <v>7.340848677955765E-2</v>
      </c>
      <c r="AD41" s="211">
        <f t="shared" si="23"/>
        <v>3379592.2927007657</v>
      </c>
      <c r="AE41" s="102">
        <f t="shared" si="11"/>
        <v>9.1044883498715506E-2</v>
      </c>
      <c r="AF41" s="212"/>
      <c r="AG41" s="211">
        <f t="shared" si="24"/>
        <v>2649558.2412207145</v>
      </c>
      <c r="AH41" s="102">
        <f t="shared" si="12"/>
        <v>7.1378054067647939E-2</v>
      </c>
      <c r="AI41" s="211">
        <f t="shared" si="25"/>
        <v>3480980.0614817888</v>
      </c>
      <c r="AJ41" s="102">
        <f t="shared" si="13"/>
        <v>8.8571753753142329E-2</v>
      </c>
      <c r="AK41" s="212"/>
      <c r="AL41" s="211">
        <f t="shared" si="26"/>
        <v>2768788.3620756464</v>
      </c>
      <c r="AM41" s="102">
        <f t="shared" si="14"/>
        <v>7.0450400941376778E-2</v>
      </c>
      <c r="AN41" s="211">
        <f t="shared" si="27"/>
        <v>2912765.35690358</v>
      </c>
      <c r="AO41" s="102">
        <f t="shared" si="15"/>
        <v>6.9865970767654884E-2</v>
      </c>
      <c r="AQ41" s="106"/>
      <c r="AR41" s="107"/>
      <c r="AS41" s="107"/>
      <c r="AT41" s="107"/>
      <c r="AU41" s="107"/>
      <c r="AV41" s="108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DU41" s="81"/>
      <c r="DV41" s="81"/>
      <c r="DW41" s="81"/>
      <c r="DX41" s="81"/>
      <c r="DY41" s="81"/>
    </row>
    <row r="42" spans="2:130" ht="15" customHeight="1">
      <c r="B42" s="80">
        <v>715</v>
      </c>
      <c r="C42" s="94" t="str">
        <f>IF(MasterSheet!$A$1=1,MasterSheet!C98,MasterSheet!B98)</f>
        <v>Ostali prihodi</v>
      </c>
      <c r="D42" s="95">
        <f>SUM(D43:D46)</f>
        <v>60725640.779999994</v>
      </c>
      <c r="E42" s="98">
        <f t="shared" si="0"/>
        <v>2.8258942147145047</v>
      </c>
      <c r="F42" s="95">
        <f>SUM(F43:F46)</f>
        <v>58512071.479999997</v>
      </c>
      <c r="G42" s="98">
        <f t="shared" si="1"/>
        <v>2.1828789957097556</v>
      </c>
      <c r="H42" s="95">
        <f>SUM(H43:H46)</f>
        <v>45480397.879999995</v>
      </c>
      <c r="I42" s="98">
        <f t="shared" si="4"/>
        <v>1.4739563741249675</v>
      </c>
      <c r="J42" s="95">
        <f>SUM(J43:J46)</f>
        <v>43622195.68</v>
      </c>
      <c r="K42" s="98">
        <f t="shared" si="5"/>
        <v>1.4633410157665214</v>
      </c>
      <c r="L42" s="95">
        <f>SUM(L43:L46)</f>
        <v>31858288.899999999</v>
      </c>
      <c r="M42" s="98">
        <f t="shared" si="6"/>
        <v>1.0263624001288658</v>
      </c>
      <c r="N42" s="95">
        <f>SUM(N43:N46)</f>
        <v>24777629.66</v>
      </c>
      <c r="O42" s="98">
        <f t="shared" si="7"/>
        <v>0.76616047186147185</v>
      </c>
      <c r="P42" s="207">
        <f>SUM(P43:P46)</f>
        <v>35120651.189999998</v>
      </c>
      <c r="Q42" s="98">
        <f t="shared" si="8"/>
        <v>1.1152953696411558</v>
      </c>
      <c r="R42" s="207">
        <f>SUM(R43:R46)</f>
        <v>29418139.413963016</v>
      </c>
      <c r="S42" s="98">
        <f t="shared" si="2"/>
        <v>0.93420576100231878</v>
      </c>
      <c r="T42" s="207">
        <f>SUM(T43:T46)</f>
        <v>33088194.540000003</v>
      </c>
      <c r="U42" s="98">
        <f t="shared" si="3"/>
        <v>0.99188372468223518</v>
      </c>
      <c r="V42" s="207">
        <v>31410770.914738216</v>
      </c>
      <c r="W42" s="98">
        <f t="shared" si="9"/>
        <v>0.89332677402013982</v>
      </c>
      <c r="X42" s="96"/>
      <c r="Y42" s="96"/>
      <c r="Z42" s="254">
        <f t="shared" si="16"/>
        <v>-100000</v>
      </c>
      <c r="AA42" s="254">
        <f t="shared" si="17"/>
        <v>-1777423.6252617873</v>
      </c>
      <c r="AB42" s="207">
        <f>SUM(AB43:AB46)</f>
        <v>31310770.914738216</v>
      </c>
      <c r="AC42" s="98">
        <f t="shared" si="10"/>
        <v>0.89048275985555603</v>
      </c>
      <c r="AD42" s="207">
        <f>SUM(AD43:AD46)</f>
        <v>31894744.042180367</v>
      </c>
      <c r="AE42" s="98">
        <f t="shared" si="11"/>
        <v>0.85923182562979461</v>
      </c>
      <c r="AF42" s="208"/>
      <c r="AG42" s="207">
        <f>SUM(AG43:AG46)</f>
        <v>32140506.343978778</v>
      </c>
      <c r="AH42" s="98">
        <f t="shared" si="12"/>
        <v>0.86585256511483211</v>
      </c>
      <c r="AI42" s="207">
        <f>SUM(AI43:AI46)</f>
        <v>32851586.363445777</v>
      </c>
      <c r="AJ42" s="98">
        <f t="shared" si="13"/>
        <v>0.83589177943886095</v>
      </c>
      <c r="AK42" s="208"/>
      <c r="AL42" s="207">
        <f>SUM(AL43:AL46)</f>
        <v>33586829.129457816</v>
      </c>
      <c r="AM42" s="98">
        <f t="shared" si="14"/>
        <v>0.85459965482734457</v>
      </c>
      <c r="AN42" s="207">
        <f>SUM(AN43:AN46)</f>
        <v>35333344.244189627</v>
      </c>
      <c r="AO42" s="98">
        <f t="shared" si="15"/>
        <v>0.84751021576014873</v>
      </c>
      <c r="AQ42" s="106"/>
      <c r="AR42" s="107"/>
      <c r="AS42" s="107"/>
      <c r="AT42" s="107"/>
      <c r="AU42" s="107"/>
      <c r="AV42" s="108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DU42" s="81"/>
      <c r="DV42" s="81"/>
      <c r="DW42" s="81"/>
      <c r="DX42" s="81"/>
      <c r="DY42" s="81"/>
    </row>
    <row r="43" spans="2:130" ht="15" customHeight="1">
      <c r="B43" s="80">
        <v>7151</v>
      </c>
      <c r="C43" s="100" t="str">
        <f>IF(MasterSheet!$A$1=1,MasterSheet!C99,MasterSheet!B99)</f>
        <v>Prihodi od kapitala</v>
      </c>
      <c r="D43" s="101">
        <v>8168377.7700000005</v>
      </c>
      <c r="E43" s="102">
        <f t="shared" si="0"/>
        <v>0.38011902694401789</v>
      </c>
      <c r="F43" s="101">
        <v>18699178.469999999</v>
      </c>
      <c r="G43" s="102">
        <f t="shared" si="1"/>
        <v>0.69760039059876877</v>
      </c>
      <c r="H43" s="101">
        <v>13798997.720000001</v>
      </c>
      <c r="I43" s="102">
        <f t="shared" si="4"/>
        <v>0.44720630412237494</v>
      </c>
      <c r="J43" s="101">
        <v>14050397.890000001</v>
      </c>
      <c r="K43" s="102">
        <f t="shared" si="5"/>
        <v>0.47133169708151629</v>
      </c>
      <c r="L43" s="101">
        <v>7714681.46</v>
      </c>
      <c r="M43" s="102">
        <f t="shared" si="6"/>
        <v>0.24853999548969075</v>
      </c>
      <c r="N43" s="101">
        <v>5467464.75</v>
      </c>
      <c r="O43" s="102">
        <f t="shared" si="7"/>
        <v>0.16906198979591838</v>
      </c>
      <c r="P43" s="211">
        <v>12780311.91</v>
      </c>
      <c r="Q43" s="102">
        <f t="shared" si="8"/>
        <v>0.40585302985074628</v>
      </c>
      <c r="R43" s="211">
        <v>8815295.2540114876</v>
      </c>
      <c r="S43" s="102">
        <f t="shared" si="2"/>
        <v>0.27993951267105394</v>
      </c>
      <c r="T43" s="211">
        <v>6034873.3200000003</v>
      </c>
      <c r="U43" s="102">
        <f t="shared" si="3"/>
        <v>0.18090719998006413</v>
      </c>
      <c r="V43" s="211">
        <v>5533606.7424404304</v>
      </c>
      <c r="W43" s="102">
        <f t="shared" si="9"/>
        <v>0.15737655956737298</v>
      </c>
      <c r="X43" s="210">
        <v>1000000</v>
      </c>
      <c r="Y43" s="210"/>
      <c r="Z43" s="253">
        <f t="shared" si="16"/>
        <v>1000000</v>
      </c>
      <c r="AA43" s="253">
        <f t="shared" si="17"/>
        <v>498733.42244043015</v>
      </c>
      <c r="AB43" s="211">
        <f>+V43+X43+Y43</f>
        <v>6533606.7424404304</v>
      </c>
      <c r="AC43" s="102">
        <f t="shared" si="10"/>
        <v>0.1858167012132115</v>
      </c>
      <c r="AD43" s="211">
        <v>5241264.9447136438</v>
      </c>
      <c r="AE43" s="102">
        <f t="shared" si="11"/>
        <v>0.1411976105247931</v>
      </c>
      <c r="AF43" s="212"/>
      <c r="AG43" s="211">
        <f>+AB43*(1+$X$6)+AF43</f>
        <v>6706747.3211151017</v>
      </c>
      <c r="AH43" s="102">
        <f t="shared" si="12"/>
        <v>0.18067712777812028</v>
      </c>
      <c r="AI43" s="211">
        <f>+AD43*1.03</f>
        <v>5398502.8930550534</v>
      </c>
      <c r="AJ43" s="102">
        <f t="shared" si="13"/>
        <v>0.13736213952221171</v>
      </c>
      <c r="AK43" s="212"/>
      <c r="AL43" s="211">
        <f>+AG43*(1+$Y$6)+AK43</f>
        <v>7008550.9505652804</v>
      </c>
      <c r="AM43" s="102">
        <f t="shared" si="14"/>
        <v>0.17832898723802909</v>
      </c>
      <c r="AN43" s="211">
        <f>+AL43*(1+$AB$6)</f>
        <v>7372995.5999946753</v>
      </c>
      <c r="AO43" s="102">
        <f t="shared" si="15"/>
        <v>0.17684963666516446</v>
      </c>
      <c r="AQ43" s="106"/>
      <c r="AR43" s="107"/>
      <c r="AS43" s="107"/>
      <c r="AT43" s="107"/>
      <c r="AU43" s="107"/>
      <c r="AV43" s="108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DU43" s="171"/>
      <c r="DV43" s="171"/>
      <c r="DW43" s="171"/>
      <c r="DX43" s="171"/>
      <c r="DY43" s="171"/>
      <c r="DZ43" s="176"/>
    </row>
    <row r="44" spans="2:130" ht="15" customHeight="1">
      <c r="B44" s="80">
        <v>7152</v>
      </c>
      <c r="C44" s="100" t="str">
        <f>IF(MasterSheet!$A$1=1,MasterSheet!C100,MasterSheet!B100)</f>
        <v>Novčane kazne i oduzete imovinske koristi</v>
      </c>
      <c r="D44" s="101">
        <v>7615600.2199999951</v>
      </c>
      <c r="E44" s="102">
        <f t="shared" si="0"/>
        <v>0.35439528223742356</v>
      </c>
      <c r="F44" s="101">
        <v>10141066.57</v>
      </c>
      <c r="G44" s="102">
        <f t="shared" si="1"/>
        <v>0.37832742286886772</v>
      </c>
      <c r="H44" s="101">
        <v>9427789.2100000009</v>
      </c>
      <c r="I44" s="102">
        <f t="shared" si="4"/>
        <v>0.30554152223230496</v>
      </c>
      <c r="J44" s="101">
        <v>8057798.4800000004</v>
      </c>
      <c r="K44" s="102">
        <f t="shared" si="5"/>
        <v>0.27030521569942972</v>
      </c>
      <c r="L44" s="101">
        <v>7698309.5599999996</v>
      </c>
      <c r="M44" s="102">
        <f t="shared" si="6"/>
        <v>0.24801255025773192</v>
      </c>
      <c r="N44" s="101">
        <v>7094815.5099999998</v>
      </c>
      <c r="O44" s="102">
        <f t="shared" si="7"/>
        <v>0.21938205040197897</v>
      </c>
      <c r="P44" s="211">
        <v>8748262.1099999994</v>
      </c>
      <c r="Q44" s="102">
        <f t="shared" si="8"/>
        <v>0.27781080057161001</v>
      </c>
      <c r="R44" s="211">
        <v>8511345.516661834</v>
      </c>
      <c r="S44" s="102">
        <f t="shared" si="2"/>
        <v>0.27028725044972479</v>
      </c>
      <c r="T44" s="211">
        <v>12316700.43</v>
      </c>
      <c r="U44" s="102">
        <f t="shared" si="3"/>
        <v>0.36921732563966259</v>
      </c>
      <c r="V44" s="211">
        <v>11824073.889814863</v>
      </c>
      <c r="W44" s="102">
        <f t="shared" si="9"/>
        <v>0.33627833625719566</v>
      </c>
      <c r="X44" s="210">
        <v>600000</v>
      </c>
      <c r="Y44" s="210"/>
      <c r="Z44" s="253">
        <f t="shared" si="16"/>
        <v>600000</v>
      </c>
      <c r="AA44" s="253">
        <f t="shared" si="17"/>
        <v>107373.45981486328</v>
      </c>
      <c r="AB44" s="211">
        <f>+V44+X44+Y44</f>
        <v>12424073.889814863</v>
      </c>
      <c r="AC44" s="102">
        <f t="shared" si="10"/>
        <v>0.35334242124469878</v>
      </c>
      <c r="AD44" s="211">
        <f>+V44*1.03</f>
        <v>12178796.106509309</v>
      </c>
      <c r="AE44" s="102">
        <f t="shared" si="11"/>
        <v>0.3280919639527437</v>
      </c>
      <c r="AF44" s="212"/>
      <c r="AG44" s="211">
        <f>+AB44*(1+$X$6)+AF44</f>
        <v>12753311.847894957</v>
      </c>
      <c r="AH44" s="102">
        <f t="shared" si="12"/>
        <v>0.3435691914442392</v>
      </c>
      <c r="AI44" s="211">
        <f>+AD44*1.03</f>
        <v>12544159.989704588</v>
      </c>
      <c r="AJ44" s="102">
        <f t="shared" si="13"/>
        <v>0.3191797223840398</v>
      </c>
      <c r="AK44" s="212"/>
      <c r="AL44" s="211">
        <f>+AG44*(1+$Y$6)+AK44</f>
        <v>13327210.881050229</v>
      </c>
      <c r="AM44" s="102">
        <f t="shared" si="14"/>
        <v>0.33910405102122282</v>
      </c>
      <c r="AN44" s="211">
        <f>+AL44*(1+$AB$6)</f>
        <v>14020225.846864842</v>
      </c>
      <c r="AO44" s="102">
        <f t="shared" si="15"/>
        <v>0.33629097065830138</v>
      </c>
      <c r="AQ44" s="106"/>
      <c r="AR44" s="107"/>
      <c r="AS44" s="107"/>
      <c r="AT44" s="107"/>
      <c r="AU44" s="107"/>
      <c r="AV44" s="108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DU44" s="171"/>
      <c r="DV44" s="171"/>
      <c r="DW44" s="173"/>
      <c r="DX44" s="173"/>
      <c r="DY44" s="240"/>
      <c r="DZ44" s="176"/>
    </row>
    <row r="45" spans="2:130" ht="15" customHeight="1">
      <c r="B45" s="80">
        <v>7153</v>
      </c>
      <c r="C45" s="100" t="str">
        <f>IF(MasterSheet!$A$1=1,MasterSheet!C101,MasterSheet!B101)</f>
        <v>Prihodi koje organi ostvaruju vršenjem svoje djelatnosti</v>
      </c>
      <c r="D45" s="101">
        <v>28553597.170000002</v>
      </c>
      <c r="E45" s="102">
        <f t="shared" si="0"/>
        <v>1.3287541146633162</v>
      </c>
      <c r="F45" s="101">
        <v>18195249.18</v>
      </c>
      <c r="G45" s="102">
        <f t="shared" si="1"/>
        <v>0.67880056631225516</v>
      </c>
      <c r="H45" s="101">
        <v>5377701.7699999996</v>
      </c>
      <c r="I45" s="102">
        <f t="shared" si="4"/>
        <v>0.17428382713248636</v>
      </c>
      <c r="J45" s="101">
        <v>2358239.02</v>
      </c>
      <c r="K45" s="102">
        <f t="shared" si="5"/>
        <v>7.9108990942636709E-2</v>
      </c>
      <c r="L45" s="101">
        <v>2576571.9700000002</v>
      </c>
      <c r="M45" s="102">
        <f t="shared" si="6"/>
        <v>8.3008117590206182E-2</v>
      </c>
      <c r="N45" s="101">
        <v>2308669.88</v>
      </c>
      <c r="O45" s="102">
        <f t="shared" si="7"/>
        <v>7.138744217687075E-2</v>
      </c>
      <c r="P45" s="211">
        <v>2007154.91</v>
      </c>
      <c r="Q45" s="102">
        <f t="shared" si="8"/>
        <v>6.373943823436011E-2</v>
      </c>
      <c r="R45" s="211">
        <v>2107170.7859136686</v>
      </c>
      <c r="S45" s="102">
        <f t="shared" si="2"/>
        <v>6.6915553696845625E-2</v>
      </c>
      <c r="T45" s="211">
        <v>2179410.2600000002</v>
      </c>
      <c r="U45" s="102">
        <f t="shared" si="3"/>
        <v>6.5332110027526411E-2</v>
      </c>
      <c r="V45" s="211">
        <v>2220205.3434794326</v>
      </c>
      <c r="W45" s="102">
        <f t="shared" si="9"/>
        <v>6.3142954451402653E-2</v>
      </c>
      <c r="X45" s="210"/>
      <c r="Y45" s="210"/>
      <c r="Z45" s="253">
        <f t="shared" si="16"/>
        <v>0</v>
      </c>
      <c r="AA45" s="253">
        <f t="shared" si="17"/>
        <v>40795.083479432389</v>
      </c>
      <c r="AB45" s="211">
        <f>+V45+X45+Y45</f>
        <v>2220205.3434794326</v>
      </c>
      <c r="AC45" s="102">
        <f t="shared" si="10"/>
        <v>6.3142954451402653E-2</v>
      </c>
      <c r="AD45" s="211">
        <f>+V45*1.03</f>
        <v>2286811.5037838155</v>
      </c>
      <c r="AE45" s="102">
        <f t="shared" si="11"/>
        <v>6.1605800023628608E-2</v>
      </c>
      <c r="AF45" s="212"/>
      <c r="AG45" s="211">
        <f>+AB45*(1+$X$6)+AF45</f>
        <v>2279040.7850816376</v>
      </c>
      <c r="AH45" s="102">
        <f t="shared" si="12"/>
        <v>6.1396459926460943E-2</v>
      </c>
      <c r="AI45" s="211">
        <f>+AD45*1.03</f>
        <v>2355415.84889733</v>
      </c>
      <c r="AJ45" s="102">
        <f t="shared" si="13"/>
        <v>5.9932349186158772E-2</v>
      </c>
      <c r="AK45" s="212"/>
      <c r="AL45" s="211">
        <f>+AG45*(1+$Y$6)+AK45</f>
        <v>2381597.620410311</v>
      </c>
      <c r="AM45" s="102">
        <f t="shared" si="14"/>
        <v>6.0598530944833272E-2</v>
      </c>
      <c r="AN45" s="211">
        <f>+AL45*(1+$AB$6)</f>
        <v>2505440.6966716475</v>
      </c>
      <c r="AO45" s="102">
        <f t="shared" si="15"/>
        <v>6.0095828199438678E-2</v>
      </c>
      <c r="AQ45" s="106"/>
      <c r="AR45" s="107"/>
      <c r="AS45" s="107"/>
      <c r="AT45" s="107"/>
      <c r="AU45" s="107"/>
      <c r="AV45" s="108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DU45" s="81"/>
      <c r="DV45" s="81"/>
      <c r="DW45" s="179"/>
      <c r="DX45" s="179"/>
      <c r="DY45" s="179"/>
      <c r="DZ45" s="176"/>
    </row>
    <row r="46" spans="2:130" ht="15" customHeight="1">
      <c r="B46" s="80">
        <v>7155</v>
      </c>
      <c r="C46" s="100" t="str">
        <f>IF(MasterSheet!$A$1=1,MasterSheet!C102,MasterSheet!B102)</f>
        <v>Ostali prihodi</v>
      </c>
      <c r="D46" s="101">
        <v>16388065.619999999</v>
      </c>
      <c r="E46" s="102">
        <f t="shared" si="0"/>
        <v>0.76262579086974736</v>
      </c>
      <c r="F46" s="101">
        <v>11476577.26</v>
      </c>
      <c r="G46" s="102">
        <f t="shared" si="1"/>
        <v>0.42815061592986386</v>
      </c>
      <c r="H46" s="101">
        <v>16875909.18</v>
      </c>
      <c r="I46" s="102">
        <f t="shared" si="4"/>
        <v>0.5469247206378014</v>
      </c>
      <c r="J46" s="101">
        <v>19155760.289999999</v>
      </c>
      <c r="K46" s="102">
        <f t="shared" si="5"/>
        <v>0.64259511204293862</v>
      </c>
      <c r="L46" s="101">
        <v>13868725.91</v>
      </c>
      <c r="M46" s="102">
        <f t="shared" si="6"/>
        <v>0.44680173679123708</v>
      </c>
      <c r="N46" s="101">
        <v>9906679.5199999996</v>
      </c>
      <c r="O46" s="102">
        <f t="shared" si="7"/>
        <v>0.30632898948670373</v>
      </c>
      <c r="P46" s="211">
        <v>11584922.26</v>
      </c>
      <c r="Q46" s="102">
        <f t="shared" si="8"/>
        <v>0.36789210098443953</v>
      </c>
      <c r="R46" s="211">
        <v>9984327.8573760279</v>
      </c>
      <c r="S46" s="102">
        <f t="shared" si="2"/>
        <v>0.31706344418469445</v>
      </c>
      <c r="T46" s="211">
        <v>12557210.530000001</v>
      </c>
      <c r="U46" s="102">
        <f t="shared" si="3"/>
        <v>0.37642708903498195</v>
      </c>
      <c r="V46" s="211">
        <v>11832884.939003492</v>
      </c>
      <c r="W46" s="102">
        <f t="shared" si="9"/>
        <v>0.33652892374416871</v>
      </c>
      <c r="X46" s="210">
        <v>-1700000</v>
      </c>
      <c r="Y46" s="210"/>
      <c r="Z46" s="253">
        <f t="shared" si="16"/>
        <v>-1700000</v>
      </c>
      <c r="AA46" s="253">
        <f t="shared" si="17"/>
        <v>-2424325.5909965094</v>
      </c>
      <c r="AB46" s="211">
        <f>+V46+X46+Y46</f>
        <v>10132884.939003492</v>
      </c>
      <c r="AC46" s="102">
        <f t="shared" si="10"/>
        <v>0.28818068294624322</v>
      </c>
      <c r="AD46" s="211">
        <f>+V46*1.03</f>
        <v>12187871.487173596</v>
      </c>
      <c r="AE46" s="102">
        <f t="shared" si="11"/>
        <v>0.32833645112862908</v>
      </c>
      <c r="AF46" s="212"/>
      <c r="AG46" s="211">
        <f>+AB46*(1+$X$6)+AF46</f>
        <v>10401406.389887083</v>
      </c>
      <c r="AH46" s="102">
        <f t="shared" si="12"/>
        <v>0.28020978596601176</v>
      </c>
      <c r="AI46" s="211">
        <f>+AD46*1.03</f>
        <v>12553507.631788805</v>
      </c>
      <c r="AJ46" s="102">
        <f t="shared" si="13"/>
        <v>0.31941756834645058</v>
      </c>
      <c r="AK46" s="212"/>
      <c r="AL46" s="211">
        <f>+AG46*(1+$Y$6)+AK46</f>
        <v>10869469.677432001</v>
      </c>
      <c r="AM46" s="102">
        <f t="shared" si="14"/>
        <v>0.27656808562325952</v>
      </c>
      <c r="AN46" s="211">
        <f>+AL46*(1+$AB$6)</f>
        <v>11434682.100658465</v>
      </c>
      <c r="AO46" s="102">
        <f t="shared" si="15"/>
        <v>0.2742737802372443</v>
      </c>
      <c r="AQ46" s="106"/>
      <c r="AR46" s="107"/>
      <c r="AS46" s="107"/>
      <c r="AT46" s="107"/>
      <c r="AU46" s="107"/>
      <c r="AV46" s="108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DT46" s="106"/>
      <c r="DU46" s="106"/>
      <c r="DV46" s="103"/>
      <c r="DW46" s="179"/>
      <c r="DX46" s="179"/>
      <c r="DY46" s="179"/>
      <c r="DZ46" s="176"/>
    </row>
    <row r="47" spans="2:130">
      <c r="B47" s="80">
        <v>73</v>
      </c>
      <c r="C47" s="111" t="str">
        <f>IF(MasterSheet!$A$1=1,MasterSheet!C103,MasterSheet!B103)</f>
        <v>Primici od otplate kredita i sredstva prenijeta iz prethodne godine</v>
      </c>
      <c r="D47" s="95">
        <v>12337841.16</v>
      </c>
      <c r="E47" s="98">
        <f t="shared" si="0"/>
        <v>0.57414682674856898</v>
      </c>
      <c r="F47" s="95">
        <v>10241165.600000001</v>
      </c>
      <c r="G47" s="98">
        <f t="shared" si="1"/>
        <v>0.38206176459615748</v>
      </c>
      <c r="H47" s="95">
        <v>8998827.7799999993</v>
      </c>
      <c r="I47" s="98">
        <f t="shared" si="4"/>
        <v>0.29163947951775987</v>
      </c>
      <c r="J47" s="95">
        <v>54812548.920000002</v>
      </c>
      <c r="K47" s="98">
        <f t="shared" si="5"/>
        <v>1.83873025561892</v>
      </c>
      <c r="L47" s="95">
        <v>4969313.91</v>
      </c>
      <c r="M47" s="98">
        <f t="shared" si="6"/>
        <v>0.16009387596649485</v>
      </c>
      <c r="N47" s="95">
        <v>5006443.9800000004</v>
      </c>
      <c r="O47" s="98">
        <f t="shared" si="7"/>
        <v>0.15480655473098331</v>
      </c>
      <c r="P47" s="207">
        <v>5498802.5</v>
      </c>
      <c r="Q47" s="98">
        <f t="shared" si="8"/>
        <v>0.17462059383931408</v>
      </c>
      <c r="R47" s="207">
        <v>4809060.008142584</v>
      </c>
      <c r="S47" s="98">
        <f t="shared" si="2"/>
        <v>0.15271705329128563</v>
      </c>
      <c r="T47" s="207">
        <v>7564493.0600000005</v>
      </c>
      <c r="U47" s="98">
        <f t="shared" si="3"/>
        <v>0.22676056085850488</v>
      </c>
      <c r="V47" s="207">
        <v>7046262.4871663069</v>
      </c>
      <c r="W47" s="98">
        <f t="shared" si="9"/>
        <v>0.20039670320876826</v>
      </c>
      <c r="X47" s="96"/>
      <c r="Y47" s="96"/>
      <c r="Z47" s="254">
        <f t="shared" si="16"/>
        <v>692213.91321369261</v>
      </c>
      <c r="AA47" s="254">
        <f t="shared" si="17"/>
        <v>173983.34037999902</v>
      </c>
      <c r="AB47" s="207">
        <f>+T47*(1+$W$6)+X47+Y47</f>
        <v>7738476.4003799995</v>
      </c>
      <c r="AC47" s="98">
        <f t="shared" si="10"/>
        <v>0.22008336494978584</v>
      </c>
      <c r="AD47" s="207">
        <f>+V47*1.03</f>
        <v>7257650.3617812963</v>
      </c>
      <c r="AE47" s="98">
        <f t="shared" si="11"/>
        <v>0.19551823842477153</v>
      </c>
      <c r="AF47" s="208"/>
      <c r="AG47" s="207">
        <f>+AB47*(1+$X$6)+AF47</f>
        <v>7943546.0249900697</v>
      </c>
      <c r="AH47" s="98">
        <f t="shared" si="12"/>
        <v>0.21399599708340927</v>
      </c>
      <c r="AI47" s="207">
        <f>+AD47*1.03</f>
        <v>7475379.872634735</v>
      </c>
      <c r="AJ47" s="98">
        <f t="shared" si="13"/>
        <v>0.19020720992247031</v>
      </c>
      <c r="AK47" s="208"/>
      <c r="AL47" s="207">
        <f>+AG47*(1+$Y$6)+AK47</f>
        <v>8301005.5961146224</v>
      </c>
      <c r="AM47" s="98">
        <f t="shared" si="14"/>
        <v>0.211214833344821</v>
      </c>
      <c r="AN47" s="207">
        <f>+AL47*(1+$AB$6)</f>
        <v>8732657.887112584</v>
      </c>
      <c r="AO47" s="98">
        <f t="shared" si="15"/>
        <v>0.2094626740938457</v>
      </c>
      <c r="AQ47" s="106"/>
      <c r="AR47" s="107"/>
      <c r="AS47" s="107"/>
      <c r="AT47" s="107"/>
      <c r="AU47" s="107"/>
      <c r="AV47" s="108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DT47" s="106"/>
      <c r="DU47" s="106"/>
      <c r="DV47" s="103"/>
      <c r="DW47" s="179"/>
      <c r="DX47" s="179"/>
      <c r="DY47" s="179"/>
      <c r="DZ47" s="176"/>
    </row>
    <row r="48" spans="2:130" ht="13.5" customHeight="1" thickBot="1">
      <c r="B48" s="80">
        <v>74</v>
      </c>
      <c r="C48" s="94" t="s">
        <v>123</v>
      </c>
      <c r="D48" s="95">
        <v>189875.77</v>
      </c>
      <c r="E48" s="98">
        <f t="shared" ref="E48:E64" si="28">D48/D$11*100</f>
        <v>8.8359518823584154E-3</v>
      </c>
      <c r="F48" s="95">
        <v>86112.85</v>
      </c>
      <c r="G48" s="98">
        <f t="shared" ref="G48:G64" si="29">F48/F$11*100</f>
        <v>3.2125666853199033E-3</v>
      </c>
      <c r="H48" s="95">
        <v>2235692.06</v>
      </c>
      <c r="I48" s="98">
        <f>H48/H$11*100</f>
        <v>7.2455666969147001E-2</v>
      </c>
      <c r="J48" s="95">
        <v>6019555.9299999997</v>
      </c>
      <c r="K48" s="98">
        <f>J48/J$11*100</f>
        <v>0.20193075914122777</v>
      </c>
      <c r="L48" s="95">
        <v>5128633.8</v>
      </c>
      <c r="M48" s="98">
        <f>L48/L$11*100</f>
        <v>0.16522660438144329</v>
      </c>
      <c r="N48" s="95">
        <v>4014349.98</v>
      </c>
      <c r="O48" s="98">
        <f>N48/N$11*100</f>
        <v>0.12412956029684601</v>
      </c>
      <c r="P48" s="207">
        <v>5037276.03</v>
      </c>
      <c r="Q48" s="98">
        <f>P48/P$11*100</f>
        <v>0.15996430708161322</v>
      </c>
      <c r="R48" s="207">
        <v>0</v>
      </c>
      <c r="S48" s="98">
        <f t="shared" si="2"/>
        <v>0</v>
      </c>
      <c r="T48" s="207">
        <v>6615451.54</v>
      </c>
      <c r="U48" s="98">
        <f t="shared" si="3"/>
        <v>0.19831117427750797</v>
      </c>
      <c r="V48" s="207">
        <v>8000000</v>
      </c>
      <c r="W48" s="98">
        <f t="shared" ref="W48:W64" si="30">V48/V$11*100</f>
        <v>0.22752113316670824</v>
      </c>
      <c r="X48" s="96"/>
      <c r="Y48" s="96"/>
      <c r="Z48" s="96"/>
      <c r="AA48" s="96"/>
      <c r="AB48" s="207">
        <v>8000000</v>
      </c>
      <c r="AC48" s="98">
        <f>AB48/AB$11*100</f>
        <v>0.22752113316670824</v>
      </c>
      <c r="AD48" s="207">
        <v>0</v>
      </c>
      <c r="AE48" s="98">
        <f>AD48/AD$11*100</f>
        <v>0</v>
      </c>
      <c r="AF48" s="208"/>
      <c r="AG48" s="207">
        <v>0</v>
      </c>
      <c r="AH48" s="98">
        <f>AG48/AG$11*100</f>
        <v>0</v>
      </c>
      <c r="AI48" s="207">
        <v>0</v>
      </c>
      <c r="AJ48" s="98">
        <f>AI48/AI$11*100</f>
        <v>0</v>
      </c>
      <c r="AK48" s="208"/>
      <c r="AL48" s="207">
        <v>0</v>
      </c>
      <c r="AM48" s="98">
        <f>AL48/AL$11*100</f>
        <v>0</v>
      </c>
      <c r="AN48" s="207">
        <v>0</v>
      </c>
      <c r="AO48" s="98">
        <f>AN48/AN$11*100</f>
        <v>0</v>
      </c>
      <c r="AQ48" s="106"/>
      <c r="AR48" s="107"/>
      <c r="AS48" s="107"/>
      <c r="AT48" s="107"/>
      <c r="AU48" s="107"/>
      <c r="AV48" s="108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DU48" s="225"/>
      <c r="DV48" s="225"/>
      <c r="DW48" s="179"/>
      <c r="DX48" s="179"/>
      <c r="DY48" s="179"/>
      <c r="DZ48" s="176"/>
    </row>
    <row r="49" spans="1:130" ht="15" customHeight="1" thickTop="1" thickBot="1">
      <c r="B49" s="112"/>
      <c r="C49" s="90" t="str">
        <f>IF(MasterSheet!$A$1=1,MasterSheet!C104,MasterSheet!B104)</f>
        <v>Izdaci</v>
      </c>
      <c r="D49" s="91">
        <f>+D51+D62+D68+SUM(D71:D75)</f>
        <v>747917838.58000004</v>
      </c>
      <c r="E49" s="92">
        <f t="shared" si="28"/>
        <v>34.804683260272704</v>
      </c>
      <c r="F49" s="91">
        <f>+F51+F62+F68+SUM(F71:F75)</f>
        <v>951337553.28000009</v>
      </c>
      <c r="G49" s="92">
        <f t="shared" si="29"/>
        <v>35.491048434247347</v>
      </c>
      <c r="H49" s="91">
        <f>+H51+H62+H68+SUM(H71:H75)</f>
        <v>1196864274.8299999</v>
      </c>
      <c r="I49" s="92">
        <f t="shared" ref="I49:I60" si="31">H49/H$11*100</f>
        <v>38.788704784482761</v>
      </c>
      <c r="J49" s="91">
        <f>+J51+J62+J68+SUM(J71:J75)</f>
        <v>1274851488.6244998</v>
      </c>
      <c r="K49" s="92">
        <f t="shared" ref="K49:K60" si="32">J49/J$11*100</f>
        <v>42.765900322861448</v>
      </c>
      <c r="L49" s="91">
        <f>+L51+L62+L68+SUM(L71:L75)</f>
        <v>1233229755.4300003</v>
      </c>
      <c r="M49" s="92">
        <f t="shared" ref="M49:M60" si="33">L49/L$11*100</f>
        <v>39.730340058956195</v>
      </c>
      <c r="N49" s="91">
        <f>+N51+N62+N68+SUM(N71:N75)</f>
        <v>1301805409.21</v>
      </c>
      <c r="O49" s="92">
        <f t="shared" ref="O49:O60" si="34">N49/N$11*100</f>
        <v>40.253723228509585</v>
      </c>
      <c r="P49" s="91">
        <f>+P51+P62+P68+SUM(P71:P75)</f>
        <v>1333879288.7600002</v>
      </c>
      <c r="Q49" s="92">
        <f t="shared" ref="Q49:Q60" si="35">P49/P$11*100</f>
        <v>42.358821491267072</v>
      </c>
      <c r="R49" s="91">
        <f>+R51+R62+R68+SUM(R71:R75)</f>
        <v>1256584045.7700002</v>
      </c>
      <c r="S49" s="92">
        <f t="shared" si="2"/>
        <v>39.90422501651318</v>
      </c>
      <c r="T49" s="91">
        <f>+T51+T62+T68+SUM(T71:T75)</f>
        <v>1383250904.9073</v>
      </c>
      <c r="U49" s="92">
        <f t="shared" si="3"/>
        <v>41.465667099814056</v>
      </c>
      <c r="V49" s="91">
        <f>+V51+V62+V68+SUM(V71:V75)</f>
        <v>1337605069.8199997</v>
      </c>
      <c r="W49" s="92">
        <f t="shared" si="30"/>
        <v>38.041677651872526</v>
      </c>
      <c r="X49" s="224"/>
      <c r="Y49" s="224"/>
      <c r="Z49" s="255">
        <f t="shared" si="16"/>
        <v>5153201.2599999905</v>
      </c>
      <c r="AA49" s="255">
        <f t="shared" si="17"/>
        <v>-40492633.82730031</v>
      </c>
      <c r="AB49" s="91">
        <f>+AB51+AB62+AB68+SUM(AB71:AB75)</f>
        <v>1342758271.0799997</v>
      </c>
      <c r="AC49" s="92">
        <f t="shared" ref="AC49:AC87" si="36">AB49/AB$11*100</f>
        <v>38.188235425636442</v>
      </c>
      <c r="AD49" s="91">
        <f>+AD51+AD62+AD68+SUM(AD71:AD75)</f>
        <v>1302622024.8740106</v>
      </c>
      <c r="AE49" s="92">
        <f t="shared" ref="AE49:AE87" si="37">AD49/AD$11*100</f>
        <v>35.092123613153227</v>
      </c>
      <c r="AF49" s="224"/>
      <c r="AG49" s="91">
        <f>+AG51+AG62+AG68+SUM(AG71:AG75)</f>
        <v>1363574008.6903999</v>
      </c>
      <c r="AH49" s="92">
        <f t="shared" ref="AH49:AH60" si="38">AG49/AG$11*100</f>
        <v>36.734146018507936</v>
      </c>
      <c r="AI49" s="91">
        <f>+AI51+AI62+AI68+SUM(AI71:AI75)</f>
        <v>1324615057.9963973</v>
      </c>
      <c r="AJ49" s="92">
        <f t="shared" ref="AJ49:AJ60" si="39">AI49/AI$11*100</f>
        <v>33.704151320136774</v>
      </c>
      <c r="AK49" s="224"/>
      <c r="AL49" s="91">
        <f>+AL51+AL62+AL68+SUM(AL71:AL75)</f>
        <v>1365760720.3210421</v>
      </c>
      <c r="AM49" s="92">
        <f t="shared" ref="AM49:AM87" si="40">AL49/AL$11*100</f>
        <v>34.751081611911289</v>
      </c>
      <c r="AN49" s="91">
        <f>+AN51+AN62+AN68+SUM(AN71:AN75)</f>
        <v>1368187139.3459761</v>
      </c>
      <c r="AO49" s="92">
        <f t="shared" ref="AO49:AO87" si="41">AN49/AN$11*100</f>
        <v>32.817515649061463</v>
      </c>
      <c r="AQ49" s="180">
        <v>1363574008.6903999</v>
      </c>
      <c r="AR49" s="107">
        <f>AG49-AQ49</f>
        <v>0</v>
      </c>
      <c r="AS49" s="113"/>
      <c r="AT49" s="113"/>
      <c r="AU49" s="113"/>
      <c r="AV49" s="108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DU49" s="81"/>
      <c r="DV49" s="81"/>
      <c r="DW49" s="179"/>
      <c r="DX49" s="179"/>
      <c r="DY49" s="179"/>
      <c r="DZ49" s="176"/>
    </row>
    <row r="50" spans="1:130" ht="13.5" customHeight="1" thickTop="1" thickBot="1">
      <c r="C50" s="90" t="str">
        <f>IF(MasterSheet!$A$1=1,MasterSheet!C105,MasterSheet!B105)</f>
        <v>Tekuća budžetska potrošnja</v>
      </c>
      <c r="D50" s="91">
        <f>+D49-D71</f>
        <v>747917838.58000004</v>
      </c>
      <c r="E50" s="92">
        <f t="shared" si="28"/>
        <v>34.804683260272704</v>
      </c>
      <c r="F50" s="91">
        <f>+F49-F71</f>
        <v>868878314.29000008</v>
      </c>
      <c r="G50" s="92">
        <f t="shared" si="29"/>
        <v>32.414785088229806</v>
      </c>
      <c r="H50" s="91">
        <f>+H49-H71</f>
        <v>1123493415.3699999</v>
      </c>
      <c r="I50" s="92">
        <f t="shared" si="31"/>
        <v>36.410857381708581</v>
      </c>
      <c r="J50" s="91">
        <f>+J49-J71</f>
        <v>1162486791.9844997</v>
      </c>
      <c r="K50" s="92">
        <f t="shared" si="32"/>
        <v>38.996537805585362</v>
      </c>
      <c r="L50" s="91">
        <f>+L49-L71</f>
        <v>1169979386.6200004</v>
      </c>
      <c r="M50" s="92">
        <f t="shared" si="33"/>
        <v>37.692634878221661</v>
      </c>
      <c r="N50" s="91">
        <f>+N49-N71</f>
        <v>1234690221.24</v>
      </c>
      <c r="O50" s="92">
        <f t="shared" si="34"/>
        <v>38.178423662337664</v>
      </c>
      <c r="P50" s="91">
        <f>+P49-P71</f>
        <v>1257836588.7800002</v>
      </c>
      <c r="Q50" s="92">
        <f t="shared" si="35"/>
        <v>39.94400091394094</v>
      </c>
      <c r="R50" s="91">
        <f>+R49-R71</f>
        <v>1184330230.1400003</v>
      </c>
      <c r="S50" s="92">
        <f t="shared" si="2"/>
        <v>37.60972467894571</v>
      </c>
      <c r="T50" s="91">
        <f>+T49-T71</f>
        <v>1321465402.0473001</v>
      </c>
      <c r="U50" s="92">
        <f t="shared" si="3"/>
        <v>39.613525102943967</v>
      </c>
      <c r="V50" s="91">
        <f>+V49-V71</f>
        <v>1235784569.8199997</v>
      </c>
      <c r="W50" s="92">
        <f t="shared" si="30"/>
        <v>35.145888209422424</v>
      </c>
      <c r="X50" s="224"/>
      <c r="Y50" s="224"/>
      <c r="Z50" s="255">
        <f t="shared" si="16"/>
        <v>5153201.2599999905</v>
      </c>
      <c r="AA50" s="255">
        <f t="shared" si="17"/>
        <v>-80527630.967300415</v>
      </c>
      <c r="AB50" s="91">
        <f>+AB49-AB71</f>
        <v>1240937771.0799997</v>
      </c>
      <c r="AC50" s="92">
        <f t="shared" si="36"/>
        <v>35.29244598318634</v>
      </c>
      <c r="AD50" s="91">
        <f>+AD49-AD71</f>
        <v>1196995647.3822105</v>
      </c>
      <c r="AE50" s="92">
        <f t="shared" si="37"/>
        <v>32.246590661174821</v>
      </c>
      <c r="AF50" s="224"/>
      <c r="AG50" s="91">
        <f>+AG49-AG71</f>
        <v>1258574008.6903999</v>
      </c>
      <c r="AH50" s="92">
        <f t="shared" si="38"/>
        <v>33.905487429123596</v>
      </c>
      <c r="AI50" s="91">
        <f>+AI49-AI71</f>
        <v>1215819889.1798432</v>
      </c>
      <c r="AJ50" s="92">
        <f t="shared" si="39"/>
        <v>30.935914004278832</v>
      </c>
      <c r="AK50" s="224"/>
      <c r="AL50" s="91">
        <f>+AL49-AL71</f>
        <v>1260760720.3210421</v>
      </c>
      <c r="AM50" s="92">
        <f t="shared" si="40"/>
        <v>32.079410421665777</v>
      </c>
      <c r="AN50" s="91">
        <f>+AN49-AN71</f>
        <v>1263187139.3459761</v>
      </c>
      <c r="AO50" s="92">
        <f t="shared" si="41"/>
        <v>30.298971917683719</v>
      </c>
      <c r="AQ50" s="106"/>
      <c r="AR50" s="107">
        <v>4112678.0960001945</v>
      </c>
      <c r="AS50" s="107"/>
      <c r="AT50" s="107"/>
      <c r="AU50" s="107"/>
      <c r="AV50" s="108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DU50" s="225"/>
      <c r="DV50" s="225"/>
      <c r="DW50" s="179"/>
      <c r="DX50" s="179"/>
      <c r="DY50" s="179"/>
      <c r="DZ50" s="176"/>
    </row>
    <row r="51" spans="1:130" ht="13.5" customHeight="1" thickTop="1">
      <c r="A51" s="80">
        <v>41</v>
      </c>
      <c r="C51" s="94" t="s">
        <v>63</v>
      </c>
      <c r="D51" s="95">
        <f>+SUM(D52:D60)</f>
        <v>396117586.80000001</v>
      </c>
      <c r="E51" s="98">
        <f t="shared" si="28"/>
        <v>18.433504900181489</v>
      </c>
      <c r="F51" s="95">
        <f>+SUM(F52:F60)</f>
        <v>494161800.55000001</v>
      </c>
      <c r="G51" s="98">
        <f t="shared" si="29"/>
        <v>18.435433708263385</v>
      </c>
      <c r="H51" s="95">
        <f>+SUM(H52:H60)</f>
        <v>488263441.80999988</v>
      </c>
      <c r="I51" s="98">
        <f t="shared" si="31"/>
        <v>15.823938352670467</v>
      </c>
      <c r="J51" s="95">
        <f>+SUM(J52:J60)</f>
        <v>485900381.46449983</v>
      </c>
      <c r="K51" s="98">
        <f t="shared" si="32"/>
        <v>16.299912159157994</v>
      </c>
      <c r="L51" s="95">
        <f>+SUM(L52:L60)</f>
        <v>525725762.2100001</v>
      </c>
      <c r="M51" s="98">
        <f t="shared" si="33"/>
        <v>16.937041308311859</v>
      </c>
      <c r="N51" s="95">
        <f>+SUM(N52:N60)</f>
        <v>615023773.2299999</v>
      </c>
      <c r="O51" s="98">
        <f t="shared" si="34"/>
        <v>19.017432691094616</v>
      </c>
      <c r="P51" s="95">
        <f>+SUM(P52:P61)</f>
        <v>667002984.10000014</v>
      </c>
      <c r="Q51" s="98">
        <f t="shared" si="35"/>
        <v>21.181422168942525</v>
      </c>
      <c r="R51" s="95">
        <f>+SUM(R52:R61)</f>
        <v>587144582.66000009</v>
      </c>
      <c r="S51" s="98">
        <f t="shared" si="2"/>
        <v>18.645429744680854</v>
      </c>
      <c r="T51" s="95">
        <f>+SUM(T52:T61)</f>
        <v>605642630.86000001</v>
      </c>
      <c r="U51" s="98">
        <f t="shared" si="3"/>
        <v>18.155329321385356</v>
      </c>
      <c r="V51" s="95">
        <f>+SUM(V52:V61)</f>
        <v>625526473.45999992</v>
      </c>
      <c r="W51" s="98">
        <f t="shared" si="30"/>
        <v>17.790061508424255</v>
      </c>
      <c r="X51" s="208"/>
      <c r="Y51" s="208"/>
      <c r="Z51" s="256">
        <f t="shared" si="16"/>
        <v>0</v>
      </c>
      <c r="AA51" s="256">
        <f t="shared" si="17"/>
        <v>19883842.599999905</v>
      </c>
      <c r="AB51" s="95">
        <f>+SUM(AB52:AB61)</f>
        <v>625526473.45999992</v>
      </c>
      <c r="AC51" s="98">
        <f t="shared" si="36"/>
        <v>17.790061508424255</v>
      </c>
      <c r="AD51" s="95">
        <f>+SUM(AD52:AD60)</f>
        <v>595842440.03666019</v>
      </c>
      <c r="AE51" s="98">
        <f t="shared" si="37"/>
        <v>16.051760342184963</v>
      </c>
      <c r="AF51" s="208"/>
      <c r="AG51" s="95">
        <f>+SUM(AG52:AG61)</f>
        <v>631532907.64820004</v>
      </c>
      <c r="AH51" s="98">
        <f t="shared" si="38"/>
        <v>17.01324746378997</v>
      </c>
      <c r="AI51" s="95">
        <f>+SUM(AI52:AI60)</f>
        <v>608690098.36291015</v>
      </c>
      <c r="AJ51" s="98">
        <f t="shared" si="39"/>
        <v>15.4878076150847</v>
      </c>
      <c r="AK51" s="208"/>
      <c r="AL51" s="95">
        <f>+SUM(AL52:AL61)</f>
        <v>623902066.64612997</v>
      </c>
      <c r="AM51" s="98">
        <f t="shared" si="40"/>
        <v>15.874868352315241</v>
      </c>
      <c r="AN51" s="95">
        <f>+SUM(AN52:AN61)</f>
        <v>619769489.24437904</v>
      </c>
      <c r="AO51" s="98">
        <f t="shared" si="41"/>
        <v>14.865872019386819</v>
      </c>
      <c r="AQ51" s="106"/>
      <c r="AR51" s="107"/>
      <c r="AS51" s="107"/>
      <c r="AT51" s="107"/>
      <c r="AU51" s="107"/>
      <c r="AV51" s="108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DU51" s="225"/>
      <c r="DV51" s="225"/>
      <c r="DW51" s="179"/>
      <c r="DX51" s="179"/>
      <c r="DY51" s="179"/>
      <c r="DZ51" s="176"/>
    </row>
    <row r="52" spans="1:130" ht="13.5" customHeight="1">
      <c r="B52" s="80">
        <v>411</v>
      </c>
      <c r="C52" s="94" t="s">
        <v>64</v>
      </c>
      <c r="D52" s="95">
        <v>211619268.66999999</v>
      </c>
      <c r="E52" s="98">
        <f t="shared" si="28"/>
        <v>9.8477950891153601</v>
      </c>
      <c r="F52" s="95">
        <v>256098289.82000002</v>
      </c>
      <c r="G52" s="98">
        <f t="shared" si="29"/>
        <v>9.5541238507741095</v>
      </c>
      <c r="H52" s="95">
        <v>274699863.13999999</v>
      </c>
      <c r="I52" s="98">
        <f t="shared" si="31"/>
        <v>8.9026401069484056</v>
      </c>
      <c r="J52" s="95">
        <v>259160937.78449979</v>
      </c>
      <c r="K52" s="98">
        <f t="shared" si="32"/>
        <v>8.6937583959912725</v>
      </c>
      <c r="L52" s="95">
        <v>283662646.70999998</v>
      </c>
      <c r="M52" s="98">
        <f t="shared" si="33"/>
        <v>9.138616195554123</v>
      </c>
      <c r="N52" s="95">
        <v>371258246.90999997</v>
      </c>
      <c r="O52" s="98">
        <f t="shared" si="34"/>
        <v>11.479846843228199</v>
      </c>
      <c r="P52" s="207">
        <v>374653307.63</v>
      </c>
      <c r="Q52" s="98">
        <f t="shared" si="35"/>
        <v>11.897532792315021</v>
      </c>
      <c r="R52" s="207">
        <f>VLOOKUP($B52,[1]Sheet3!$C$5:$I$137,4,FALSE)</f>
        <v>373750011.16000003</v>
      </c>
      <c r="S52" s="98">
        <f t="shared" si="2"/>
        <v>11.868847607494445</v>
      </c>
      <c r="T52" s="207">
        <f>VLOOKUP($B52,[1]Sheet3!$C$5:$I$137,6,FALSE)</f>
        <v>371004370.17000008</v>
      </c>
      <c r="U52" s="98">
        <f t="shared" si="3"/>
        <v>11.121585860864755</v>
      </c>
      <c r="V52" s="207">
        <v>386488693.71999997</v>
      </c>
      <c r="W52" s="98">
        <f t="shared" si="30"/>
        <v>10.991793193911903</v>
      </c>
      <c r="X52" s="208"/>
      <c r="Y52" s="208"/>
      <c r="Z52" s="256">
        <f t="shared" si="16"/>
        <v>0</v>
      </c>
      <c r="AA52" s="256">
        <f t="shared" si="17"/>
        <v>15484323.549999893</v>
      </c>
      <c r="AB52" s="207">
        <v>386488693.71999997</v>
      </c>
      <c r="AC52" s="98">
        <f t="shared" si="36"/>
        <v>10.991793193911903</v>
      </c>
      <c r="AD52" s="207">
        <v>387010899.19919997</v>
      </c>
      <c r="AE52" s="98">
        <f t="shared" si="37"/>
        <v>10.425920992430221</v>
      </c>
      <c r="AF52" s="208">
        <v>0</v>
      </c>
      <c r="AG52" s="207">
        <v>394218467.59439999</v>
      </c>
      <c r="AH52" s="98">
        <f t="shared" si="38"/>
        <v>10.620090042426959</v>
      </c>
      <c r="AI52" s="207">
        <v>388945953.69519585</v>
      </c>
      <c r="AJ52" s="98">
        <f t="shared" si="39"/>
        <v>9.8965304671430427</v>
      </c>
      <c r="AK52" s="208">
        <v>0</v>
      </c>
      <c r="AL52" s="207">
        <v>396189559.93237197</v>
      </c>
      <c r="AM52" s="98">
        <f t="shared" si="40"/>
        <v>10.080840315689196</v>
      </c>
      <c r="AN52" s="207">
        <v>398170507.73203379</v>
      </c>
      <c r="AO52" s="98">
        <f t="shared" si="41"/>
        <v>9.5505698692191103</v>
      </c>
      <c r="AQ52" s="106"/>
      <c r="AR52" s="107"/>
      <c r="AS52" s="107"/>
      <c r="AT52" s="107"/>
      <c r="AU52" s="107"/>
      <c r="AV52" s="108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DU52" s="225"/>
      <c r="DV52" s="225"/>
      <c r="DW52" s="179"/>
      <c r="DX52" s="179"/>
      <c r="DY52" s="179"/>
      <c r="DZ52" s="176"/>
    </row>
    <row r="53" spans="1:130" ht="13.5" customHeight="1">
      <c r="B53" s="80">
        <v>412</v>
      </c>
      <c r="C53" s="94" t="s">
        <v>75</v>
      </c>
      <c r="D53" s="95">
        <v>15461447.869999999</v>
      </c>
      <c r="E53" s="98">
        <f t="shared" si="28"/>
        <v>0.71950522918702586</v>
      </c>
      <c r="F53" s="95">
        <v>27511729.489999998</v>
      </c>
      <c r="G53" s="98">
        <f t="shared" si="29"/>
        <v>1.0263655844058945</v>
      </c>
      <c r="H53" s="95">
        <v>21753186.010000002</v>
      </c>
      <c r="I53" s="98">
        <f t="shared" si="31"/>
        <v>0.7049904721934146</v>
      </c>
      <c r="J53" s="95">
        <v>21646046.59</v>
      </c>
      <c r="K53" s="98">
        <f t="shared" si="32"/>
        <v>0.72613373331096953</v>
      </c>
      <c r="L53" s="95">
        <v>18835767.040000003</v>
      </c>
      <c r="M53" s="98">
        <f t="shared" si="33"/>
        <v>0.60682239175257746</v>
      </c>
      <c r="N53" s="95">
        <v>12829673.57</v>
      </c>
      <c r="O53" s="98">
        <f t="shared" si="34"/>
        <v>0.39671223160173164</v>
      </c>
      <c r="P53" s="337">
        <v>10336327.24</v>
      </c>
      <c r="Q53" s="98">
        <f t="shared" si="35"/>
        <v>0.32824157637345192</v>
      </c>
      <c r="R53" s="207">
        <f>VLOOKUP($B53,[1]Sheet3!$C$5:$I$137,4,FALSE)</f>
        <v>13690508.619999997</v>
      </c>
      <c r="S53" s="98">
        <f t="shared" si="2"/>
        <v>0.43475733947284845</v>
      </c>
      <c r="T53" s="207">
        <f>VLOOKUP($B53,[1]Sheet3!$C$5:$I$137,6,FALSE)</f>
        <v>12022159.040000003</v>
      </c>
      <c r="U53" s="98">
        <f t="shared" si="3"/>
        <v>0.36038786803256645</v>
      </c>
      <c r="V53" s="207">
        <v>11478163.960000001</v>
      </c>
      <c r="W53" s="98">
        <f t="shared" si="30"/>
        <v>0.3264406088565589</v>
      </c>
      <c r="X53" s="208"/>
      <c r="Y53" s="208"/>
      <c r="Z53" s="256">
        <f t="shared" si="16"/>
        <v>0</v>
      </c>
      <c r="AA53" s="256">
        <f t="shared" si="17"/>
        <v>-543995.08000000194</v>
      </c>
      <c r="AB53" s="207">
        <v>11478163.960000001</v>
      </c>
      <c r="AC53" s="98">
        <f t="shared" si="36"/>
        <v>0.3264406088565589</v>
      </c>
      <c r="AD53" s="207">
        <v>9881144.4494801089</v>
      </c>
      <c r="AE53" s="98">
        <f t="shared" si="37"/>
        <v>0.2661941344758979</v>
      </c>
      <c r="AF53" s="208">
        <v>0</v>
      </c>
      <c r="AG53" s="207">
        <v>11363382.320400001</v>
      </c>
      <c r="AH53" s="98">
        <f t="shared" si="38"/>
        <v>0.30612503814340564</v>
      </c>
      <c r="AI53" s="207">
        <v>8577730.8111422528</v>
      </c>
      <c r="AJ53" s="98">
        <f t="shared" si="39"/>
        <v>0.21825596462676208</v>
      </c>
      <c r="AK53" s="208">
        <v>0</v>
      </c>
      <c r="AL53" s="207">
        <v>10799804.469964001</v>
      </c>
      <c r="AM53" s="98">
        <f t="shared" si="40"/>
        <v>0.27479549012083349</v>
      </c>
      <c r="AN53" s="207">
        <v>10475810.33586508</v>
      </c>
      <c r="AO53" s="98">
        <f t="shared" si="41"/>
        <v>0.25127415669043013</v>
      </c>
      <c r="AQ53" s="106"/>
      <c r="AR53" s="107"/>
      <c r="AS53" s="107"/>
      <c r="AT53" s="107"/>
      <c r="AU53" s="107"/>
      <c r="AV53" s="108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DU53" s="225"/>
      <c r="DV53" s="225"/>
      <c r="DW53" s="179"/>
      <c r="DX53" s="179"/>
      <c r="DY53" s="179"/>
      <c r="DZ53" s="176"/>
    </row>
    <row r="54" spans="1:130" ht="13.5" customHeight="1">
      <c r="B54" s="80">
        <v>413</v>
      </c>
      <c r="C54" s="94" t="s">
        <v>448</v>
      </c>
      <c r="D54" s="95">
        <v>112547776.84</v>
      </c>
      <c r="E54" s="98">
        <f t="shared" si="28"/>
        <v>5.2374599488110203</v>
      </c>
      <c r="F54" s="95">
        <v>137071242.36000001</v>
      </c>
      <c r="G54" s="98">
        <f t="shared" si="29"/>
        <v>5.1136445573587022</v>
      </c>
      <c r="H54" s="95">
        <v>114434326.15000001</v>
      </c>
      <c r="I54" s="98">
        <f t="shared" si="31"/>
        <v>3.7086571866087636</v>
      </c>
      <c r="J54" s="95">
        <v>109956288.45999999</v>
      </c>
      <c r="K54" s="98">
        <f t="shared" si="32"/>
        <v>3.6885705622274405</v>
      </c>
      <c r="L54" s="95">
        <v>112683384.09</v>
      </c>
      <c r="M54" s="98">
        <f t="shared" si="33"/>
        <v>3.6302636626932991</v>
      </c>
      <c r="N54" s="95">
        <v>104006154.47999999</v>
      </c>
      <c r="O54" s="98">
        <f t="shared" si="34"/>
        <v>3.2160220927643786</v>
      </c>
      <c r="P54" s="207">
        <v>150386742.56999999</v>
      </c>
      <c r="Q54" s="98">
        <f t="shared" si="35"/>
        <v>4.7756983985392187</v>
      </c>
      <c r="R54" s="207">
        <f>VLOOKUP($B54,[1]Sheet3!$C$5:$I$137,4,FALSE)</f>
        <v>28561571.449999999</v>
      </c>
      <c r="S54" s="98">
        <f t="shared" si="2"/>
        <v>0.90700449190219112</v>
      </c>
      <c r="T54" s="207">
        <f>VLOOKUP($B54,[1]Sheet3!$C$5:$I$137,6,FALSE)</f>
        <v>27269260.950000003</v>
      </c>
      <c r="U54" s="98">
        <f t="shared" si="3"/>
        <v>0.81744974292023809</v>
      </c>
      <c r="V54" s="207">
        <v>29295302.830000002</v>
      </c>
      <c r="W54" s="98">
        <f t="shared" si="30"/>
        <v>0.83316256204293437</v>
      </c>
      <c r="X54" s="208"/>
      <c r="Y54" s="208"/>
      <c r="Z54" s="256">
        <f t="shared" si="16"/>
        <v>0</v>
      </c>
      <c r="AA54" s="256">
        <f t="shared" si="17"/>
        <v>2026041.879999999</v>
      </c>
      <c r="AB54" s="207">
        <v>29295302.830000002</v>
      </c>
      <c r="AC54" s="98">
        <f t="shared" si="36"/>
        <v>0.83316256204293437</v>
      </c>
      <c r="AD54" s="207">
        <v>86391320.407999992</v>
      </c>
      <c r="AE54" s="98">
        <f t="shared" si="37"/>
        <v>2.3273481001937486</v>
      </c>
      <c r="AF54" s="208">
        <v>0</v>
      </c>
      <c r="AG54" s="207">
        <v>29002349.801700003</v>
      </c>
      <c r="AH54" s="98">
        <f t="shared" si="38"/>
        <v>0.78131186551340814</v>
      </c>
      <c r="AI54" s="207">
        <v>87255233.612079993</v>
      </c>
      <c r="AJ54" s="98">
        <f t="shared" si="39"/>
        <v>2.2201647032336753</v>
      </c>
      <c r="AK54" s="208">
        <v>0</v>
      </c>
      <c r="AL54" s="207">
        <v>27563950.432747003</v>
      </c>
      <c r="AM54" s="98">
        <f t="shared" si="40"/>
        <v>0.70135059295738533</v>
      </c>
      <c r="AN54" s="207">
        <v>26737031.919764593</v>
      </c>
      <c r="AO54" s="98">
        <f t="shared" si="41"/>
        <v>0.64131794416352117</v>
      </c>
      <c r="AQ54" s="106"/>
      <c r="AR54" s="107"/>
      <c r="AS54" s="107"/>
      <c r="AT54" s="107"/>
      <c r="AU54" s="107"/>
      <c r="AV54" s="108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DU54" s="225"/>
      <c r="DV54" s="225"/>
      <c r="DW54" s="179"/>
      <c r="DX54" s="179"/>
      <c r="DY54" s="179"/>
      <c r="DZ54" s="176"/>
    </row>
    <row r="55" spans="1:130" ht="13.5" customHeight="1">
      <c r="B55" s="80">
        <v>414</v>
      </c>
      <c r="C55" s="94" t="s">
        <v>449</v>
      </c>
      <c r="D55" s="95"/>
      <c r="E55" s="98">
        <f t="shared" si="28"/>
        <v>0</v>
      </c>
      <c r="F55" s="95"/>
      <c r="G55" s="98">
        <f t="shared" si="29"/>
        <v>0</v>
      </c>
      <c r="H55" s="95"/>
      <c r="I55" s="98">
        <f t="shared" si="31"/>
        <v>0</v>
      </c>
      <c r="J55" s="95"/>
      <c r="K55" s="98">
        <f t="shared" si="32"/>
        <v>0</v>
      </c>
      <c r="L55" s="95"/>
      <c r="M55" s="98">
        <f t="shared" si="33"/>
        <v>0</v>
      </c>
      <c r="N55" s="95"/>
      <c r="O55" s="98">
        <f t="shared" si="34"/>
        <v>0</v>
      </c>
      <c r="P55" s="207"/>
      <c r="Q55" s="98">
        <f t="shared" si="35"/>
        <v>0</v>
      </c>
      <c r="R55" s="207">
        <f>VLOOKUP($B55,[1]Sheet3!$C$5:$I$137,4,FALSE)</f>
        <v>42347109.620000005</v>
      </c>
      <c r="S55" s="98">
        <f t="shared" si="2"/>
        <v>1.3447796005080979</v>
      </c>
      <c r="T55" s="207">
        <f>VLOOKUP($B55,[1]Sheet3!$C$5:$I$137,6,FALSE)</f>
        <v>47503563.839999996</v>
      </c>
      <c r="U55" s="98">
        <f t="shared" si="3"/>
        <v>1.4240127783442227</v>
      </c>
      <c r="V55" s="207">
        <v>40692845.799999997</v>
      </c>
      <c r="W55" s="98">
        <f t="shared" si="30"/>
        <v>1.1573102985242654</v>
      </c>
      <c r="X55" s="208"/>
      <c r="Y55" s="208"/>
      <c r="Z55" s="256">
        <f t="shared" si="16"/>
        <v>0</v>
      </c>
      <c r="AA55" s="256">
        <f t="shared" si="17"/>
        <v>-6810718.0399999991</v>
      </c>
      <c r="AB55" s="207">
        <v>40692845.799999997</v>
      </c>
      <c r="AC55" s="98">
        <f t="shared" si="36"/>
        <v>1.1573102985242654</v>
      </c>
      <c r="AD55" s="207"/>
      <c r="AE55" s="98">
        <f t="shared" si="37"/>
        <v>0</v>
      </c>
      <c r="AF55" s="208"/>
      <c r="AG55" s="207">
        <v>40285917.342</v>
      </c>
      <c r="AH55" s="98">
        <f t="shared" si="38"/>
        <v>1.0852867249588167</v>
      </c>
      <c r="AI55" s="207"/>
      <c r="AJ55" s="98">
        <f t="shared" si="39"/>
        <v>0</v>
      </c>
      <c r="AK55" s="208"/>
      <c r="AL55" s="207">
        <v>38287898.613219999</v>
      </c>
      <c r="AM55" s="98">
        <f t="shared" si="40"/>
        <v>0.97421595866648525</v>
      </c>
      <c r="AN55" s="207">
        <v>37139261.6548234</v>
      </c>
      <c r="AO55" s="98">
        <f t="shared" si="41"/>
        <v>0.89082718694050689</v>
      </c>
      <c r="AQ55" s="106">
        <f>+AB62+AB52</f>
        <v>884712092.68999994</v>
      </c>
      <c r="AR55" s="107"/>
      <c r="AS55" s="107"/>
      <c r="AT55" s="107"/>
      <c r="AU55" s="107"/>
      <c r="AV55" s="108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DU55" s="225"/>
      <c r="DV55" s="225"/>
      <c r="DW55" s="179"/>
      <c r="DX55" s="179"/>
      <c r="DY55" s="179"/>
      <c r="DZ55" s="176"/>
    </row>
    <row r="56" spans="1:130" ht="13.5" customHeight="1">
      <c r="B56" s="80">
        <v>415</v>
      </c>
      <c r="C56" s="94" t="s">
        <v>450</v>
      </c>
      <c r="D56" s="95">
        <v>20449366.720000003</v>
      </c>
      <c r="E56" s="98">
        <f t="shared" si="28"/>
        <v>0.95162021127088292</v>
      </c>
      <c r="F56" s="95">
        <v>22633631.750000004</v>
      </c>
      <c r="G56" s="98">
        <f t="shared" si="29"/>
        <v>0.8443809643723188</v>
      </c>
      <c r="H56" s="95">
        <v>22151878.379999999</v>
      </c>
      <c r="I56" s="98">
        <f t="shared" si="31"/>
        <v>0.71791153681617836</v>
      </c>
      <c r="J56" s="95">
        <v>5130736.91</v>
      </c>
      <c r="K56" s="98">
        <f t="shared" si="32"/>
        <v>0.17211462294532037</v>
      </c>
      <c r="L56" s="95">
        <v>28005189.850000001</v>
      </c>
      <c r="M56" s="98">
        <f t="shared" si="33"/>
        <v>0.90222905444587631</v>
      </c>
      <c r="N56" s="95">
        <v>23542025.550000001</v>
      </c>
      <c r="O56" s="98">
        <f t="shared" si="34"/>
        <v>0.72795378942486089</v>
      </c>
      <c r="P56" s="207">
        <v>22365850.899999999</v>
      </c>
      <c r="Q56" s="98">
        <f t="shared" si="35"/>
        <v>0.71025248967926324</v>
      </c>
      <c r="R56" s="207">
        <f>VLOOKUP($B56,[1]Sheet3!$C$5:$I$137,4,FALSE)</f>
        <v>20847543.309999999</v>
      </c>
      <c r="S56" s="98">
        <f t="shared" si="2"/>
        <v>0.66203694220387421</v>
      </c>
      <c r="T56" s="207">
        <f>VLOOKUP($B56,[1]Sheet3!$C$5:$I$137,6,FALSE)</f>
        <v>20415784.170000002</v>
      </c>
      <c r="U56" s="98">
        <f t="shared" si="3"/>
        <v>0.6120032938142963</v>
      </c>
      <c r="V56" s="207">
        <v>21655403.200000003</v>
      </c>
      <c r="W56" s="98">
        <f t="shared" si="30"/>
        <v>0.61588273440574504</v>
      </c>
      <c r="X56" s="208"/>
      <c r="Y56" s="208"/>
      <c r="Z56" s="256">
        <f t="shared" si="16"/>
        <v>0</v>
      </c>
      <c r="AA56" s="256">
        <f t="shared" si="17"/>
        <v>1239619.0300000012</v>
      </c>
      <c r="AB56" s="207">
        <v>21655403.200000003</v>
      </c>
      <c r="AC56" s="98">
        <f t="shared" si="36"/>
        <v>0.61588273440574504</v>
      </c>
      <c r="AD56" s="207">
        <v>21841680.480619997</v>
      </c>
      <c r="AE56" s="98">
        <f t="shared" si="37"/>
        <v>0.58840625807708558</v>
      </c>
      <c r="AF56" s="208">
        <v>0</v>
      </c>
      <c r="AG56" s="207">
        <v>21438849.168000001</v>
      </c>
      <c r="AH56" s="98">
        <f t="shared" si="38"/>
        <v>0.57755414138646155</v>
      </c>
      <c r="AI56" s="207">
        <v>21863522.161100615</v>
      </c>
      <c r="AJ56" s="98">
        <f t="shared" si="39"/>
        <v>0.55630611690577902</v>
      </c>
      <c r="AK56" s="208">
        <v>0</v>
      </c>
      <c r="AL56" s="207">
        <v>20375568.87088</v>
      </c>
      <c r="AM56" s="98">
        <f t="shared" si="40"/>
        <v>0.51844590797327006</v>
      </c>
      <c r="AN56" s="207">
        <v>19764301.804753602</v>
      </c>
      <c r="AO56" s="98">
        <f t="shared" si="41"/>
        <v>0.4740691277659046</v>
      </c>
      <c r="AQ56" s="106">
        <f>+AQ55/AB49*100</f>
        <v>65.887666584873344</v>
      </c>
      <c r="AR56" s="107"/>
      <c r="AS56" s="107"/>
      <c r="AT56" s="107"/>
      <c r="AU56" s="107"/>
      <c r="AV56" s="108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DU56" s="225"/>
      <c r="DV56" s="225"/>
      <c r="DW56" s="179"/>
      <c r="DX56" s="179"/>
      <c r="DY56" s="179"/>
      <c r="DZ56" s="176"/>
    </row>
    <row r="57" spans="1:130" ht="13.5" customHeight="1">
      <c r="B57" s="80">
        <v>416</v>
      </c>
      <c r="C57" s="94" t="s">
        <v>80</v>
      </c>
      <c r="D57" s="95">
        <v>23398994.059999999</v>
      </c>
      <c r="E57" s="98">
        <f t="shared" si="28"/>
        <v>1.0888824077434966</v>
      </c>
      <c r="F57" s="95">
        <v>27098929.48</v>
      </c>
      <c r="G57" s="98">
        <f t="shared" si="29"/>
        <v>1.0109654721134116</v>
      </c>
      <c r="H57" s="95">
        <v>22531993.84</v>
      </c>
      <c r="I57" s="98">
        <f t="shared" si="31"/>
        <v>0.73023054964998702</v>
      </c>
      <c r="J57" s="95">
        <v>24512028.640000001</v>
      </c>
      <c r="K57" s="98">
        <f t="shared" si="32"/>
        <v>0.82227536531365319</v>
      </c>
      <c r="L57" s="95">
        <v>30256278.469999999</v>
      </c>
      <c r="M57" s="98">
        <f t="shared" si="33"/>
        <v>0.97475123936855668</v>
      </c>
      <c r="N57" s="95">
        <v>45092350.030000001</v>
      </c>
      <c r="O57" s="98">
        <f t="shared" si="34"/>
        <v>1.3943212748917748</v>
      </c>
      <c r="P57" s="207">
        <v>56859854.539999999</v>
      </c>
      <c r="Q57" s="98">
        <f t="shared" si="35"/>
        <v>1.805647968879009</v>
      </c>
      <c r="R57" s="207">
        <f>VLOOKUP($B57,[1]Sheet3!$C$5:$I$137,4,FALSE)</f>
        <v>47182534.509999998</v>
      </c>
      <c r="S57" s="98">
        <f t="shared" si="2"/>
        <v>1.4983338999682438</v>
      </c>
      <c r="T57" s="207">
        <f>VLOOKUP($B57,[1]Sheet3!$C$5:$I$137,6,FALSE)</f>
        <v>67922775.540000007</v>
      </c>
      <c r="U57" s="98">
        <f t="shared" si="3"/>
        <v>2.0361188191131392</v>
      </c>
      <c r="V57" s="207">
        <v>73316123.120000005</v>
      </c>
      <c r="W57" s="98">
        <f t="shared" si="30"/>
        <v>2.0851209264565371</v>
      </c>
      <c r="X57" s="208"/>
      <c r="Y57" s="208"/>
      <c r="Z57" s="256">
        <f t="shared" si="16"/>
        <v>0</v>
      </c>
      <c r="AA57" s="256">
        <f t="shared" si="17"/>
        <v>5393347.5799999982</v>
      </c>
      <c r="AB57" s="207">
        <v>73316123.120000005</v>
      </c>
      <c r="AC57" s="98">
        <f t="shared" si="36"/>
        <v>2.0851209264565371</v>
      </c>
      <c r="AD57" s="207">
        <v>65209197.090000004</v>
      </c>
      <c r="AE57" s="98">
        <f t="shared" si="37"/>
        <v>1.7567100519569969</v>
      </c>
      <c r="AF57" s="208">
        <v>0</v>
      </c>
      <c r="AG57" s="232">
        <v>73250000</v>
      </c>
      <c r="AH57" s="98">
        <f t="shared" si="38"/>
        <v>1.9733261111657403</v>
      </c>
      <c r="AI57" s="207">
        <v>77400000</v>
      </c>
      <c r="AJ57" s="98">
        <f t="shared" si="39"/>
        <v>1.9694033345238342</v>
      </c>
      <c r="AK57" s="208">
        <v>0</v>
      </c>
      <c r="AL57" s="232">
        <v>71785000</v>
      </c>
      <c r="AM57" s="98">
        <f t="shared" si="40"/>
        <v>1.8265325370645145</v>
      </c>
      <c r="AN57" s="232">
        <v>70349300</v>
      </c>
      <c r="AO57" s="98">
        <f t="shared" si="41"/>
        <v>1.6874075097315449</v>
      </c>
      <c r="AQ57" s="106"/>
      <c r="AR57" s="107"/>
      <c r="AS57" s="107"/>
      <c r="AT57" s="107"/>
      <c r="AU57" s="107"/>
      <c r="AV57" s="108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DU57" s="225"/>
      <c r="DV57" s="225"/>
      <c r="DW57" s="179"/>
      <c r="DX57" s="179"/>
      <c r="DY57" s="179"/>
      <c r="DZ57" s="176"/>
    </row>
    <row r="58" spans="1:130" ht="13.5" customHeight="1">
      <c r="B58" s="80">
        <v>417</v>
      </c>
      <c r="C58" s="94" t="s">
        <v>82</v>
      </c>
      <c r="D58" s="95">
        <v>2663918.17</v>
      </c>
      <c r="E58" s="98">
        <f t="shared" si="28"/>
        <v>0.12396659546744847</v>
      </c>
      <c r="F58" s="95">
        <v>4927168.12</v>
      </c>
      <c r="G58" s="98">
        <f t="shared" si="29"/>
        <v>0.18381526282409999</v>
      </c>
      <c r="H58" s="95">
        <v>8361199.96</v>
      </c>
      <c r="I58" s="98">
        <f t="shared" si="31"/>
        <v>0.27097484962406015</v>
      </c>
      <c r="J58" s="95">
        <v>8038103.2300000004</v>
      </c>
      <c r="K58" s="98">
        <f t="shared" si="32"/>
        <v>0.26964452297886615</v>
      </c>
      <c r="L58" s="95">
        <v>8015830.71</v>
      </c>
      <c r="M58" s="98">
        <f t="shared" si="33"/>
        <v>0.25824196874999999</v>
      </c>
      <c r="N58" s="95">
        <v>7376287.9199999999</v>
      </c>
      <c r="O58" s="98">
        <f t="shared" si="34"/>
        <v>0.22808558812615953</v>
      </c>
      <c r="P58" s="207">
        <v>7110247.5800000001</v>
      </c>
      <c r="Q58" s="98">
        <f t="shared" si="35"/>
        <v>0.22579382597650047</v>
      </c>
      <c r="R58" s="207">
        <f>VLOOKUP($B58,[1]Sheet3!$C$5:$I$137,4,FALSE)</f>
        <v>8109421.540000001</v>
      </c>
      <c r="S58" s="98">
        <f t="shared" si="2"/>
        <v>0.25752370720863771</v>
      </c>
      <c r="T58" s="207">
        <f>VLOOKUP($B58,[1]Sheet3!$C$5:$I$137,6,FALSE)</f>
        <v>7928041.8100000005</v>
      </c>
      <c r="U58" s="98">
        <f t="shared" si="3"/>
        <v>0.23765864983757101</v>
      </c>
      <c r="V58" s="207">
        <v>8172802.1399999997</v>
      </c>
      <c r="W58" s="98">
        <f t="shared" si="30"/>
        <v>0.23243565050501225</v>
      </c>
      <c r="X58" s="208"/>
      <c r="Y58" s="208"/>
      <c r="Z58" s="256">
        <f t="shared" si="16"/>
        <v>0</v>
      </c>
      <c r="AA58" s="256">
        <f t="shared" si="17"/>
        <v>244760.32999999914</v>
      </c>
      <c r="AB58" s="207">
        <v>8172802.1399999997</v>
      </c>
      <c r="AC58" s="98">
        <f t="shared" si="36"/>
        <v>0.23243565050501225</v>
      </c>
      <c r="AD58" s="207">
        <v>8134697.9313599998</v>
      </c>
      <c r="AE58" s="98">
        <f t="shared" si="37"/>
        <v>0.2191455540532235</v>
      </c>
      <c r="AF58" s="208">
        <v>0</v>
      </c>
      <c r="AG58" s="207">
        <v>8091074.1185999997</v>
      </c>
      <c r="AH58" s="98">
        <f t="shared" si="38"/>
        <v>0.2179703457421257</v>
      </c>
      <c r="AI58" s="207">
        <v>8142832.6292913593</v>
      </c>
      <c r="AJ58" s="98">
        <f t="shared" si="39"/>
        <v>0.20719020326351267</v>
      </c>
      <c r="AK58" s="208">
        <v>0</v>
      </c>
      <c r="AL58" s="207">
        <v>7689789.5335259996</v>
      </c>
      <c r="AM58" s="98">
        <f t="shared" si="40"/>
        <v>0.19566275386450363</v>
      </c>
      <c r="AN58" s="207">
        <v>7459095.8475202192</v>
      </c>
      <c r="AO58" s="98">
        <f t="shared" si="41"/>
        <v>0.17891484846207423</v>
      </c>
      <c r="AQ58" s="106"/>
      <c r="AR58" s="107"/>
      <c r="AS58" s="107"/>
      <c r="AT58" s="107"/>
      <c r="AU58" s="107"/>
      <c r="AV58" s="108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DU58" s="225"/>
      <c r="DV58" s="225"/>
      <c r="DW58" s="179"/>
      <c r="DX58" s="179"/>
      <c r="DY58" s="179"/>
      <c r="DZ58" s="176"/>
    </row>
    <row r="59" spans="1:130" ht="13.5" customHeight="1">
      <c r="B59" s="80">
        <v>418</v>
      </c>
      <c r="C59" s="94" t="s">
        <v>84</v>
      </c>
      <c r="D59" s="95">
        <v>6072666.8299999991</v>
      </c>
      <c r="E59" s="98">
        <f t="shared" si="28"/>
        <v>0.28259420308064587</v>
      </c>
      <c r="F59" s="95">
        <v>13072586.5</v>
      </c>
      <c r="G59" s="98">
        <f t="shared" si="29"/>
        <v>0.48769209102779337</v>
      </c>
      <c r="H59" s="95">
        <v>18592791.149999999</v>
      </c>
      <c r="I59" s="98">
        <f t="shared" si="31"/>
        <v>0.60256647491573756</v>
      </c>
      <c r="J59" s="95">
        <v>49824327.469999999</v>
      </c>
      <c r="K59" s="98">
        <f t="shared" si="32"/>
        <v>1.6713964263669909</v>
      </c>
      <c r="L59" s="95">
        <v>39035362.68</v>
      </c>
      <c r="M59" s="98">
        <f t="shared" si="33"/>
        <v>1.2575825605670103</v>
      </c>
      <c r="N59" s="95">
        <v>45400496.520000003</v>
      </c>
      <c r="O59" s="98">
        <f t="shared" si="34"/>
        <v>1.4038496141001857</v>
      </c>
      <c r="P59" s="207">
        <v>25853418.300000001</v>
      </c>
      <c r="Q59" s="98">
        <f t="shared" si="35"/>
        <v>0.82100407430930455</v>
      </c>
      <c r="R59" s="207">
        <f>VLOOKUP($B59,[1]Sheet3!$C$5:$I$137,4,FALSE)</f>
        <v>17501512.219999999</v>
      </c>
      <c r="S59" s="98">
        <f t="shared" si="2"/>
        <v>0.55578000063512223</v>
      </c>
      <c r="T59" s="207">
        <f>VLOOKUP($B59,[1]Sheet3!$C$5:$I$137,6,FALSE)</f>
        <v>17425749.960000001</v>
      </c>
      <c r="U59" s="98">
        <f t="shared" si="3"/>
        <v>0.52237113617097675</v>
      </c>
      <c r="V59" s="207">
        <v>18874600</v>
      </c>
      <c r="W59" s="98">
        <f t="shared" si="30"/>
        <v>0.53679629750854385</v>
      </c>
      <c r="X59" s="208"/>
      <c r="Y59" s="208"/>
      <c r="Z59" s="256">
        <f t="shared" si="16"/>
        <v>0</v>
      </c>
      <c r="AA59" s="256">
        <f t="shared" si="17"/>
        <v>1448850.0399999991</v>
      </c>
      <c r="AB59" s="207">
        <v>18874600</v>
      </c>
      <c r="AC59" s="98">
        <f t="shared" si="36"/>
        <v>0.53679629750854385</v>
      </c>
      <c r="AD59" s="207">
        <v>11960120</v>
      </c>
      <c r="AE59" s="98">
        <f t="shared" si="37"/>
        <v>0.32220091588635624</v>
      </c>
      <c r="AF59" s="208">
        <v>0</v>
      </c>
      <c r="AG59" s="207">
        <v>18685854</v>
      </c>
      <c r="AH59" s="98">
        <f t="shared" si="38"/>
        <v>0.50338953730553992</v>
      </c>
      <c r="AI59" s="207">
        <v>11362114</v>
      </c>
      <c r="AJ59" s="98">
        <f t="shared" si="39"/>
        <v>0.28910316794366847</v>
      </c>
      <c r="AK59" s="208">
        <v>0</v>
      </c>
      <c r="AL59" s="207">
        <v>17759111.140000001</v>
      </c>
      <c r="AM59" s="98">
        <f t="shared" si="40"/>
        <v>0.45187148187720122</v>
      </c>
      <c r="AN59" s="207">
        <v>17226337.805799998</v>
      </c>
      <c r="AO59" s="98">
        <f t="shared" si="41"/>
        <v>0.41319319138469524</v>
      </c>
      <c r="AQ59" s="106"/>
      <c r="AR59" s="107"/>
      <c r="AS59" s="107"/>
      <c r="AT59" s="107"/>
      <c r="AU59" s="107"/>
      <c r="AV59" s="108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DU59" s="225"/>
      <c r="DV59" s="225"/>
      <c r="DW59" s="179"/>
      <c r="DX59" s="179"/>
      <c r="DY59" s="179"/>
      <c r="DZ59" s="176"/>
    </row>
    <row r="60" spans="1:130" ht="13.5" customHeight="1">
      <c r="B60" s="80">
        <v>419</v>
      </c>
      <c r="C60" s="94" t="s">
        <v>86</v>
      </c>
      <c r="D60" s="95">
        <v>3904147.64</v>
      </c>
      <c r="E60" s="98">
        <f t="shared" si="28"/>
        <v>0.18168121550560754</v>
      </c>
      <c r="F60" s="95">
        <v>5748223.0299999993</v>
      </c>
      <c r="G60" s="98">
        <f t="shared" si="29"/>
        <v>0.21444592538705462</v>
      </c>
      <c r="H60" s="95">
        <v>5738203.1799999997</v>
      </c>
      <c r="I60" s="98">
        <f t="shared" si="31"/>
        <v>0.18596717591392273</v>
      </c>
      <c r="J60" s="95">
        <v>7631912.3799999999</v>
      </c>
      <c r="K60" s="98">
        <f t="shared" si="32"/>
        <v>0.25601853002348207</v>
      </c>
      <c r="L60" s="95">
        <v>5231302.66</v>
      </c>
      <c r="M60" s="98">
        <f t="shared" si="33"/>
        <v>0.16853423518041238</v>
      </c>
      <c r="N60" s="95">
        <v>5518538.25</v>
      </c>
      <c r="O60" s="98">
        <f t="shared" si="34"/>
        <v>0.17064125695732837</v>
      </c>
      <c r="P60" s="207">
        <v>6046195.5600000005</v>
      </c>
      <c r="Q60" s="98">
        <f t="shared" si="35"/>
        <v>0.19200366973642427</v>
      </c>
      <c r="R60" s="207">
        <f>VLOOKUP($B60,[1]Sheet3!$C$5:$I$137,4,FALSE)</f>
        <v>24188298.130000003</v>
      </c>
      <c r="S60" s="98">
        <f t="shared" si="2"/>
        <v>0.76812632994601471</v>
      </c>
      <c r="T60" s="207">
        <f>VLOOKUP($B60,[1]Sheet3!$C$5:$I$137,6,FALSE)</f>
        <v>21938694.789999992</v>
      </c>
      <c r="U60" s="98">
        <f t="shared" si="3"/>
        <v>0.65765553562209977</v>
      </c>
      <c r="V60" s="207">
        <v>25049575.370000001</v>
      </c>
      <c r="W60" s="98">
        <f t="shared" si="30"/>
        <v>0.71241347169090818</v>
      </c>
      <c r="X60" s="208"/>
      <c r="Y60" s="208"/>
      <c r="Z60" s="256">
        <f t="shared" si="16"/>
        <v>0</v>
      </c>
      <c r="AA60" s="256">
        <f t="shared" si="17"/>
        <v>3110880.5800000094</v>
      </c>
      <c r="AB60" s="207">
        <v>25049575.370000001</v>
      </c>
      <c r="AC60" s="98">
        <f t="shared" si="36"/>
        <v>0.71241347169090818</v>
      </c>
      <c r="AD60" s="207">
        <v>5413380.4779999992</v>
      </c>
      <c r="AE60" s="98">
        <f t="shared" si="37"/>
        <v>0.14583433511143037</v>
      </c>
      <c r="AF60" s="208">
        <v>0</v>
      </c>
      <c r="AG60" s="207">
        <v>24799079.616300002</v>
      </c>
      <c r="AH60" s="98">
        <f t="shared" si="38"/>
        <v>0.66807742443307661</v>
      </c>
      <c r="AI60" s="207">
        <v>5142711.4540999988</v>
      </c>
      <c r="AJ60" s="98">
        <f t="shared" si="39"/>
        <v>0.13085365744442445</v>
      </c>
      <c r="AK60" s="208">
        <v>0</v>
      </c>
      <c r="AL60" s="207">
        <v>23569145.465632997</v>
      </c>
      <c r="AM60" s="98">
        <f t="shared" si="40"/>
        <v>0.59970482780226009</v>
      </c>
      <c r="AN60" s="207">
        <v>22862071.101664007</v>
      </c>
      <c r="AO60" s="98">
        <f t="shared" si="41"/>
        <v>0.54837262723245828</v>
      </c>
      <c r="AQ60" s="106"/>
      <c r="AR60" s="107"/>
      <c r="AS60" s="107"/>
      <c r="AT60" s="107"/>
      <c r="AU60" s="107"/>
      <c r="AV60" s="108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DU60" s="225"/>
      <c r="DV60" s="225"/>
      <c r="DW60" s="179"/>
      <c r="DX60" s="179"/>
      <c r="DY60" s="179"/>
      <c r="DZ60" s="176"/>
    </row>
    <row r="61" spans="1:130" ht="13.5" customHeight="1">
      <c r="B61" s="80">
        <v>441</v>
      </c>
      <c r="C61" s="94" t="s">
        <v>130</v>
      </c>
      <c r="D61" s="207">
        <v>40141835.139999993</v>
      </c>
      <c r="E61" s="222">
        <f t="shared" si="28"/>
        <v>1.8680178295872305</v>
      </c>
      <c r="F61" s="207"/>
      <c r="G61" s="222">
        <f t="shared" si="29"/>
        <v>0</v>
      </c>
      <c r="H61" s="207">
        <v>75166022.909999996</v>
      </c>
      <c r="I61" s="222">
        <f t="shared" ref="I61:I87" si="42">H61/H$11*100</f>
        <v>2.4360261508296603</v>
      </c>
      <c r="J61" s="207">
        <v>26511453.920000002</v>
      </c>
      <c r="K61" s="222">
        <f t="shared" ref="K61:K87" si="43">J61/J$11*100</f>
        <v>0.88934766588393155</v>
      </c>
      <c r="L61" s="207">
        <v>19371879.949999999</v>
      </c>
      <c r="M61" s="222">
        <f t="shared" ref="M61:M87" si="44">L61/L$11*100</f>
        <v>0.62409407055412369</v>
      </c>
      <c r="N61" s="207">
        <v>17010992.290000129</v>
      </c>
      <c r="O61" s="222">
        <f t="shared" ref="O61:O87" si="45">N61/N$11*100</f>
        <v>0.52600470902907015</v>
      </c>
      <c r="P61" s="207">
        <v>13391039.780000195</v>
      </c>
      <c r="Q61" s="222">
        <f t="shared" ref="Q61:Q87" si="46">P61/P$11*100</f>
        <v>0.42524737313433458</v>
      </c>
      <c r="R61" s="207">
        <f>VLOOKUP($B61,[1]Sheet3!$C$5:$I$137,4,FALSE)</f>
        <v>10966072.1</v>
      </c>
      <c r="S61" s="222">
        <f t="shared" si="2"/>
        <v>0.34823982534137821</v>
      </c>
      <c r="T61" s="207">
        <f>VLOOKUP($B61,[1]Sheet3!$C$5:$I$137,6,FALSE)</f>
        <v>12212230.590000004</v>
      </c>
      <c r="U61" s="222">
        <f t="shared" si="3"/>
        <v>0.36608563666549132</v>
      </c>
      <c r="V61" s="207">
        <v>10502963.32</v>
      </c>
      <c r="W61" s="222">
        <f t="shared" si="30"/>
        <v>0.2987057645218465</v>
      </c>
      <c r="X61" s="208"/>
      <c r="Y61" s="208"/>
      <c r="Z61" s="256">
        <f t="shared" si="16"/>
        <v>0</v>
      </c>
      <c r="AA61" s="256">
        <f t="shared" si="17"/>
        <v>-1709267.2700000033</v>
      </c>
      <c r="AB61" s="207">
        <v>10502963.32</v>
      </c>
      <c r="AC61" s="222">
        <f t="shared" si="36"/>
        <v>0.2987057645218465</v>
      </c>
      <c r="AD61" s="207"/>
      <c r="AE61" s="222">
        <f t="shared" si="37"/>
        <v>0</v>
      </c>
      <c r="AF61" s="208"/>
      <c r="AG61" s="207">
        <v>10397933.686799999</v>
      </c>
      <c r="AH61" s="98">
        <f>AG61/AG$11*100</f>
        <v>0.28011623271443403</v>
      </c>
      <c r="AI61" s="207"/>
      <c r="AJ61" s="98"/>
      <c r="AK61" s="208"/>
      <c r="AL61" s="207">
        <v>9882238.1877879985</v>
      </c>
      <c r="AM61" s="98">
        <f t="shared" si="40"/>
        <v>0.25144848629959249</v>
      </c>
      <c r="AN61" s="207">
        <v>9585771.0421543587</v>
      </c>
      <c r="AO61" s="98">
        <f t="shared" si="41"/>
        <v>0.22992555779657284</v>
      </c>
      <c r="AQ61" s="106"/>
      <c r="AR61" s="107"/>
      <c r="AS61" s="107"/>
      <c r="AT61" s="107"/>
      <c r="AU61" s="107"/>
      <c r="AV61" s="108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DU61" s="225"/>
      <c r="DV61" s="225"/>
      <c r="DW61" s="179"/>
      <c r="DX61" s="179"/>
      <c r="DY61" s="179"/>
      <c r="DZ61" s="176"/>
    </row>
    <row r="62" spans="1:130" ht="13.5" customHeight="1">
      <c r="A62" s="80">
        <v>42</v>
      </c>
      <c r="B62" s="80" t="s">
        <v>447</v>
      </c>
      <c r="C62" s="94" t="s">
        <v>87</v>
      </c>
      <c r="D62" s="95">
        <f>+SUM(D63:D67)</f>
        <v>259768574.91000003</v>
      </c>
      <c r="E62" s="98">
        <f t="shared" si="28"/>
        <v>12.088444083484575</v>
      </c>
      <c r="F62" s="95">
        <f>+SUM(F63:F67)</f>
        <v>298508977.88999999</v>
      </c>
      <c r="G62" s="98">
        <f t="shared" si="29"/>
        <v>11.136317026301063</v>
      </c>
      <c r="H62" s="95">
        <f>+SUM(H63:H67)</f>
        <v>346538078.38999999</v>
      </c>
      <c r="I62" s="98">
        <f t="shared" si="42"/>
        <v>11.230816644736842</v>
      </c>
      <c r="J62" s="95">
        <f>+SUM(J63:J67)</f>
        <v>412466515.33000004</v>
      </c>
      <c r="K62" s="98">
        <f t="shared" si="43"/>
        <v>13.836515106675614</v>
      </c>
      <c r="L62" s="95">
        <f>+SUM(L63:L67)</f>
        <v>423148492.50000012</v>
      </c>
      <c r="M62" s="98">
        <f t="shared" si="44"/>
        <v>13.632361227448458</v>
      </c>
      <c r="N62" s="95">
        <f>+SUM(N63:N67)</f>
        <v>454762150.30000001</v>
      </c>
      <c r="O62" s="98">
        <f t="shared" si="45"/>
        <v>14.061909409400124</v>
      </c>
      <c r="P62" s="95">
        <f>+SUM(P63:P67)</f>
        <v>481633606.48000002</v>
      </c>
      <c r="Q62" s="98">
        <f t="shared" si="46"/>
        <v>15.294811256906954</v>
      </c>
      <c r="R62" s="95">
        <f>+SUM(R63:R67)</f>
        <v>485569147.94000006</v>
      </c>
      <c r="S62" s="98">
        <f t="shared" si="2"/>
        <v>15.419788756430613</v>
      </c>
      <c r="T62" s="95">
        <f>+SUM(T63:T67)</f>
        <v>482967420.47999996</v>
      </c>
      <c r="U62" s="98">
        <f t="shared" si="3"/>
        <v>14.477898555231159</v>
      </c>
      <c r="V62" s="95">
        <f>+SUM(V63:V67)</f>
        <v>498223398.96999997</v>
      </c>
      <c r="W62" s="98">
        <f t="shared" si="30"/>
        <v>14.169544037977921</v>
      </c>
      <c r="X62" s="208"/>
      <c r="Y62" s="208"/>
      <c r="Z62" s="256">
        <f t="shared" si="16"/>
        <v>0</v>
      </c>
      <c r="AA62" s="256">
        <f t="shared" si="17"/>
        <v>15255978.49000001</v>
      </c>
      <c r="AB62" s="95">
        <f>+SUM(AB63:AB67)</f>
        <v>498223398.96999997</v>
      </c>
      <c r="AC62" s="98">
        <f t="shared" si="36"/>
        <v>14.169544037977921</v>
      </c>
      <c r="AD62" s="95">
        <f>+SUM(AD63:AD67)</f>
        <v>496273118.75</v>
      </c>
      <c r="AE62" s="98">
        <f t="shared" si="37"/>
        <v>13.369402095549916</v>
      </c>
      <c r="AF62" s="208">
        <v>0</v>
      </c>
      <c r="AG62" s="95">
        <f>+SUM(AG63:AG67)</f>
        <v>515138153.43999994</v>
      </c>
      <c r="AH62" s="98">
        <f t="shared" ref="AH62:AH87" si="47">AG62/AG$11*100</f>
        <v>13.877618689977551</v>
      </c>
      <c r="AI62" s="95">
        <f>+SUM(AI63:AI67)</f>
        <v>501393977.92443997</v>
      </c>
      <c r="AJ62" s="98">
        <f t="shared" ref="AJ62:AJ87" si="48">AI62/AI$11*100</f>
        <v>12.757712816984002</v>
      </c>
      <c r="AK62" s="208">
        <v>0</v>
      </c>
      <c r="AL62" s="95">
        <f>+SUM(AL63:AL67)</f>
        <v>522802719.36234999</v>
      </c>
      <c r="AM62" s="98">
        <f t="shared" si="40"/>
        <v>13.302447271451426</v>
      </c>
      <c r="AN62" s="95">
        <f>+SUM(AN63:AN67)</f>
        <v>530488318.81841171</v>
      </c>
      <c r="AO62" s="98">
        <f t="shared" si="41"/>
        <v>12.724362189802171</v>
      </c>
      <c r="AQ62" s="106"/>
      <c r="AR62" s="107"/>
      <c r="AS62" s="107"/>
      <c r="AT62" s="107"/>
      <c r="AU62" s="107"/>
      <c r="AV62" s="108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DU62" s="225"/>
      <c r="DV62" s="225"/>
      <c r="DW62" s="179"/>
      <c r="DX62" s="179"/>
      <c r="DY62" s="179"/>
      <c r="DZ62" s="176"/>
    </row>
    <row r="63" spans="1:130" ht="13.5" customHeight="1">
      <c r="B63" s="80">
        <v>421</v>
      </c>
      <c r="C63" s="100" t="s">
        <v>89</v>
      </c>
      <c r="D63" s="101">
        <v>34076058.170000002</v>
      </c>
      <c r="E63" s="102">
        <f t="shared" si="28"/>
        <v>1.5857442491507283</v>
      </c>
      <c r="F63" s="101">
        <v>39187983.710000001</v>
      </c>
      <c r="G63" s="102">
        <f t="shared" si="29"/>
        <v>1.4619654433874278</v>
      </c>
      <c r="H63" s="101">
        <v>42104253.460000001</v>
      </c>
      <c r="I63" s="102">
        <f t="shared" si="42"/>
        <v>1.3645402339901478</v>
      </c>
      <c r="J63" s="101">
        <v>46907483.859999999</v>
      </c>
      <c r="K63" s="102">
        <f t="shared" si="43"/>
        <v>1.5735486031533044</v>
      </c>
      <c r="L63" s="101">
        <v>51591720.359999999</v>
      </c>
      <c r="M63" s="102">
        <f t="shared" si="44"/>
        <v>1.6621043930412371</v>
      </c>
      <c r="N63" s="101">
        <v>59330834.700000003</v>
      </c>
      <c r="O63" s="102">
        <f t="shared" si="45"/>
        <v>1.8345960018552876</v>
      </c>
      <c r="P63" s="211">
        <v>65188636.469999999</v>
      </c>
      <c r="Q63" s="102">
        <f t="shared" si="46"/>
        <v>2.0701377094315654</v>
      </c>
      <c r="R63" s="211">
        <f>VLOOKUP($B63,[1]Sheet3!$C$5:$I$137,4,FALSE)</f>
        <v>64071104.949999996</v>
      </c>
      <c r="S63" s="102">
        <f t="shared" si="2"/>
        <v>2.0346492521435375</v>
      </c>
      <c r="T63" s="211">
        <f>VLOOKUP($B63,[1]Sheet3!$C$5:$I$137,6,FALSE)</f>
        <v>64036543.990000002</v>
      </c>
      <c r="U63" s="102">
        <f t="shared" si="3"/>
        <v>1.919621383142986</v>
      </c>
      <c r="V63" s="211">
        <v>58645000</v>
      </c>
      <c r="W63" s="102">
        <f t="shared" si="30"/>
        <v>1.6678721068202007</v>
      </c>
      <c r="X63" s="212"/>
      <c r="Y63" s="212"/>
      <c r="Z63" s="257">
        <f t="shared" si="16"/>
        <v>0</v>
      </c>
      <c r="AA63" s="257">
        <f t="shared" si="17"/>
        <v>-5391543.9900000021</v>
      </c>
      <c r="AB63" s="211">
        <v>58645000</v>
      </c>
      <c r="AC63" s="102">
        <f t="shared" si="36"/>
        <v>1.6678721068202007</v>
      </c>
      <c r="AD63" s="211">
        <v>59532301.020000003</v>
      </c>
      <c r="AE63" s="102">
        <f t="shared" si="37"/>
        <v>1.6037767107241616</v>
      </c>
      <c r="AF63" s="212">
        <v>0</v>
      </c>
      <c r="AG63" s="211">
        <v>62688636.469999999</v>
      </c>
      <c r="AH63" s="102">
        <f t="shared" si="47"/>
        <v>1.6888071429300737</v>
      </c>
      <c r="AI63" s="211">
        <v>59651365.622040004</v>
      </c>
      <c r="AJ63" s="102">
        <f t="shared" si="48"/>
        <v>1.5177984284876742</v>
      </c>
      <c r="AK63" s="212">
        <v>0</v>
      </c>
      <c r="AL63" s="211">
        <v>63002079.652349994</v>
      </c>
      <c r="AM63" s="102">
        <f t="shared" si="40"/>
        <v>1.6030556298355849</v>
      </c>
      <c r="AN63" s="211">
        <v>63317090.050611734</v>
      </c>
      <c r="AO63" s="102">
        <f t="shared" si="41"/>
        <v>1.5187320022480779</v>
      </c>
      <c r="AQ63" s="106"/>
      <c r="AR63" s="107"/>
      <c r="AS63" s="107"/>
      <c r="AT63" s="107"/>
      <c r="AU63" s="107"/>
      <c r="AV63" s="108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DU63" s="225"/>
      <c r="DV63" s="225"/>
      <c r="DW63" s="179"/>
      <c r="DX63" s="179"/>
      <c r="DY63" s="179"/>
      <c r="DZ63" s="176"/>
    </row>
    <row r="64" spans="1:130" ht="13.5" customHeight="1">
      <c r="B64" s="80">
        <v>422</v>
      </c>
      <c r="C64" s="100" t="s">
        <v>91</v>
      </c>
      <c r="D64" s="101">
        <v>9796008.3399999999</v>
      </c>
      <c r="E64" s="102">
        <f t="shared" si="28"/>
        <v>0.45586152636232491</v>
      </c>
      <c r="F64" s="101">
        <v>11417546.32</v>
      </c>
      <c r="G64" s="102">
        <f t="shared" si="29"/>
        <v>0.42594837977989186</v>
      </c>
      <c r="H64" s="101">
        <v>30206318.57</v>
      </c>
      <c r="I64" s="102">
        <f t="shared" si="42"/>
        <v>0.97894472938812538</v>
      </c>
      <c r="J64" s="101">
        <v>19907692.059999999</v>
      </c>
      <c r="K64" s="102">
        <f t="shared" si="43"/>
        <v>0.66781925729620928</v>
      </c>
      <c r="L64" s="101">
        <v>20073795.120000001</v>
      </c>
      <c r="M64" s="102">
        <f t="shared" si="44"/>
        <v>0.64670731701030937</v>
      </c>
      <c r="N64" s="101">
        <v>17323007.039999999</v>
      </c>
      <c r="O64" s="102">
        <f t="shared" si="45"/>
        <v>0.5356526604823747</v>
      </c>
      <c r="P64" s="211">
        <v>16130418.140000001</v>
      </c>
      <c r="Q64" s="102">
        <f t="shared" si="46"/>
        <v>0.51223938202604002</v>
      </c>
      <c r="R64" s="211">
        <f>VLOOKUP($B64,[1]Sheet3!$C$5:$I$137,4,FALSE)</f>
        <v>14836537.550000001</v>
      </c>
      <c r="S64" s="102">
        <f t="shared" si="2"/>
        <v>0.47115076373451892</v>
      </c>
      <c r="T64" s="211">
        <f>VLOOKUP($B64,[1]Sheet3!$C$5:$I$137,6,FALSE)</f>
        <v>13086355.52</v>
      </c>
      <c r="U64" s="102">
        <f t="shared" si="3"/>
        <v>0.39228925108022916</v>
      </c>
      <c r="V64" s="211">
        <v>20758124</v>
      </c>
      <c r="W64" s="102">
        <f t="shared" si="30"/>
        <v>0.59036398686188019</v>
      </c>
      <c r="X64" s="212"/>
      <c r="Y64" s="212"/>
      <c r="Z64" s="257">
        <f t="shared" si="16"/>
        <v>0</v>
      </c>
      <c r="AA64" s="257">
        <f t="shared" si="17"/>
        <v>7671768.4800000004</v>
      </c>
      <c r="AB64" s="211">
        <v>20758124</v>
      </c>
      <c r="AC64" s="102">
        <f t="shared" si="36"/>
        <v>0.59036398686188019</v>
      </c>
      <c r="AD64" s="211">
        <v>13620542.76</v>
      </c>
      <c r="AE64" s="102">
        <f t="shared" si="37"/>
        <v>0.366932050191911</v>
      </c>
      <c r="AF64" s="212">
        <v>0</v>
      </c>
      <c r="AG64" s="211">
        <v>21629242</v>
      </c>
      <c r="AH64" s="102">
        <f t="shared" si="47"/>
        <v>0.58268324919211878</v>
      </c>
      <c r="AI64" s="211">
        <v>13484337.3324</v>
      </c>
      <c r="AJ64" s="102">
        <f t="shared" si="48"/>
        <v>0.34310205305261993</v>
      </c>
      <c r="AK64" s="212">
        <v>0</v>
      </c>
      <c r="AL64" s="211">
        <v>20980364.739999998</v>
      </c>
      <c r="AM64" s="102">
        <f t="shared" si="40"/>
        <v>0.53383462892095956</v>
      </c>
      <c r="AN64" s="211">
        <v>20350953.797799997</v>
      </c>
      <c r="AO64" s="102">
        <f t="shared" si="41"/>
        <v>0.48814063919054512</v>
      </c>
      <c r="AQ64" s="106"/>
      <c r="AR64" s="107"/>
      <c r="AS64" s="107"/>
      <c r="AT64" s="107"/>
      <c r="AU64" s="107"/>
      <c r="AV64" s="108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DU64" s="225"/>
      <c r="DV64" s="225"/>
      <c r="DW64" s="179"/>
      <c r="DX64" s="179"/>
      <c r="DY64" s="179"/>
      <c r="DZ64" s="176"/>
    </row>
    <row r="65" spans="1:130" ht="13.5" customHeight="1">
      <c r="B65" s="80">
        <v>423</v>
      </c>
      <c r="C65" s="100" t="s">
        <v>93</v>
      </c>
      <c r="D65" s="101">
        <v>199416686.40000001</v>
      </c>
      <c r="E65" s="102">
        <f t="shared" ref="E65:G87" si="49">D65/D$11*100</f>
        <v>9.2799425938852451</v>
      </c>
      <c r="F65" s="101">
        <v>228365332.86000001</v>
      </c>
      <c r="G65" s="102">
        <f t="shared" si="49"/>
        <v>8.5195050498041418</v>
      </c>
      <c r="H65" s="101">
        <v>250935783.35999998</v>
      </c>
      <c r="I65" s="102">
        <f t="shared" si="42"/>
        <v>8.1324793673839775</v>
      </c>
      <c r="J65" s="101">
        <v>323500545.41000003</v>
      </c>
      <c r="K65" s="102">
        <f t="shared" si="43"/>
        <v>10.852081362294532</v>
      </c>
      <c r="L65" s="101">
        <v>330972340.54000008</v>
      </c>
      <c r="M65" s="102">
        <f t="shared" si="44"/>
        <v>10.66276870296392</v>
      </c>
      <c r="N65" s="101">
        <v>356875323.42000002</v>
      </c>
      <c r="O65" s="102">
        <f t="shared" si="45"/>
        <v>11.035105857142858</v>
      </c>
      <c r="P65" s="211">
        <v>378962096.58999997</v>
      </c>
      <c r="Q65" s="102">
        <f t="shared" si="46"/>
        <v>12.034363181644967</v>
      </c>
      <c r="R65" s="211">
        <f>VLOOKUP($B65,[1]Sheet3!$C$5:$I$137,4,FALSE)</f>
        <v>383999409.32000005</v>
      </c>
      <c r="S65" s="102">
        <f t="shared" si="2"/>
        <v>12.19432865417593</v>
      </c>
      <c r="T65" s="211">
        <f>VLOOKUP($B65,[1]Sheet3!$C$5:$I$137,6,FALSE)</f>
        <v>383189899.51999998</v>
      </c>
      <c r="U65" s="102">
        <f t="shared" si="3"/>
        <v>11.486871075332749</v>
      </c>
      <c r="V65" s="211">
        <v>397320274.96999997</v>
      </c>
      <c r="W65" s="102">
        <f t="shared" ref="W65:W87" si="50">V65/V$11*100</f>
        <v>11.299844898910312</v>
      </c>
      <c r="X65" s="212"/>
      <c r="Y65" s="212"/>
      <c r="Z65" s="257">
        <f t="shared" si="16"/>
        <v>0</v>
      </c>
      <c r="AA65" s="257">
        <f t="shared" si="17"/>
        <v>14130375.449999988</v>
      </c>
      <c r="AB65" s="211">
        <v>397320274.96999997</v>
      </c>
      <c r="AC65" s="102">
        <f t="shared" si="36"/>
        <v>11.299844898910312</v>
      </c>
      <c r="AD65" s="211">
        <v>402320274.96999997</v>
      </c>
      <c r="AE65" s="102">
        <f t="shared" si="37"/>
        <v>10.83834953787961</v>
      </c>
      <c r="AF65" s="212">
        <v>0</v>
      </c>
      <c r="AG65" s="211">
        <v>409320274.96999997</v>
      </c>
      <c r="AH65" s="102">
        <f t="shared" si="47"/>
        <v>11.026926777171898</v>
      </c>
      <c r="AI65" s="211">
        <v>407320274.96999997</v>
      </c>
      <c r="AJ65" s="102">
        <f t="shared" si="48"/>
        <v>10.364055655621227</v>
      </c>
      <c r="AK65" s="212">
        <v>0</v>
      </c>
      <c r="AL65" s="211">
        <v>417320274.96999997</v>
      </c>
      <c r="AM65" s="102">
        <f t="shared" si="40"/>
        <v>10.618500530882704</v>
      </c>
      <c r="AN65" s="211">
        <v>425320274.96999997</v>
      </c>
      <c r="AO65" s="102">
        <f t="shared" si="41"/>
        <v>10.201787736700487</v>
      </c>
      <c r="AQ65" s="106"/>
      <c r="AR65" s="107"/>
      <c r="AS65" s="107"/>
      <c r="AT65" s="107"/>
      <c r="AU65" s="107"/>
      <c r="AV65" s="108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DU65" s="225"/>
      <c r="DV65" s="225"/>
      <c r="DW65" s="179"/>
      <c r="DX65" s="179"/>
      <c r="DY65" s="179"/>
      <c r="DZ65" s="176"/>
    </row>
    <row r="66" spans="1:130" ht="13.5" customHeight="1">
      <c r="B66" s="80">
        <v>424</v>
      </c>
      <c r="C66" s="100" t="s">
        <v>95</v>
      </c>
      <c r="D66" s="101">
        <v>10828245</v>
      </c>
      <c r="E66" s="102">
        <f t="shared" si="49"/>
        <v>0.50389711014937877</v>
      </c>
      <c r="F66" s="101">
        <v>12762198</v>
      </c>
      <c r="G66" s="102">
        <f t="shared" si="49"/>
        <v>0.47611259093452718</v>
      </c>
      <c r="H66" s="101">
        <v>15724080</v>
      </c>
      <c r="I66" s="102">
        <f t="shared" si="42"/>
        <v>0.50959554057557688</v>
      </c>
      <c r="J66" s="101">
        <v>14442818</v>
      </c>
      <c r="K66" s="102">
        <f t="shared" si="43"/>
        <v>0.48449573968466958</v>
      </c>
      <c r="L66" s="101">
        <v>12638749.91</v>
      </c>
      <c r="M66" s="102">
        <f t="shared" si="44"/>
        <v>0.40717622132731957</v>
      </c>
      <c r="N66" s="101">
        <v>12978814.83</v>
      </c>
      <c r="O66" s="102">
        <f t="shared" si="45"/>
        <v>0.40132389703153987</v>
      </c>
      <c r="P66" s="211">
        <v>13497405.869999999</v>
      </c>
      <c r="Q66" s="102">
        <f t="shared" si="46"/>
        <v>0.42862514671324226</v>
      </c>
      <c r="R66" s="211">
        <f>VLOOKUP($B66,[1]Sheet3!$C$5:$I$137,4,FALSE)</f>
        <v>14792096.119999999</v>
      </c>
      <c r="S66" s="102">
        <f t="shared" si="2"/>
        <v>0.46973947665925686</v>
      </c>
      <c r="T66" s="211">
        <f>VLOOKUP($B66,[1]Sheet3!$C$5:$I$137,6,FALSE)</f>
        <v>14792096.09</v>
      </c>
      <c r="U66" s="102">
        <f t="shared" si="3"/>
        <v>0.44342218031478992</v>
      </c>
      <c r="V66" s="211">
        <v>14500000</v>
      </c>
      <c r="W66" s="102">
        <f t="shared" si="50"/>
        <v>0.4123820538646587</v>
      </c>
      <c r="X66" s="212"/>
      <c r="Y66" s="212"/>
      <c r="Z66" s="257">
        <f t="shared" si="16"/>
        <v>0</v>
      </c>
      <c r="AA66" s="257">
        <f t="shared" si="17"/>
        <v>-292096.08999999985</v>
      </c>
      <c r="AB66" s="211">
        <v>14500000</v>
      </c>
      <c r="AC66" s="102">
        <f t="shared" si="36"/>
        <v>0.4123820538646587</v>
      </c>
      <c r="AD66" s="211">
        <v>13800000</v>
      </c>
      <c r="AE66" s="102">
        <f t="shared" si="37"/>
        <v>0.37176655746194154</v>
      </c>
      <c r="AF66" s="212">
        <v>0</v>
      </c>
      <c r="AG66" s="211">
        <v>14500000</v>
      </c>
      <c r="AH66" s="102">
        <f t="shared" si="47"/>
        <v>0.3906242813911705</v>
      </c>
      <c r="AI66" s="211">
        <v>13938000</v>
      </c>
      <c r="AJ66" s="102">
        <f t="shared" si="48"/>
        <v>0.35464526713944705</v>
      </c>
      <c r="AK66" s="212">
        <v>0</v>
      </c>
      <c r="AL66" s="211">
        <v>14500000</v>
      </c>
      <c r="AM66" s="102">
        <f t="shared" si="40"/>
        <v>0.3689450691291421</v>
      </c>
      <c r="AN66" s="211">
        <v>14500000</v>
      </c>
      <c r="AO66" s="102">
        <f t="shared" si="41"/>
        <v>0.34779889623787869</v>
      </c>
      <c r="AQ66" s="106"/>
      <c r="AR66" s="107"/>
      <c r="AS66" s="107"/>
      <c r="AT66" s="107"/>
      <c r="AU66" s="107"/>
      <c r="AV66" s="108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DU66" s="225"/>
      <c r="DV66" s="225"/>
      <c r="DW66" s="179"/>
      <c r="DX66" s="179"/>
      <c r="DY66" s="179"/>
      <c r="DZ66" s="176"/>
    </row>
    <row r="67" spans="1:130" ht="13.5" customHeight="1">
      <c r="B67" s="80">
        <v>425</v>
      </c>
      <c r="C67" s="100" t="s">
        <v>451</v>
      </c>
      <c r="D67" s="101">
        <v>5651577</v>
      </c>
      <c r="E67" s="102">
        <f t="shared" si="49"/>
        <v>0.26299860393689795</v>
      </c>
      <c r="F67" s="101">
        <v>6775917</v>
      </c>
      <c r="G67" s="102">
        <f t="shared" si="49"/>
        <v>0.25278556239507555</v>
      </c>
      <c r="H67" s="101">
        <v>7567643</v>
      </c>
      <c r="I67" s="102">
        <f t="shared" si="42"/>
        <v>0.24525677339901478</v>
      </c>
      <c r="J67" s="101">
        <v>7707976</v>
      </c>
      <c r="K67" s="102">
        <f t="shared" si="43"/>
        <v>0.258570144246897</v>
      </c>
      <c r="L67" s="101">
        <v>7871886.5700000003</v>
      </c>
      <c r="M67" s="102">
        <f t="shared" si="44"/>
        <v>0.25360459310567013</v>
      </c>
      <c r="N67" s="101">
        <v>8254170.3099999996</v>
      </c>
      <c r="O67" s="102">
        <f t="shared" si="45"/>
        <v>0.25523099288806428</v>
      </c>
      <c r="P67" s="211">
        <v>7855049.4100000001</v>
      </c>
      <c r="Q67" s="102">
        <f t="shared" si="46"/>
        <v>0.24944583709114004</v>
      </c>
      <c r="R67" s="211">
        <f>VLOOKUP($B67,[1]Sheet3!$C$5:$I$137,4,FALSE)</f>
        <v>7870000</v>
      </c>
      <c r="S67" s="102">
        <f t="shared" si="2"/>
        <v>0.2499206097173706</v>
      </c>
      <c r="T67" s="211">
        <f>VLOOKUP($B67,[1]Sheet3!$C$5:$I$137,6,FALSE)</f>
        <v>7862525.3600000003</v>
      </c>
      <c r="U67" s="102">
        <f t="shared" si="3"/>
        <v>0.23569466536040659</v>
      </c>
      <c r="V67" s="211">
        <v>7000000</v>
      </c>
      <c r="W67" s="102">
        <f t="shared" si="50"/>
        <v>0.19908099152086972</v>
      </c>
      <c r="X67" s="212"/>
      <c r="Y67" s="212"/>
      <c r="Z67" s="257">
        <f t="shared" si="16"/>
        <v>0</v>
      </c>
      <c r="AA67" s="257">
        <f t="shared" si="17"/>
        <v>-862525.36000000034</v>
      </c>
      <c r="AB67" s="211">
        <v>7000000</v>
      </c>
      <c r="AC67" s="102">
        <f t="shared" si="36"/>
        <v>0.19908099152086972</v>
      </c>
      <c r="AD67" s="211">
        <v>7000000</v>
      </c>
      <c r="AE67" s="102">
        <f t="shared" si="37"/>
        <v>0.1885772392922892</v>
      </c>
      <c r="AF67" s="212">
        <v>0</v>
      </c>
      <c r="AG67" s="211">
        <v>7000000</v>
      </c>
      <c r="AH67" s="102">
        <f t="shared" si="47"/>
        <v>0.1885772392922892</v>
      </c>
      <c r="AI67" s="211">
        <v>7000000</v>
      </c>
      <c r="AJ67" s="102">
        <f t="shared" si="48"/>
        <v>0.1781114126830341</v>
      </c>
      <c r="AK67" s="212">
        <v>0</v>
      </c>
      <c r="AL67" s="211">
        <v>7000000</v>
      </c>
      <c r="AM67" s="102">
        <f t="shared" si="40"/>
        <v>0.1781114126830341</v>
      </c>
      <c r="AN67" s="211">
        <v>7000000</v>
      </c>
      <c r="AO67" s="102">
        <f t="shared" si="41"/>
        <v>0.16790291542518282</v>
      </c>
      <c r="AQ67" s="106"/>
      <c r="AR67" s="107"/>
      <c r="AS67" s="107"/>
      <c r="AT67" s="107"/>
      <c r="AU67" s="107"/>
      <c r="AV67" s="108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DU67" s="225"/>
      <c r="DV67" s="225"/>
      <c r="DW67" s="179"/>
      <c r="DX67" s="179"/>
      <c r="DY67" s="179"/>
      <c r="DZ67" s="176"/>
    </row>
    <row r="68" spans="1:130" ht="13.5" customHeight="1">
      <c r="A68" s="80">
        <v>43</v>
      </c>
      <c r="C68" s="94" t="s">
        <v>452</v>
      </c>
      <c r="D68" s="95">
        <f>+SUM(D69:D70)</f>
        <v>48400132.840000004</v>
      </c>
      <c r="E68" s="98">
        <f t="shared" si="49"/>
        <v>2.2523213197449858</v>
      </c>
      <c r="F68" s="95">
        <f>+SUM(F69:F70)</f>
        <v>57507793.979999997</v>
      </c>
      <c r="G68" s="98">
        <f t="shared" si="49"/>
        <v>2.145412944599888</v>
      </c>
      <c r="H68" s="95">
        <f>+SUM(H69:H70)</f>
        <v>213711795.17000002</v>
      </c>
      <c r="I68" s="98">
        <f t="shared" si="42"/>
        <v>6.9261017361291159</v>
      </c>
      <c r="J68" s="95">
        <f>+SUM(J69:J70)</f>
        <v>204672473.13999999</v>
      </c>
      <c r="K68" s="98">
        <f t="shared" si="43"/>
        <v>6.8658998034216694</v>
      </c>
      <c r="L68" s="95">
        <f>+SUM(L69:L70)</f>
        <v>174638922.39000002</v>
      </c>
      <c r="M68" s="98">
        <f t="shared" si="44"/>
        <v>5.6262539429768044</v>
      </c>
      <c r="N68" s="95">
        <f>+SUM(N69:N70)</f>
        <v>87914180.150000006</v>
      </c>
      <c r="O68" s="98">
        <f t="shared" si="45"/>
        <v>2.7184347603586891</v>
      </c>
      <c r="P68" s="95">
        <f>+SUM(P69:P70)</f>
        <v>31512266.289999995</v>
      </c>
      <c r="Q68" s="98">
        <f t="shared" si="46"/>
        <v>1.0007070908224831</v>
      </c>
      <c r="R68" s="95">
        <f>+SUM(R69:R70)</f>
        <v>94618839.25999999</v>
      </c>
      <c r="S68" s="98">
        <f t="shared" si="2"/>
        <v>3.0047265563671002</v>
      </c>
      <c r="T68" s="95">
        <f>+SUM(T69:T70)</f>
        <v>94307026.210000008</v>
      </c>
      <c r="U68" s="98">
        <f t="shared" si="3"/>
        <v>2.8270386378379886</v>
      </c>
      <c r="V68" s="95">
        <f>+SUM(V69:V70)</f>
        <v>101040047.61999999</v>
      </c>
      <c r="W68" s="98">
        <f t="shared" si="50"/>
        <v>2.8735932662150696</v>
      </c>
      <c r="X68" s="208"/>
      <c r="Y68" s="208"/>
      <c r="Z68" s="256">
        <f t="shared" si="16"/>
        <v>0</v>
      </c>
      <c r="AA68" s="256">
        <f t="shared" si="17"/>
        <v>6733021.4099999815</v>
      </c>
      <c r="AB68" s="95">
        <f>+SUM(AB69:AB70)</f>
        <v>101040047.61999999</v>
      </c>
      <c r="AC68" s="98">
        <f t="shared" si="36"/>
        <v>2.8735932662150696</v>
      </c>
      <c r="AD68" s="207">
        <v>87803286.269968927</v>
      </c>
      <c r="AE68" s="98">
        <f t="shared" si="37"/>
        <v>2.3653859036544715</v>
      </c>
      <c r="AF68" s="208">
        <v>0</v>
      </c>
      <c r="AG68" s="95">
        <f>+SUM(AG69:AG70)</f>
        <v>98897025.698200002</v>
      </c>
      <c r="AH68" s="98">
        <f t="shared" si="47"/>
        <v>2.664246868626448</v>
      </c>
      <c r="AI68" s="207">
        <v>88453745.220778704</v>
      </c>
      <c r="AJ68" s="98">
        <f t="shared" si="48"/>
        <v>2.2506602169111529</v>
      </c>
      <c r="AK68" s="208">
        <v>0</v>
      </c>
      <c r="AL68" s="95">
        <f>+SUM(AL69:AL70)</f>
        <v>97042408.312561989</v>
      </c>
      <c r="AM68" s="98">
        <f t="shared" si="40"/>
        <v>2.4691943478163179</v>
      </c>
      <c r="AN68" s="95">
        <f>+SUM(AN69:AN70)</f>
        <v>95976211.063185126</v>
      </c>
      <c r="AO68" s="98">
        <f t="shared" si="41"/>
        <v>2.3020979498530667</v>
      </c>
      <c r="AQ68" s="106"/>
      <c r="AR68" s="107"/>
      <c r="AS68" s="107"/>
      <c r="AT68" s="107"/>
      <c r="AU68" s="107"/>
      <c r="AV68" s="108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DU68" s="225"/>
      <c r="DV68" s="225"/>
      <c r="DW68" s="179"/>
      <c r="DX68" s="179"/>
      <c r="DY68" s="179"/>
      <c r="DZ68" s="176"/>
    </row>
    <row r="69" spans="1:130" ht="13.5" customHeight="1">
      <c r="A69" s="80" t="s">
        <v>447</v>
      </c>
      <c r="B69" s="80">
        <v>431</v>
      </c>
      <c r="C69" s="100" t="s">
        <v>452</v>
      </c>
      <c r="D69" s="101">
        <v>48400132.840000004</v>
      </c>
      <c r="E69" s="102">
        <f t="shared" si="49"/>
        <v>2.2523213197449858</v>
      </c>
      <c r="F69" s="101">
        <v>57507793.979999997</v>
      </c>
      <c r="G69" s="102">
        <f t="shared" si="49"/>
        <v>2.145412944599888</v>
      </c>
      <c r="H69" s="101">
        <v>213711795.17000002</v>
      </c>
      <c r="I69" s="102">
        <f t="shared" si="42"/>
        <v>6.9261017361291159</v>
      </c>
      <c r="J69" s="101">
        <v>204672473.13999999</v>
      </c>
      <c r="K69" s="102">
        <f t="shared" si="43"/>
        <v>6.8658998034216694</v>
      </c>
      <c r="L69" s="101">
        <v>174638922.39000002</v>
      </c>
      <c r="M69" s="102">
        <f t="shared" si="44"/>
        <v>5.6262539429768044</v>
      </c>
      <c r="N69" s="101">
        <v>87914180.150000006</v>
      </c>
      <c r="O69" s="102">
        <f t="shared" si="45"/>
        <v>2.7184347603586891</v>
      </c>
      <c r="P69" s="211">
        <v>31512266.289999995</v>
      </c>
      <c r="Q69" s="102">
        <f t="shared" si="46"/>
        <v>1.0007070908224831</v>
      </c>
      <c r="R69" s="211">
        <f>VLOOKUP($B69,[1]Sheet3!$C$5:$I$137,4,FALSE)</f>
        <v>93133166.209999993</v>
      </c>
      <c r="S69" s="102">
        <f t="shared" si="2"/>
        <v>2.9575473550333435</v>
      </c>
      <c r="T69" s="211">
        <f>VLOOKUP($B69,[1]Sheet3!$C$5:$I$137,6,FALSE)</f>
        <v>92821380.980000004</v>
      </c>
      <c r="U69" s="102">
        <f t="shared" si="3"/>
        <v>2.7825034994064435</v>
      </c>
      <c r="V69" s="211">
        <v>101040047.61999999</v>
      </c>
      <c r="W69" s="102">
        <f t="shared" si="50"/>
        <v>2.8735932662150696</v>
      </c>
      <c r="X69" s="212"/>
      <c r="Y69" s="212"/>
      <c r="Z69" s="257">
        <f t="shared" si="16"/>
        <v>0</v>
      </c>
      <c r="AA69" s="257">
        <f t="shared" si="17"/>
        <v>8218666.6399999857</v>
      </c>
      <c r="AB69" s="211">
        <v>101040047.61999999</v>
      </c>
      <c r="AC69" s="102">
        <f t="shared" si="36"/>
        <v>2.8735932662150696</v>
      </c>
      <c r="AD69" s="211"/>
      <c r="AE69" s="102">
        <f t="shared" si="37"/>
        <v>0</v>
      </c>
      <c r="AF69" s="212"/>
      <c r="AG69" s="211">
        <v>98897025.698200002</v>
      </c>
      <c r="AH69" s="102">
        <f t="shared" si="47"/>
        <v>2.664246868626448</v>
      </c>
      <c r="AI69" s="211"/>
      <c r="AJ69" s="102">
        <f t="shared" si="48"/>
        <v>0</v>
      </c>
      <c r="AK69" s="212"/>
      <c r="AL69" s="211">
        <v>97042408.312561989</v>
      </c>
      <c r="AM69" s="102">
        <f t="shared" si="40"/>
        <v>2.4691943478163179</v>
      </c>
      <c r="AN69" s="211">
        <v>95976211.063185126</v>
      </c>
      <c r="AO69" s="102">
        <f t="shared" si="41"/>
        <v>2.3020979498530667</v>
      </c>
      <c r="AQ69" s="106"/>
      <c r="AR69" s="107"/>
      <c r="AS69" s="107"/>
      <c r="AT69" s="107"/>
      <c r="AU69" s="107"/>
      <c r="AV69" s="108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DU69" s="225"/>
      <c r="DV69" s="225"/>
      <c r="DW69" s="179"/>
      <c r="DX69" s="179"/>
      <c r="DY69" s="179"/>
      <c r="DZ69" s="176"/>
    </row>
    <row r="70" spans="1:130" ht="13.5" customHeight="1" thickBot="1">
      <c r="A70" s="80" t="s">
        <v>447</v>
      </c>
      <c r="B70" s="80">
        <v>432</v>
      </c>
      <c r="C70" s="100" t="s">
        <v>453</v>
      </c>
      <c r="D70" s="101"/>
      <c r="E70" s="102">
        <f t="shared" si="49"/>
        <v>0</v>
      </c>
      <c r="F70" s="101"/>
      <c r="G70" s="102">
        <f t="shared" si="49"/>
        <v>0</v>
      </c>
      <c r="H70" s="101"/>
      <c r="I70" s="102">
        <f t="shared" si="42"/>
        <v>0</v>
      </c>
      <c r="J70" s="101"/>
      <c r="K70" s="102">
        <f t="shared" si="43"/>
        <v>0</v>
      </c>
      <c r="L70" s="101"/>
      <c r="M70" s="102">
        <f t="shared" si="44"/>
        <v>0</v>
      </c>
      <c r="N70" s="101"/>
      <c r="O70" s="102">
        <f t="shared" si="45"/>
        <v>0</v>
      </c>
      <c r="P70" s="211"/>
      <c r="Q70" s="102">
        <f t="shared" si="46"/>
        <v>0</v>
      </c>
      <c r="R70" s="211">
        <f>VLOOKUP($B70,[1]Sheet3!$C$5:$I$137,4,FALSE)</f>
        <v>1485673.05</v>
      </c>
      <c r="S70" s="102">
        <f t="shared" si="2"/>
        <v>4.7179201333756748E-2</v>
      </c>
      <c r="T70" s="211">
        <f>VLOOKUP($B70,[1]Sheet3!$C$5:$I$137,6,FALSE)</f>
        <v>1485645.23</v>
      </c>
      <c r="U70" s="102">
        <f t="shared" si="3"/>
        <v>4.4535138431545135E-2</v>
      </c>
      <c r="V70" s="211"/>
      <c r="W70" s="102">
        <f t="shared" si="50"/>
        <v>0</v>
      </c>
      <c r="X70" s="212"/>
      <c r="Y70" s="212"/>
      <c r="Z70" s="257">
        <f t="shared" si="16"/>
        <v>0</v>
      </c>
      <c r="AA70" s="257">
        <f t="shared" si="17"/>
        <v>-1485645.23</v>
      </c>
      <c r="AB70" s="211"/>
      <c r="AC70" s="102">
        <f t="shared" si="36"/>
        <v>0</v>
      </c>
      <c r="AD70" s="211"/>
      <c r="AE70" s="102">
        <f t="shared" si="37"/>
        <v>0</v>
      </c>
      <c r="AF70" s="212"/>
      <c r="AG70" s="211"/>
      <c r="AH70" s="102">
        <f t="shared" si="47"/>
        <v>0</v>
      </c>
      <c r="AI70" s="211"/>
      <c r="AJ70" s="102">
        <f t="shared" si="48"/>
        <v>0</v>
      </c>
      <c r="AK70" s="212"/>
      <c r="AL70" s="211"/>
      <c r="AM70" s="102">
        <f t="shared" si="40"/>
        <v>0</v>
      </c>
      <c r="AN70" s="211"/>
      <c r="AO70" s="102">
        <f t="shared" si="41"/>
        <v>0</v>
      </c>
      <c r="AQ70" s="106"/>
      <c r="AR70" s="107"/>
      <c r="AS70" s="107"/>
      <c r="AT70" s="107"/>
      <c r="AU70" s="107"/>
      <c r="AV70" s="335">
        <f>+T75</f>
        <v>14438105.227300003</v>
      </c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DU70" s="225"/>
      <c r="DV70" s="225"/>
      <c r="DW70" s="179"/>
      <c r="DX70" s="179"/>
      <c r="DY70" s="179"/>
      <c r="DZ70" s="176"/>
    </row>
    <row r="71" spans="1:130" ht="13.5" customHeight="1" thickTop="1" thickBot="1">
      <c r="B71" s="80">
        <v>44</v>
      </c>
      <c r="C71" s="90" t="s">
        <v>131</v>
      </c>
      <c r="D71" s="91">
        <v>0</v>
      </c>
      <c r="E71" s="92">
        <f t="shared" si="49"/>
        <v>0</v>
      </c>
      <c r="F71" s="91">
        <v>82459238.990000024</v>
      </c>
      <c r="G71" s="92">
        <f t="shared" si="49"/>
        <v>3.076263346017535</v>
      </c>
      <c r="H71" s="91">
        <v>73370859.459999993</v>
      </c>
      <c r="I71" s="92">
        <f t="shared" si="42"/>
        <v>2.3778474027741763</v>
      </c>
      <c r="J71" s="91">
        <v>112364696.64</v>
      </c>
      <c r="K71" s="92">
        <f t="shared" si="43"/>
        <v>3.7693625172760821</v>
      </c>
      <c r="L71" s="91">
        <v>63250368.810000002</v>
      </c>
      <c r="M71" s="92">
        <f t="shared" si="44"/>
        <v>2.0377051807345361</v>
      </c>
      <c r="N71" s="91">
        <v>67115187.969999999</v>
      </c>
      <c r="O71" s="92">
        <f t="shared" si="45"/>
        <v>2.0752995661719229</v>
      </c>
      <c r="P71" s="226">
        <v>76042699.980000004</v>
      </c>
      <c r="Q71" s="92">
        <f t="shared" si="46"/>
        <v>2.4148205773261355</v>
      </c>
      <c r="R71" s="226">
        <f>[1]Sheet3!$G$3</f>
        <v>72253815.629999995</v>
      </c>
      <c r="S71" s="92">
        <f t="shared" si="2"/>
        <v>2.2945003375674817</v>
      </c>
      <c r="T71" s="226">
        <f>[1]Sheet3!$I$3</f>
        <v>61785502.860000007</v>
      </c>
      <c r="U71" s="92">
        <f t="shared" si="3"/>
        <v>1.8521419968700925</v>
      </c>
      <c r="V71" s="226">
        <v>101820500</v>
      </c>
      <c r="W71" s="92">
        <f t="shared" si="50"/>
        <v>2.8957894424501021</v>
      </c>
      <c r="X71" s="93"/>
      <c r="Y71" s="93"/>
      <c r="Z71" s="258">
        <f t="shared" si="16"/>
        <v>0</v>
      </c>
      <c r="AA71" s="258">
        <f t="shared" si="17"/>
        <v>40034997.139999993</v>
      </c>
      <c r="AB71" s="226">
        <v>101820500</v>
      </c>
      <c r="AC71" s="92">
        <f t="shared" si="36"/>
        <v>2.8957894424501021</v>
      </c>
      <c r="AD71" s="226">
        <v>105626377.49180001</v>
      </c>
      <c r="AE71" s="92">
        <f t="shared" si="37"/>
        <v>2.8455329519784058</v>
      </c>
      <c r="AF71" s="224"/>
      <c r="AG71" s="226">
        <v>105000000</v>
      </c>
      <c r="AH71" s="92">
        <f t="shared" si="47"/>
        <v>2.8286585893843377</v>
      </c>
      <c r="AI71" s="226">
        <v>108795168.81655401</v>
      </c>
      <c r="AJ71" s="92">
        <f t="shared" si="48"/>
        <v>2.7682373158579447</v>
      </c>
      <c r="AK71" s="224"/>
      <c r="AL71" s="226">
        <v>105000000</v>
      </c>
      <c r="AM71" s="92">
        <f t="shared" si="40"/>
        <v>2.6716711902455117</v>
      </c>
      <c r="AN71" s="226">
        <v>105000000</v>
      </c>
      <c r="AO71" s="92">
        <f t="shared" si="41"/>
        <v>2.5185437313777421</v>
      </c>
      <c r="AQ71" s="106"/>
      <c r="AR71" s="107"/>
      <c r="AS71" s="107"/>
      <c r="AT71" s="107"/>
      <c r="AU71" s="107"/>
      <c r="AV71" s="107">
        <f>+AS76</f>
        <v>14438105.227300003</v>
      </c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DU71" s="225"/>
      <c r="DV71" s="225"/>
      <c r="DW71" s="179"/>
      <c r="DX71" s="179"/>
      <c r="DY71" s="179"/>
      <c r="DZ71" s="176"/>
    </row>
    <row r="72" spans="1:130" ht="13.5" customHeight="1" thickTop="1">
      <c r="B72" s="80">
        <v>451</v>
      </c>
      <c r="C72" s="94" t="s">
        <v>111</v>
      </c>
      <c r="D72" s="95">
        <v>15376170.280000001</v>
      </c>
      <c r="E72" s="98">
        <f t="shared" si="49"/>
        <v>0.71553679929266145</v>
      </c>
      <c r="F72" s="95">
        <v>7854938.71</v>
      </c>
      <c r="G72" s="98">
        <f t="shared" si="49"/>
        <v>0.29304005633277375</v>
      </c>
      <c r="H72" s="95">
        <v>62542537.890000001</v>
      </c>
      <c r="I72" s="98">
        <f t="shared" si="42"/>
        <v>2.026916576678766</v>
      </c>
      <c r="J72" s="95">
        <v>17652930.710000001</v>
      </c>
      <c r="K72" s="98">
        <f t="shared" si="43"/>
        <v>0.59218150654142909</v>
      </c>
      <c r="L72" s="95">
        <v>4074638.38</v>
      </c>
      <c r="M72" s="98">
        <f t="shared" si="44"/>
        <v>0.13127056636597936</v>
      </c>
      <c r="N72" s="95">
        <v>2091768.6</v>
      </c>
      <c r="O72" s="98">
        <f t="shared" si="45"/>
        <v>6.4680538033395185E-2</v>
      </c>
      <c r="P72" s="207">
        <v>1775633.69</v>
      </c>
      <c r="Q72" s="98">
        <f t="shared" si="46"/>
        <v>5.6387224198158142E-2</v>
      </c>
      <c r="R72" s="207">
        <f>VLOOKUP($B72,[1]Sheet3!$C$5:$I$137,4,FALSE)</f>
        <v>2766784.5</v>
      </c>
      <c r="S72" s="98">
        <f t="shared" si="2"/>
        <v>8.7862321371864074E-2</v>
      </c>
      <c r="T72" s="207">
        <f>VLOOKUP($B72,[1]Sheet3!$C$5:$I$137,6,FALSE)</f>
        <v>2752781.98</v>
      </c>
      <c r="U72" s="98">
        <f t="shared" si="3"/>
        <v>8.2520055310353543E-2</v>
      </c>
      <c r="V72" s="207">
        <v>2140000</v>
      </c>
      <c r="W72" s="98">
        <f t="shared" si="50"/>
        <v>6.0861903122094448E-2</v>
      </c>
      <c r="X72" s="208"/>
      <c r="Y72" s="208"/>
      <c r="Z72" s="256">
        <f t="shared" si="16"/>
        <v>0</v>
      </c>
      <c r="AA72" s="256">
        <f t="shared" si="17"/>
        <v>-612781.98</v>
      </c>
      <c r="AB72" s="207">
        <v>2140000</v>
      </c>
      <c r="AC72" s="98">
        <f t="shared" si="36"/>
        <v>6.0861903122094448E-2</v>
      </c>
      <c r="AD72" s="207">
        <v>2076802.3255813953</v>
      </c>
      <c r="AE72" s="98">
        <f t="shared" si="37"/>
        <v>5.5948235587706494E-2</v>
      </c>
      <c r="AF72" s="208"/>
      <c r="AG72" s="207">
        <v>2118600</v>
      </c>
      <c r="AH72" s="98">
        <f t="shared" si="47"/>
        <v>5.7074248452091983E-2</v>
      </c>
      <c r="AI72" s="207">
        <v>2282067.67171444</v>
      </c>
      <c r="AJ72" s="98">
        <f t="shared" si="48"/>
        <v>5.8066042406763059E-2</v>
      </c>
      <c r="AK72" s="208"/>
      <c r="AL72" s="207">
        <v>2013526</v>
      </c>
      <c r="AM72" s="98">
        <f t="shared" si="40"/>
        <v>5.1233137190574131E-2</v>
      </c>
      <c r="AN72" s="207">
        <v>1953120.22</v>
      </c>
      <c r="AO72" s="98">
        <f t="shared" si="41"/>
        <v>4.6847797016267782E-2</v>
      </c>
      <c r="AQ72" s="106"/>
      <c r="AR72" s="107"/>
      <c r="AS72" s="107"/>
      <c r="AT72" s="107"/>
      <c r="AU72" s="107"/>
      <c r="AV72" s="336">
        <f>+T75+T81</f>
        <v>60543190.100000001</v>
      </c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DU72" s="225"/>
      <c r="DV72" s="225"/>
      <c r="DW72" s="179"/>
      <c r="DX72" s="179"/>
      <c r="DY72" s="179"/>
      <c r="DZ72" s="176"/>
    </row>
    <row r="73" spans="1:130" ht="13.5" customHeight="1" thickBot="1">
      <c r="B73" s="80">
        <v>47</v>
      </c>
      <c r="C73" s="94" t="s">
        <v>118</v>
      </c>
      <c r="D73" s="95">
        <v>27204434.309999999</v>
      </c>
      <c r="E73" s="98">
        <f t="shared" si="49"/>
        <v>1.2659702317464749</v>
      </c>
      <c r="F73" s="95">
        <v>10844803.16</v>
      </c>
      <c r="G73" s="98">
        <f t="shared" si="49"/>
        <v>0.40458135273269918</v>
      </c>
      <c r="H73" s="95">
        <v>12437562.109999999</v>
      </c>
      <c r="I73" s="98">
        <f t="shared" si="42"/>
        <v>0.40308407149338865</v>
      </c>
      <c r="J73" s="95">
        <v>10901702.15</v>
      </c>
      <c r="K73" s="98">
        <f t="shared" si="43"/>
        <v>0.36570621100301914</v>
      </c>
      <c r="L73" s="95">
        <v>12589952.310000001</v>
      </c>
      <c r="M73" s="98">
        <f t="shared" si="44"/>
        <v>0.40560413369845366</v>
      </c>
      <c r="N73" s="95">
        <v>11789476.779999999</v>
      </c>
      <c r="O73" s="98">
        <f t="shared" si="45"/>
        <v>0.36454782869511437</v>
      </c>
      <c r="P73" s="207">
        <v>18078018.460000001</v>
      </c>
      <c r="Q73" s="98">
        <f t="shared" si="46"/>
        <v>0.57408759796760878</v>
      </c>
      <c r="R73" s="207">
        <f>VLOOKUP($B73,[1]Sheet3!$B$5:$I$137,5,FALSE)</f>
        <v>14230875.779999999</v>
      </c>
      <c r="S73" s="98">
        <f t="shared" si="2"/>
        <v>0.45191730009526826</v>
      </c>
      <c r="T73" s="207">
        <f>VLOOKUP($B73,[1]Sheet3!$B$5:$I$137,7,FALSE)</f>
        <v>14126844.789999999</v>
      </c>
      <c r="U73" s="98">
        <f t="shared" si="3"/>
        <v>0.42347996386970665</v>
      </c>
      <c r="V73" s="207">
        <v>8854649.7699999996</v>
      </c>
      <c r="W73" s="98">
        <f t="shared" si="50"/>
        <v>0.25182749368309154</v>
      </c>
      <c r="X73" s="208"/>
      <c r="Y73" s="208"/>
      <c r="Z73" s="256">
        <f t="shared" si="16"/>
        <v>0</v>
      </c>
      <c r="AA73" s="256">
        <f t="shared" si="17"/>
        <v>-5272195.0199999996</v>
      </c>
      <c r="AB73" s="207">
        <v>8854649.7699999996</v>
      </c>
      <c r="AC73" s="98">
        <f t="shared" si="36"/>
        <v>0.25182749368309154</v>
      </c>
      <c r="AD73" s="207">
        <v>15000000</v>
      </c>
      <c r="AE73" s="98">
        <f t="shared" si="37"/>
        <v>0.40409408419776255</v>
      </c>
      <c r="AF73" s="208"/>
      <c r="AG73" s="233">
        <f>15000000-AR50</f>
        <v>10887321.903999805</v>
      </c>
      <c r="AH73" s="98">
        <f t="shared" si="47"/>
        <v>0.29330015827753614</v>
      </c>
      <c r="AI73" s="207">
        <v>15000000</v>
      </c>
      <c r="AJ73" s="98">
        <f t="shared" si="48"/>
        <v>0.38166731289221589</v>
      </c>
      <c r="AK73" s="208"/>
      <c r="AL73" s="207">
        <v>15000000</v>
      </c>
      <c r="AM73" s="98">
        <f t="shared" si="40"/>
        <v>0.38166731289221589</v>
      </c>
      <c r="AN73" s="207">
        <v>15000000</v>
      </c>
      <c r="AO73" s="98">
        <f t="shared" si="41"/>
        <v>0.35979196162539173</v>
      </c>
      <c r="AQ73" s="106"/>
      <c r="AR73" s="328" t="s">
        <v>481</v>
      </c>
      <c r="AS73" s="318"/>
      <c r="AT73" s="319"/>
      <c r="AU73" s="107"/>
      <c r="AV73" s="108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DU73" s="225"/>
      <c r="DV73" s="225"/>
      <c r="DW73" s="179"/>
      <c r="DX73" s="179"/>
      <c r="DY73" s="179"/>
      <c r="DZ73" s="176"/>
    </row>
    <row r="74" spans="1:130" ht="13.5" customHeight="1" thickTop="1" thickBot="1">
      <c r="B74" s="80">
        <v>462</v>
      </c>
      <c r="C74" s="192" t="s">
        <v>113</v>
      </c>
      <c r="D74" s="193">
        <v>1050939.44</v>
      </c>
      <c r="E74" s="194">
        <f t="shared" si="49"/>
        <v>4.8905925822513845E-2</v>
      </c>
      <c r="F74" s="193">
        <v>0</v>
      </c>
      <c r="G74" s="194">
        <f t="shared" si="49"/>
        <v>0</v>
      </c>
      <c r="H74" s="193">
        <v>0</v>
      </c>
      <c r="I74" s="194">
        <f t="shared" si="42"/>
        <v>0</v>
      </c>
      <c r="J74" s="193">
        <v>1769093.84</v>
      </c>
      <c r="K74" s="194">
        <f t="shared" si="43"/>
        <v>5.9345650452868166E-2</v>
      </c>
      <c r="L74" s="193">
        <v>0</v>
      </c>
      <c r="M74" s="194">
        <f t="shared" si="44"/>
        <v>0</v>
      </c>
      <c r="N74" s="193">
        <v>33915163.380000003</v>
      </c>
      <c r="O74" s="194">
        <f t="shared" si="45"/>
        <v>1.0487063506493508</v>
      </c>
      <c r="P74" s="227">
        <v>24719832.629999999</v>
      </c>
      <c r="Q74" s="194">
        <f t="shared" si="46"/>
        <v>0.78500579961892658</v>
      </c>
      <c r="R74" s="227">
        <f>VLOOKUP($B74,[1]Sheet3!$C$5:$I$137,4,FALSE)</f>
        <v>0</v>
      </c>
      <c r="S74" s="194">
        <f t="shared" si="2"/>
        <v>0</v>
      </c>
      <c r="T74" s="227">
        <f>VLOOKUP($B74,[1]Sheet3!$C$5:$I$137,6,FALSE)</f>
        <v>107230592.5</v>
      </c>
      <c r="U74" s="194">
        <f t="shared" si="3"/>
        <v>3.2144479614989279</v>
      </c>
      <c r="V74" s="227">
        <v>0</v>
      </c>
      <c r="W74" s="194">
        <f t="shared" si="50"/>
        <v>0</v>
      </c>
      <c r="X74" s="228">
        <v>5153201.26</v>
      </c>
      <c r="Y74" s="228"/>
      <c r="Z74" s="259">
        <f t="shared" si="16"/>
        <v>5153201.26</v>
      </c>
      <c r="AA74" s="259">
        <f t="shared" si="17"/>
        <v>-102077391.23999999</v>
      </c>
      <c r="AB74" s="227">
        <f>+X74</f>
        <v>5153201.26</v>
      </c>
      <c r="AC74" s="194">
        <f t="shared" si="36"/>
        <v>0.14655777376391357</v>
      </c>
      <c r="AD74" s="227">
        <v>0</v>
      </c>
      <c r="AE74" s="194">
        <f t="shared" si="37"/>
        <v>0</v>
      </c>
      <c r="AF74" s="228"/>
      <c r="AG74" s="227">
        <v>0</v>
      </c>
      <c r="AH74" s="194">
        <f t="shared" si="47"/>
        <v>0</v>
      </c>
      <c r="AI74" s="227">
        <v>0</v>
      </c>
      <c r="AJ74" s="194">
        <f t="shared" si="48"/>
        <v>0</v>
      </c>
      <c r="AK74" s="228"/>
      <c r="AL74" s="227">
        <v>0</v>
      </c>
      <c r="AM74" s="194">
        <f t="shared" si="40"/>
        <v>0</v>
      </c>
      <c r="AN74" s="227">
        <v>0</v>
      </c>
      <c r="AO74" s="194">
        <f t="shared" si="41"/>
        <v>0</v>
      </c>
      <c r="AQ74" s="106"/>
      <c r="AR74" s="326" t="s">
        <v>479</v>
      </c>
      <c r="AS74" s="321">
        <v>73724870.152699992</v>
      </c>
      <c r="AT74" s="322"/>
      <c r="AU74" s="107"/>
      <c r="AV74" s="108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DU74" s="225"/>
      <c r="DV74" s="225"/>
      <c r="DW74" s="179"/>
      <c r="DX74" s="179"/>
      <c r="DY74" s="179"/>
      <c r="DZ74" s="176"/>
    </row>
    <row r="75" spans="1:130" ht="13.5" customHeight="1" thickTop="1" thickBot="1">
      <c r="B75" s="80">
        <v>990</v>
      </c>
      <c r="C75" s="191" t="s">
        <v>152</v>
      </c>
      <c r="D75" s="95">
        <v>0</v>
      </c>
      <c r="E75" s="98">
        <f t="shared" si="49"/>
        <v>0</v>
      </c>
      <c r="F75" s="95">
        <v>0</v>
      </c>
      <c r="G75" s="98">
        <f t="shared" si="49"/>
        <v>0</v>
      </c>
      <c r="H75" s="95">
        <v>0</v>
      </c>
      <c r="I75" s="98">
        <f t="shared" si="42"/>
        <v>0</v>
      </c>
      <c r="J75" s="95">
        <v>29123695.350000001</v>
      </c>
      <c r="K75" s="98">
        <f t="shared" si="43"/>
        <v>0.97697736833277427</v>
      </c>
      <c r="L75" s="95">
        <v>29801618.829999998</v>
      </c>
      <c r="M75" s="98">
        <f t="shared" si="44"/>
        <v>0.9601036994201031</v>
      </c>
      <c r="N75" s="95">
        <v>29193708.800000001</v>
      </c>
      <c r="O75" s="98">
        <f t="shared" si="45"/>
        <v>0.90271208410636994</v>
      </c>
      <c r="P75" s="207">
        <v>33114247.129999999</v>
      </c>
      <c r="Q75" s="98">
        <f t="shared" si="46"/>
        <v>1.0515797754842806</v>
      </c>
      <c r="R75" s="207">
        <v>0</v>
      </c>
      <c r="S75" s="98">
        <f t="shared" si="2"/>
        <v>0</v>
      </c>
      <c r="T75" s="302">
        <f>+AS76</f>
        <v>14438105.227300003</v>
      </c>
      <c r="U75" s="98">
        <f t="shared" si="3"/>
        <v>0.43281060781046704</v>
      </c>
      <c r="V75" s="207">
        <v>0</v>
      </c>
      <c r="W75" s="98">
        <f t="shared" si="50"/>
        <v>0</v>
      </c>
      <c r="X75" s="208"/>
      <c r="Y75" s="208"/>
      <c r="Z75" s="256">
        <f t="shared" si="16"/>
        <v>0</v>
      </c>
      <c r="AA75" s="256">
        <f t="shared" si="17"/>
        <v>-14438105.227300003</v>
      </c>
      <c r="AB75" s="207">
        <v>0</v>
      </c>
      <c r="AC75" s="98">
        <f t="shared" si="36"/>
        <v>0</v>
      </c>
      <c r="AD75" s="207">
        <v>0</v>
      </c>
      <c r="AE75" s="98">
        <f t="shared" si="37"/>
        <v>0</v>
      </c>
      <c r="AF75" s="208"/>
      <c r="AG75" s="207">
        <v>0</v>
      </c>
      <c r="AH75" s="98">
        <f t="shared" si="47"/>
        <v>0</v>
      </c>
      <c r="AI75" s="207">
        <v>0</v>
      </c>
      <c r="AJ75" s="98">
        <f t="shared" si="48"/>
        <v>0</v>
      </c>
      <c r="AK75" s="208"/>
      <c r="AL75" s="207">
        <v>0</v>
      </c>
      <c r="AM75" s="98">
        <f t="shared" si="40"/>
        <v>0</v>
      </c>
      <c r="AN75" s="207">
        <v>0</v>
      </c>
      <c r="AO75" s="98">
        <f t="shared" si="41"/>
        <v>0</v>
      </c>
      <c r="AQ75" s="106"/>
      <c r="AR75" s="327" t="s">
        <v>480</v>
      </c>
      <c r="AS75" s="324">
        <v>88162975.379999995</v>
      </c>
      <c r="AT75" s="322"/>
      <c r="AU75" s="107"/>
      <c r="AV75" s="108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DU75" s="225"/>
      <c r="DV75" s="225"/>
      <c r="DW75" s="179"/>
      <c r="DX75" s="179"/>
      <c r="DY75" s="179"/>
      <c r="DZ75" s="176"/>
    </row>
    <row r="76" spans="1:130" ht="13.5" customHeight="1" thickTop="1" thickBot="1">
      <c r="C76" s="90" t="s">
        <v>132</v>
      </c>
      <c r="D76" s="91">
        <f>+D16-D49</f>
        <v>113330709.85999954</v>
      </c>
      <c r="E76" s="92">
        <f t="shared" si="49"/>
        <v>5.2738940788310078</v>
      </c>
      <c r="F76" s="91">
        <f>+F16-F49</f>
        <v>176962896.35999978</v>
      </c>
      <c r="G76" s="92">
        <f t="shared" si="49"/>
        <v>6.6018614571908145</v>
      </c>
      <c r="H76" s="91">
        <f>+H16-H49</f>
        <v>90335941.4599998</v>
      </c>
      <c r="I76" s="92">
        <f t="shared" si="42"/>
        <v>2.9276620903551915</v>
      </c>
      <c r="J76" s="91">
        <f>+J16-J49</f>
        <v>-105584071.02449965</v>
      </c>
      <c r="K76" s="92">
        <f t="shared" si="43"/>
        <v>-3.5419010742871402</v>
      </c>
      <c r="L76" s="91">
        <f>+L16-L49</f>
        <v>-92871951.409999847</v>
      </c>
      <c r="M76" s="92">
        <f t="shared" si="44"/>
        <v>-2.992008743878861</v>
      </c>
      <c r="N76" s="91">
        <f>+N16-N49</f>
        <v>-172662602.11999989</v>
      </c>
      <c r="O76" s="92">
        <f t="shared" si="45"/>
        <v>-5.338979657390226</v>
      </c>
      <c r="P76" s="91">
        <f>+P16-P49</f>
        <v>-207823693.15000033</v>
      </c>
      <c r="Q76" s="92">
        <f t="shared" si="46"/>
        <v>-6.5996726945062036</v>
      </c>
      <c r="R76" s="91">
        <f>+R16-R49</f>
        <v>-94783224.768766642</v>
      </c>
      <c r="S76" s="92">
        <f t="shared" si="2"/>
        <v>-3.0099468011675659</v>
      </c>
      <c r="T76" s="91">
        <f>+T16-T49</f>
        <v>-141489073.88730001</v>
      </c>
      <c r="U76" s="92">
        <f t="shared" si="3"/>
        <v>-4.2414133366968265</v>
      </c>
      <c r="V76" s="91">
        <f>+V16-V49</f>
        <v>-61548670.382829428</v>
      </c>
      <c r="W76" s="92">
        <f t="shared" si="50"/>
        <v>-1.7504529038006957</v>
      </c>
      <c r="X76" s="93"/>
      <c r="Y76" s="229"/>
      <c r="Z76" s="229"/>
      <c r="AA76" s="229"/>
      <c r="AB76" s="91">
        <f>+AB16-AB49</f>
        <v>-26424601.993229389</v>
      </c>
      <c r="AC76" s="92">
        <f t="shared" si="36"/>
        <v>-0.75151942362235102</v>
      </c>
      <c r="AD76" s="91">
        <f>+AD16-AD49</f>
        <v>-6522166.2406938076</v>
      </c>
      <c r="AE76" s="92">
        <f t="shared" si="37"/>
        <v>-0.17570458626791519</v>
      </c>
      <c r="AF76" s="224"/>
      <c r="AG76" s="91">
        <f>+AG16-AG49</f>
        <v>-24569497.372829676</v>
      </c>
      <c r="AH76" s="92">
        <f t="shared" si="47"/>
        <v>-0.66189256933819607</v>
      </c>
      <c r="AI76" s="226">
        <v>14311966.955734968</v>
      </c>
      <c r="AJ76" s="92">
        <f t="shared" si="48"/>
        <v>0.36416066467983688</v>
      </c>
      <c r="AK76" s="224"/>
      <c r="AL76" s="91">
        <f>+AL16-AL49</f>
        <v>33498994.005818129</v>
      </c>
      <c r="AM76" s="92">
        <f t="shared" si="40"/>
        <v>0.85236473511953681</v>
      </c>
      <c r="AN76" s="91">
        <f>+AN16-AN49</f>
        <v>103834080.12588143</v>
      </c>
      <c r="AO76" s="92">
        <f t="shared" si="41"/>
        <v>2.4905778248039323</v>
      </c>
      <c r="AQ76" s="106">
        <f>+P75+P81</f>
        <v>35738087.519999996</v>
      </c>
      <c r="AR76" s="320"/>
      <c r="AS76" s="321">
        <f>+AS75-AS74</f>
        <v>14438105.227300003</v>
      </c>
      <c r="AT76" s="322"/>
      <c r="AU76" s="107">
        <v>4630</v>
      </c>
      <c r="AV76" s="108">
        <v>60543190.100000001</v>
      </c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DU76" s="225"/>
      <c r="DV76" s="225"/>
      <c r="DW76" s="179"/>
      <c r="DX76" s="179"/>
      <c r="DY76" s="179"/>
      <c r="DZ76" s="176"/>
    </row>
    <row r="77" spans="1:130" ht="13.5" customHeight="1" thickTop="1" thickBot="1">
      <c r="C77" s="90" t="s">
        <v>133</v>
      </c>
      <c r="D77" s="91">
        <f>+D76+D57</f>
        <v>136729703.91999954</v>
      </c>
      <c r="E77" s="92">
        <f t="shared" si="49"/>
        <v>6.3627764865745045</v>
      </c>
      <c r="F77" s="91">
        <f>+F76+F57</f>
        <v>204061825.83999977</v>
      </c>
      <c r="G77" s="92">
        <f t="shared" si="49"/>
        <v>7.6128269293042257</v>
      </c>
      <c r="H77" s="91">
        <f>+H76+H57</f>
        <v>112867935.2999998</v>
      </c>
      <c r="I77" s="92">
        <f t="shared" si="42"/>
        <v>3.657892640005179</v>
      </c>
      <c r="J77" s="91">
        <f>+J76+J57</f>
        <v>-81072042.384499654</v>
      </c>
      <c r="K77" s="92">
        <f t="shared" si="43"/>
        <v>-2.7196257089734872</v>
      </c>
      <c r="L77" s="91">
        <f>+L76+L57</f>
        <v>-62615672.939999849</v>
      </c>
      <c r="M77" s="92">
        <f t="shared" si="44"/>
        <v>-2.0172575045103045</v>
      </c>
      <c r="N77" s="91">
        <f>+N76+N57</f>
        <v>-127570252.08999988</v>
      </c>
      <c r="O77" s="92">
        <f t="shared" si="45"/>
        <v>-3.9446583824984502</v>
      </c>
      <c r="P77" s="91">
        <f>+P76+P57</f>
        <v>-150963838.61000034</v>
      </c>
      <c r="Q77" s="92">
        <f t="shared" si="46"/>
        <v>-4.7940247256271942</v>
      </c>
      <c r="R77" s="91">
        <f>+R76+R57</f>
        <v>-47600690.258766644</v>
      </c>
      <c r="S77" s="92">
        <f t="shared" si="2"/>
        <v>-1.5116129011993218</v>
      </c>
      <c r="T77" s="91">
        <f>+T76+T57</f>
        <v>-73566298.347300008</v>
      </c>
      <c r="U77" s="92">
        <f t="shared" si="3"/>
        <v>-2.2052945175836869</v>
      </c>
      <c r="V77" s="91">
        <f>+V76+V57</f>
        <v>11767452.737170577</v>
      </c>
      <c r="W77" s="92">
        <f t="shared" si="50"/>
        <v>0.3346680226558415</v>
      </c>
      <c r="X77" s="93"/>
      <c r="Y77" s="229"/>
      <c r="Z77" s="229"/>
      <c r="AA77" s="229"/>
      <c r="AB77" s="91">
        <f>+AB76+AB57</f>
        <v>46891521.126770616</v>
      </c>
      <c r="AC77" s="92">
        <f t="shared" si="36"/>
        <v>1.3336015028341861</v>
      </c>
      <c r="AD77" s="91">
        <f>+AD76-AD57</f>
        <v>-71731363.330693811</v>
      </c>
      <c r="AE77" s="92">
        <f t="shared" si="37"/>
        <v>-1.9324146382249121</v>
      </c>
      <c r="AF77" s="224"/>
      <c r="AG77" s="91">
        <f>+AG76+AG57</f>
        <v>48680502.627170324</v>
      </c>
      <c r="AH77" s="92">
        <f t="shared" si="47"/>
        <v>1.3114335418275442</v>
      </c>
      <c r="AI77" s="226">
        <v>91711966.955734968</v>
      </c>
      <c r="AJ77" s="92">
        <f t="shared" si="48"/>
        <v>2.3335639992036712</v>
      </c>
      <c r="AK77" s="224"/>
      <c r="AL77" s="91">
        <f>+AL76+AL57</f>
        <v>105283994.00581813</v>
      </c>
      <c r="AM77" s="92">
        <f t="shared" si="40"/>
        <v>2.6788972721840514</v>
      </c>
      <c r="AN77" s="91">
        <f>+AN76+AN57</f>
        <v>174183380.12588143</v>
      </c>
      <c r="AO77" s="92">
        <f t="shared" si="41"/>
        <v>4.1779853345354772</v>
      </c>
      <c r="AQ77" s="106"/>
      <c r="AR77" s="323"/>
      <c r="AS77" s="324"/>
      <c r="AT77" s="325"/>
      <c r="AU77" s="107"/>
      <c r="AV77" s="108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DU77" s="225"/>
      <c r="DV77" s="225"/>
      <c r="DW77" s="179"/>
      <c r="DX77" s="179"/>
      <c r="DY77" s="179"/>
      <c r="DZ77" s="176"/>
    </row>
    <row r="78" spans="1:130" ht="13.5" customHeight="1" thickTop="1" thickBot="1">
      <c r="C78" s="90" t="s">
        <v>0</v>
      </c>
      <c r="D78" s="91">
        <f>+SUM(D79:D81)</f>
        <v>104045865.95999999</v>
      </c>
      <c r="E78" s="92">
        <f t="shared" si="49"/>
        <v>4.841819812927544</v>
      </c>
      <c r="F78" s="91">
        <f>+SUM(F79:F81)</f>
        <v>160963531.41999999</v>
      </c>
      <c r="G78" s="92">
        <f t="shared" si="49"/>
        <v>6.0049815862712181</v>
      </c>
      <c r="H78" s="91">
        <f>+SUM(H79:H81)</f>
        <v>122913293.86</v>
      </c>
      <c r="I78" s="92">
        <f t="shared" si="42"/>
        <v>3.9834487250453723</v>
      </c>
      <c r="J78" s="91">
        <f>+SUM(J79:J81)</f>
        <v>151220956.42000002</v>
      </c>
      <c r="K78" s="92">
        <f t="shared" si="43"/>
        <v>5.0728264481717549</v>
      </c>
      <c r="L78" s="91">
        <f>+SUM(L79:L81)</f>
        <v>186013130.75999999</v>
      </c>
      <c r="M78" s="92">
        <f t="shared" si="44"/>
        <v>5.9926910682989689</v>
      </c>
      <c r="N78" s="91">
        <f>+SUM(N79:N81)</f>
        <v>132767747.19999999</v>
      </c>
      <c r="O78" s="92">
        <f t="shared" si="45"/>
        <v>4.1053725170068018</v>
      </c>
      <c r="P78" s="91">
        <f>+SUM(P79:P81)</f>
        <v>118134757.73</v>
      </c>
      <c r="Q78" s="92">
        <f t="shared" si="46"/>
        <v>3.7515007218164498</v>
      </c>
      <c r="R78" s="91">
        <f>+SUM(R79:R81)</f>
        <v>119209623.22</v>
      </c>
      <c r="S78" s="92">
        <f t="shared" si="2"/>
        <v>3.7856342718323277</v>
      </c>
      <c r="T78" s="91">
        <f>+SUM(T79:T81)</f>
        <v>220130536.62270001</v>
      </c>
      <c r="U78" s="92">
        <f t="shared" si="3"/>
        <v>6.5988458910222185</v>
      </c>
      <c r="V78" s="91">
        <f>+SUM(V79:V81)</f>
        <v>171426905.49000001</v>
      </c>
      <c r="W78" s="92">
        <f t="shared" si="50"/>
        <v>4.875405474043375</v>
      </c>
      <c r="X78" s="93"/>
      <c r="Y78" s="229"/>
      <c r="Z78" s="229"/>
      <c r="AA78" s="229"/>
      <c r="AB78" s="91">
        <f>+SUM(AB79:AB81)</f>
        <v>171426905.49000001</v>
      </c>
      <c r="AC78" s="92">
        <f t="shared" si="36"/>
        <v>4.875405474043375</v>
      </c>
      <c r="AD78" s="91">
        <f>+SUM(AD79:AD81)</f>
        <v>433269759.02999997</v>
      </c>
      <c r="AE78" s="92">
        <f t="shared" si="37"/>
        <v>11.67211643238754</v>
      </c>
      <c r="AF78" s="224"/>
      <c r="AG78" s="91">
        <f>+SUM(AG79:AG81)</f>
        <v>452860948.83999997</v>
      </c>
      <c r="AH78" s="92">
        <f t="shared" si="47"/>
        <v>12.199895359361973</v>
      </c>
      <c r="AI78" s="226">
        <v>385100000</v>
      </c>
      <c r="AJ78" s="92">
        <f t="shared" si="48"/>
        <v>9.7986721463194897</v>
      </c>
      <c r="AK78" s="224"/>
      <c r="AL78" s="91">
        <f>+SUM(AL79:AL81)</f>
        <v>415003981.30000001</v>
      </c>
      <c r="AM78" s="92">
        <f t="shared" si="40"/>
        <v>10.559563625489496</v>
      </c>
      <c r="AN78" s="91">
        <f>+SUM(AN79:AN81)</f>
        <v>183837481.49000001</v>
      </c>
      <c r="AO78" s="92">
        <f t="shared" si="41"/>
        <v>4.4095498723705839</v>
      </c>
      <c r="AQ78" s="106"/>
      <c r="AR78" s="107"/>
      <c r="AS78" s="107"/>
      <c r="AT78" s="107"/>
      <c r="AU78" s="107"/>
      <c r="AV78" s="108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DU78" s="225"/>
      <c r="DV78" s="225"/>
      <c r="DW78" s="179"/>
      <c r="DX78" s="179"/>
      <c r="DY78" s="179"/>
      <c r="DZ78" s="176"/>
    </row>
    <row r="79" spans="1:130" ht="13.5" customHeight="1" thickTop="1">
      <c r="B79" s="80">
        <v>4611</v>
      </c>
      <c r="C79" s="100" t="s">
        <v>135</v>
      </c>
      <c r="D79" s="101">
        <v>34109764.159999996</v>
      </c>
      <c r="E79" s="102">
        <f t="shared" si="49"/>
        <v>1.5873127721159661</v>
      </c>
      <c r="F79" s="101">
        <v>23247139.440000001</v>
      </c>
      <c r="G79" s="102">
        <f t="shared" si="49"/>
        <v>0.86726877224398446</v>
      </c>
      <c r="H79" s="101">
        <v>48375025.880000003</v>
      </c>
      <c r="I79" s="102">
        <f t="shared" si="42"/>
        <v>1.5677672374902776</v>
      </c>
      <c r="J79" s="101">
        <v>68898727.290000007</v>
      </c>
      <c r="K79" s="102">
        <f t="shared" si="43"/>
        <v>2.3112622371687355</v>
      </c>
      <c r="L79" s="101">
        <v>56807566.530000001</v>
      </c>
      <c r="M79" s="102">
        <f t="shared" si="44"/>
        <v>1.8301406742912374</v>
      </c>
      <c r="N79" s="101">
        <v>31950887.579999998</v>
      </c>
      <c r="O79" s="102">
        <f t="shared" si="45"/>
        <v>0.98796807606679038</v>
      </c>
      <c r="P79" s="211">
        <v>60636105.950000003</v>
      </c>
      <c r="Q79" s="102">
        <f t="shared" si="46"/>
        <v>1.9255670355668466</v>
      </c>
      <c r="R79" s="211">
        <v>23800000</v>
      </c>
      <c r="S79" s="102">
        <f t="shared" si="2"/>
        <v>0.75579549063194662</v>
      </c>
      <c r="T79" s="211">
        <v>107621020.42</v>
      </c>
      <c r="U79" s="102">
        <f t="shared" si="3"/>
        <v>3.2261518064772745</v>
      </c>
      <c r="V79" s="211">
        <v>30008345.27</v>
      </c>
      <c r="W79" s="102">
        <f t="shared" si="50"/>
        <v>0.8534415900360286</v>
      </c>
      <c r="X79" s="210"/>
      <c r="Y79" s="210"/>
      <c r="Z79" s="210"/>
      <c r="AA79" s="210"/>
      <c r="AB79" s="211">
        <v>30008345.27</v>
      </c>
      <c r="AC79" s="102">
        <f t="shared" si="36"/>
        <v>0.8534415900360286</v>
      </c>
      <c r="AD79" s="211">
        <v>33600000</v>
      </c>
      <c r="AE79" s="102">
        <f t="shared" si="37"/>
        <v>0.90517074860298807</v>
      </c>
      <c r="AF79" s="212"/>
      <c r="AG79" s="211">
        <v>81000382.63000001</v>
      </c>
      <c r="AH79" s="102">
        <f t="shared" si="47"/>
        <v>2.1821183625692138</v>
      </c>
      <c r="AI79" s="211">
        <v>28500000</v>
      </c>
      <c r="AJ79" s="102">
        <f t="shared" si="48"/>
        <v>0.72516789449521024</v>
      </c>
      <c r="AK79" s="212"/>
      <c r="AL79" s="211">
        <v>63638748.950000003</v>
      </c>
      <c r="AM79" s="102">
        <f t="shared" si="40"/>
        <v>1.6192553538379217</v>
      </c>
      <c r="AN79" s="211">
        <v>45902322.950000003</v>
      </c>
      <c r="AO79" s="102">
        <f t="shared" si="41"/>
        <v>1.1010191211561826</v>
      </c>
      <c r="AQ79" s="106"/>
      <c r="AR79" s="107"/>
      <c r="AS79" s="107"/>
      <c r="AT79" s="107"/>
      <c r="AU79" s="107"/>
      <c r="AV79" s="108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DU79" s="225"/>
      <c r="DV79" s="225"/>
      <c r="DW79" s="179"/>
      <c r="DX79" s="179"/>
      <c r="DY79" s="179"/>
      <c r="DZ79" s="176"/>
    </row>
    <row r="80" spans="1:130" ht="13.5" customHeight="1">
      <c r="B80" s="80">
        <v>4612</v>
      </c>
      <c r="C80" s="100" t="s">
        <v>137</v>
      </c>
      <c r="D80" s="101">
        <v>14260035.939999999</v>
      </c>
      <c r="E80" s="102">
        <f t="shared" si="49"/>
        <v>0.66359700032574798</v>
      </c>
      <c r="F80" s="101">
        <v>84151518.439999998</v>
      </c>
      <c r="G80" s="102">
        <f t="shared" si="49"/>
        <v>3.1393963230740534</v>
      </c>
      <c r="H80" s="101">
        <v>16762329.57</v>
      </c>
      <c r="I80" s="102">
        <f t="shared" si="42"/>
        <v>0.5432437636116153</v>
      </c>
      <c r="J80" s="101">
        <v>25402765.82</v>
      </c>
      <c r="K80" s="102">
        <f t="shared" si="43"/>
        <v>0.8521558477021135</v>
      </c>
      <c r="L80" s="101">
        <v>45342776.32</v>
      </c>
      <c r="M80" s="102">
        <f t="shared" si="44"/>
        <v>1.4607853195876288</v>
      </c>
      <c r="N80" s="101">
        <v>59510365.689999998</v>
      </c>
      <c r="O80" s="102">
        <f t="shared" si="45"/>
        <v>1.8401473620902906</v>
      </c>
      <c r="P80" s="211">
        <v>54874811.390000001</v>
      </c>
      <c r="Q80" s="102">
        <f t="shared" si="46"/>
        <v>1.7426107141949827</v>
      </c>
      <c r="R80" s="211">
        <v>62700000</v>
      </c>
      <c r="S80" s="102">
        <f t="shared" ref="S80:S87" si="51">R80/P$11*100</f>
        <v>1.9911082883455067</v>
      </c>
      <c r="T80" s="211">
        <v>66404431.329999998</v>
      </c>
      <c r="U80" s="102">
        <f t="shared" ref="U80:U87" si="52">T80/R$11*100</f>
        <v>1.9906034644284372</v>
      </c>
      <c r="V80" s="211">
        <v>108080400.25</v>
      </c>
      <c r="W80" s="102">
        <f t="shared" si="50"/>
        <v>3.073821892248922</v>
      </c>
      <c r="X80" s="210"/>
      <c r="Y80" s="210"/>
      <c r="Z80" s="210"/>
      <c r="AA80" s="210"/>
      <c r="AB80" s="211">
        <v>108080400.25</v>
      </c>
      <c r="AC80" s="102">
        <f t="shared" si="36"/>
        <v>3.073821892248922</v>
      </c>
      <c r="AD80" s="211">
        <v>367769759.02999997</v>
      </c>
      <c r="AE80" s="102">
        <f t="shared" si="37"/>
        <v>9.9075722647239761</v>
      </c>
      <c r="AF80" s="212"/>
      <c r="AG80" s="211">
        <v>361860566.20999998</v>
      </c>
      <c r="AH80" s="102">
        <f t="shared" si="47"/>
        <v>9.7483809406609172</v>
      </c>
      <c r="AI80" s="211">
        <v>331900000</v>
      </c>
      <c r="AJ80" s="102">
        <f t="shared" si="48"/>
        <v>8.4450254099284301</v>
      </c>
      <c r="AK80" s="212"/>
      <c r="AL80" s="211">
        <v>341365232.35000002</v>
      </c>
      <c r="AM80" s="102">
        <f t="shared" si="40"/>
        <v>8.6858633963900971</v>
      </c>
      <c r="AN80" s="211">
        <v>127935158.54000001</v>
      </c>
      <c r="AO80" s="102">
        <f t="shared" si="41"/>
        <v>3.0686694434641395</v>
      </c>
      <c r="AQ80" s="106"/>
      <c r="AR80" s="107"/>
      <c r="AS80" s="107"/>
      <c r="AT80" s="107"/>
      <c r="AU80" s="107"/>
      <c r="AV80" s="108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DU80" s="225"/>
      <c r="DV80" s="225"/>
      <c r="DW80" s="179"/>
      <c r="DX80" s="179"/>
      <c r="DY80" s="179"/>
      <c r="DZ80" s="176"/>
    </row>
    <row r="81" spans="2:130" ht="13.5" customHeight="1" thickBot="1">
      <c r="B81" s="80">
        <v>4630</v>
      </c>
      <c r="C81" s="100" t="s">
        <v>116</v>
      </c>
      <c r="D81" s="101">
        <v>55676065.859999999</v>
      </c>
      <c r="E81" s="102">
        <f t="shared" si="49"/>
        <v>2.5909100404858298</v>
      </c>
      <c r="F81" s="101">
        <v>53564873.539999999</v>
      </c>
      <c r="G81" s="102">
        <f t="shared" si="49"/>
        <v>1.9983164909531801</v>
      </c>
      <c r="H81" s="101">
        <v>57775938.409999996</v>
      </c>
      <c r="I81" s="102">
        <f t="shared" si="42"/>
        <v>1.8724377239434791</v>
      </c>
      <c r="J81" s="101">
        <v>56919463.310000002</v>
      </c>
      <c r="K81" s="102">
        <f t="shared" si="43"/>
        <v>1.909408363300906</v>
      </c>
      <c r="L81" s="101">
        <v>83862787.909999996</v>
      </c>
      <c r="M81" s="102">
        <f t="shared" si="44"/>
        <v>2.7017650744201029</v>
      </c>
      <c r="N81" s="101">
        <v>41306493.93</v>
      </c>
      <c r="O81" s="102">
        <f t="shared" si="45"/>
        <v>1.2772570788497217</v>
      </c>
      <c r="P81" s="211">
        <v>2623840.39</v>
      </c>
      <c r="Q81" s="102">
        <f t="shared" si="46"/>
        <v>8.3322972054620512E-2</v>
      </c>
      <c r="R81" s="211">
        <v>32709623.219999999</v>
      </c>
      <c r="S81" s="102">
        <f t="shared" si="51"/>
        <v>1.0387304928548744</v>
      </c>
      <c r="T81" s="303">
        <f>+AV76-T75</f>
        <v>46105084.872699998</v>
      </c>
      <c r="U81" s="102">
        <f t="shared" si="52"/>
        <v>1.3820906201165077</v>
      </c>
      <c r="V81" s="211">
        <v>33338159.969999999</v>
      </c>
      <c r="W81" s="102">
        <f t="shared" si="50"/>
        <v>0.94814199175842395</v>
      </c>
      <c r="X81" s="210"/>
      <c r="Y81" s="210"/>
      <c r="Z81" s="210"/>
      <c r="AA81" s="210"/>
      <c r="AB81" s="211">
        <v>33338159.969999999</v>
      </c>
      <c r="AC81" s="102">
        <f t="shared" si="36"/>
        <v>0.94814199175842395</v>
      </c>
      <c r="AD81" s="211">
        <v>31900000</v>
      </c>
      <c r="AE81" s="102">
        <f t="shared" si="37"/>
        <v>0.85937341906057507</v>
      </c>
      <c r="AF81" s="212"/>
      <c r="AG81" s="211">
        <v>10000000</v>
      </c>
      <c r="AH81" s="102">
        <f t="shared" si="47"/>
        <v>0.2693960561318417</v>
      </c>
      <c r="AI81" s="211">
        <v>24700000</v>
      </c>
      <c r="AJ81" s="102">
        <f t="shared" si="48"/>
        <v>0.62847884189584891</v>
      </c>
      <c r="AK81" s="212"/>
      <c r="AL81" s="211">
        <v>10000000</v>
      </c>
      <c r="AM81" s="102">
        <f t="shared" si="40"/>
        <v>0.2544448752614773</v>
      </c>
      <c r="AN81" s="211">
        <v>10000000</v>
      </c>
      <c r="AO81" s="102">
        <f t="shared" si="41"/>
        <v>0.23986130775026118</v>
      </c>
      <c r="AQ81" s="106"/>
      <c r="AR81" s="328" t="s">
        <v>478</v>
      </c>
      <c r="AS81" s="318"/>
      <c r="AT81" s="319"/>
      <c r="AU81" s="107"/>
      <c r="AV81" s="108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DU81" s="225"/>
      <c r="DV81" s="225"/>
      <c r="DW81" s="179"/>
      <c r="DX81" s="179"/>
      <c r="DY81" s="179"/>
      <c r="DZ81" s="176"/>
    </row>
    <row r="82" spans="2:130" ht="13.5" customHeight="1" thickTop="1" thickBot="1">
      <c r="C82" s="90" t="s">
        <v>141</v>
      </c>
      <c r="D82" s="91">
        <f>+D76-D78</f>
        <v>9284843.899999544</v>
      </c>
      <c r="E82" s="92">
        <f t="shared" si="49"/>
        <v>0.43207426590346426</v>
      </c>
      <c r="F82" s="91">
        <f>+F76-F78</f>
        <v>15999364.939999789</v>
      </c>
      <c r="G82" s="92">
        <f t="shared" si="49"/>
        <v>0.59687987091959671</v>
      </c>
      <c r="H82" s="91">
        <f>+H76-H78</f>
        <v>-32577352.4000002</v>
      </c>
      <c r="I82" s="92">
        <f t="shared" si="42"/>
        <v>-1.0557866346901801</v>
      </c>
      <c r="J82" s="91">
        <f>+J76-J78</f>
        <v>-256805027.44449967</v>
      </c>
      <c r="K82" s="92">
        <f t="shared" si="43"/>
        <v>-8.6147275224588959</v>
      </c>
      <c r="L82" s="91">
        <f>+L76-L78</f>
        <v>-278885082.16999984</v>
      </c>
      <c r="M82" s="92">
        <f t="shared" si="44"/>
        <v>-8.9846998121778299</v>
      </c>
      <c r="N82" s="91">
        <f>+N76-N78</f>
        <v>-305430349.31999987</v>
      </c>
      <c r="O82" s="92">
        <f t="shared" si="45"/>
        <v>-9.4443521743970269</v>
      </c>
      <c r="P82" s="91">
        <f>+P76-P78</f>
        <v>-325958450.88000035</v>
      </c>
      <c r="Q82" s="92">
        <f t="shared" si="46"/>
        <v>-10.351173416322654</v>
      </c>
      <c r="R82" s="91">
        <f>+R76-R78</f>
        <v>-213992847.98876664</v>
      </c>
      <c r="S82" s="92">
        <f t="shared" si="51"/>
        <v>-6.7955810729998927</v>
      </c>
      <c r="T82" s="91">
        <f>+T76-T78</f>
        <v>-361619610.50999999</v>
      </c>
      <c r="U82" s="92">
        <f t="shared" si="52"/>
        <v>-10.840259227719045</v>
      </c>
      <c r="V82" s="91">
        <f>+V76-V78</f>
        <v>-232975575.87282944</v>
      </c>
      <c r="W82" s="92">
        <f t="shared" si="50"/>
        <v>-6.6258583778440707</v>
      </c>
      <c r="X82" s="93"/>
      <c r="Y82" s="229"/>
      <c r="Z82" s="229"/>
      <c r="AA82" s="229"/>
      <c r="AB82" s="91">
        <f>+AB76-AB78</f>
        <v>-197851507.4832294</v>
      </c>
      <c r="AC82" s="92">
        <f t="shared" si="36"/>
        <v>-5.6269248976657256</v>
      </c>
      <c r="AD82" s="91">
        <f>+AD76-AD78</f>
        <v>-439791925.27069378</v>
      </c>
      <c r="AE82" s="92">
        <f t="shared" si="37"/>
        <v>-11.847821018655456</v>
      </c>
      <c r="AF82" s="224"/>
      <c r="AG82" s="91">
        <f>+AG76-AG78</f>
        <v>-477430446.21282965</v>
      </c>
      <c r="AH82" s="92">
        <f t="shared" si="47"/>
        <v>-12.861787928700169</v>
      </c>
      <c r="AI82" s="226">
        <v>-370788033.04426503</v>
      </c>
      <c r="AJ82" s="92">
        <f t="shared" si="48"/>
        <v>-9.4345114816396531</v>
      </c>
      <c r="AK82" s="224"/>
      <c r="AL82" s="91">
        <f>+AL76-AL78</f>
        <v>-381504987.29418188</v>
      </c>
      <c r="AM82" s="92">
        <f t="shared" si="40"/>
        <v>-9.7071988903699591</v>
      </c>
      <c r="AN82" s="91">
        <f>+AN76-AN78</f>
        <v>-80003401.364118576</v>
      </c>
      <c r="AO82" s="92">
        <f t="shared" si="41"/>
        <v>-1.918972047566651</v>
      </c>
      <c r="AQ82" s="106"/>
      <c r="AR82" s="326" t="s">
        <v>479</v>
      </c>
      <c r="AS82" s="321">
        <v>20882788.91</v>
      </c>
      <c r="AT82" s="322"/>
      <c r="AU82" s="107"/>
      <c r="AV82" s="108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DU82" s="225"/>
      <c r="DV82" s="225"/>
      <c r="DW82" s="179"/>
      <c r="DX82" s="179"/>
      <c r="DY82" s="179"/>
      <c r="DZ82" s="176"/>
    </row>
    <row r="83" spans="2:130" ht="13.5" customHeight="1" thickTop="1" thickBot="1">
      <c r="C83" s="90" t="s">
        <v>121</v>
      </c>
      <c r="D83" s="91">
        <f>+SUM(D84:D87)</f>
        <v>-9284843.899999544</v>
      </c>
      <c r="E83" s="92">
        <f t="shared" si="49"/>
        <v>-0.43207426590346426</v>
      </c>
      <c r="F83" s="91">
        <f>+SUM(F84:F87)</f>
        <v>-15999364.939999789</v>
      </c>
      <c r="G83" s="92">
        <f t="shared" si="49"/>
        <v>-0.59687987091959671</v>
      </c>
      <c r="H83" s="91">
        <f>+SUM(H84:H87)</f>
        <v>32577352.4000002</v>
      </c>
      <c r="I83" s="92">
        <f t="shared" si="42"/>
        <v>1.0557866346901801</v>
      </c>
      <c r="J83" s="91">
        <f>+SUM(J84:J87)</f>
        <v>256805027.44449967</v>
      </c>
      <c r="K83" s="92">
        <f t="shared" si="43"/>
        <v>8.6147275224588959</v>
      </c>
      <c r="L83" s="91">
        <f>+SUM(L84:L87)</f>
        <v>278885082.16999984</v>
      </c>
      <c r="M83" s="92">
        <f t="shared" si="44"/>
        <v>8.9846998121778299</v>
      </c>
      <c r="N83" s="91">
        <f>+SUM(N84:N87)</f>
        <v>305430349.31999987</v>
      </c>
      <c r="O83" s="92">
        <f t="shared" si="45"/>
        <v>9.4443521743970269</v>
      </c>
      <c r="P83" s="91">
        <f>+SUM(P84:P87)</f>
        <v>325958450.88000035</v>
      </c>
      <c r="Q83" s="92">
        <f t="shared" si="46"/>
        <v>10.351173416322654</v>
      </c>
      <c r="R83" s="91">
        <f>+SUM(R84:R87)</f>
        <v>213992847.98876664</v>
      </c>
      <c r="S83" s="92">
        <f t="shared" si="51"/>
        <v>6.7955810729998927</v>
      </c>
      <c r="T83" s="91">
        <f>+SUM(T84:T87)</f>
        <v>361619610.50999999</v>
      </c>
      <c r="U83" s="92">
        <f t="shared" si="52"/>
        <v>10.840259227719045</v>
      </c>
      <c r="V83" s="91">
        <f>+SUM(V84:V87)</f>
        <v>232975575.87282944</v>
      </c>
      <c r="W83" s="92">
        <f t="shared" si="50"/>
        <v>6.6258583778440707</v>
      </c>
      <c r="X83" s="93"/>
      <c r="Y83" s="229"/>
      <c r="Z83" s="229"/>
      <c r="AA83" s="229"/>
      <c r="AB83" s="91">
        <f>+SUM(AB84:AB87)</f>
        <v>197851507.4832294</v>
      </c>
      <c r="AC83" s="92">
        <f t="shared" si="36"/>
        <v>5.6269248976657256</v>
      </c>
      <c r="AD83" s="91">
        <f>+SUM(AD84:AD87)</f>
        <v>439791925.27069378</v>
      </c>
      <c r="AE83" s="92">
        <f t="shared" si="37"/>
        <v>11.847821018655456</v>
      </c>
      <c r="AF83" s="224"/>
      <c r="AG83" s="91">
        <f>+SUM(AG84:AG87)</f>
        <v>477430446.21282965</v>
      </c>
      <c r="AH83" s="92">
        <f t="shared" si="47"/>
        <v>12.861787928700169</v>
      </c>
      <c r="AI83" s="226">
        <v>370788033.04426503</v>
      </c>
      <c r="AJ83" s="92">
        <f t="shared" si="48"/>
        <v>9.4345114816396531</v>
      </c>
      <c r="AK83" s="224"/>
      <c r="AL83" s="91">
        <f>+SUM(AL84:AL87)</f>
        <v>381504987.29418188</v>
      </c>
      <c r="AM83" s="92">
        <f t="shared" si="40"/>
        <v>9.7071988903699591</v>
      </c>
      <c r="AN83" s="91">
        <f>+SUM(AN84:AN87)</f>
        <v>80003401.364118576</v>
      </c>
      <c r="AO83" s="92">
        <f t="shared" si="41"/>
        <v>1.918972047566651</v>
      </c>
      <c r="AQ83" s="106"/>
      <c r="AR83" s="327" t="s">
        <v>480</v>
      </c>
      <c r="AS83" s="324">
        <v>6844263.71</v>
      </c>
      <c r="AT83" s="322"/>
      <c r="AU83" s="107"/>
      <c r="AV83" s="108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DU83" s="225"/>
      <c r="DV83" s="225"/>
      <c r="DW83" s="179"/>
      <c r="DX83" s="179"/>
      <c r="DY83" s="179"/>
      <c r="DZ83" s="176"/>
    </row>
    <row r="84" spans="2:130" ht="13.5" customHeight="1" thickTop="1">
      <c r="B84" s="80">
        <v>7511</v>
      </c>
      <c r="C84" s="100" t="s">
        <v>144</v>
      </c>
      <c r="D84" s="101">
        <v>10687379.58</v>
      </c>
      <c r="E84" s="102">
        <f t="shared" si="49"/>
        <v>0.49734187630880911</v>
      </c>
      <c r="F84" s="101">
        <v>8315797</v>
      </c>
      <c r="G84" s="102">
        <f t="shared" si="49"/>
        <v>0.31023305353478825</v>
      </c>
      <c r="H84" s="101">
        <v>7657882.2599999998</v>
      </c>
      <c r="I84" s="102">
        <f t="shared" si="42"/>
        <v>0.24818130217785844</v>
      </c>
      <c r="J84" s="101">
        <v>108130460.73</v>
      </c>
      <c r="K84" s="102">
        <f t="shared" si="43"/>
        <v>3.6273217286145591</v>
      </c>
      <c r="L84" s="101">
        <v>20068251.93</v>
      </c>
      <c r="M84" s="102">
        <f t="shared" si="44"/>
        <v>0.64652873485824736</v>
      </c>
      <c r="N84" s="101">
        <v>47000000</v>
      </c>
      <c r="O84" s="102">
        <f t="shared" si="45"/>
        <v>1.453308596165739</v>
      </c>
      <c r="P84" s="211">
        <v>63454375.850000001</v>
      </c>
      <c r="Q84" s="102">
        <f t="shared" si="46"/>
        <v>2.015064333121626</v>
      </c>
      <c r="R84" s="211">
        <v>0</v>
      </c>
      <c r="S84" s="102">
        <f t="shared" si="51"/>
        <v>0</v>
      </c>
      <c r="T84" s="211">
        <v>102834751.84999999</v>
      </c>
      <c r="U84" s="102">
        <f t="shared" si="52"/>
        <v>3.0826739902186082</v>
      </c>
      <c r="V84" s="211">
        <v>0</v>
      </c>
      <c r="W84" s="102">
        <f t="shared" si="50"/>
        <v>0</v>
      </c>
      <c r="X84" s="210"/>
      <c r="Y84" s="210"/>
      <c r="Z84" s="210"/>
      <c r="AA84" s="210"/>
      <c r="AB84" s="211">
        <v>0</v>
      </c>
      <c r="AC84" s="102">
        <f t="shared" si="36"/>
        <v>0</v>
      </c>
      <c r="AD84" s="211">
        <v>0</v>
      </c>
      <c r="AE84" s="102">
        <f t="shared" si="37"/>
        <v>0</v>
      </c>
      <c r="AF84" s="212"/>
      <c r="AG84" s="211">
        <v>0</v>
      </c>
      <c r="AH84" s="102">
        <f t="shared" si="47"/>
        <v>0</v>
      </c>
      <c r="AI84" s="211">
        <v>0</v>
      </c>
      <c r="AJ84" s="102">
        <f t="shared" si="48"/>
        <v>0</v>
      </c>
      <c r="AK84" s="212"/>
      <c r="AL84" s="211">
        <v>0</v>
      </c>
      <c r="AM84" s="102">
        <f t="shared" si="40"/>
        <v>0</v>
      </c>
      <c r="AN84" s="211">
        <v>0</v>
      </c>
      <c r="AO84" s="102">
        <f t="shared" si="41"/>
        <v>0</v>
      </c>
      <c r="AQ84" s="106"/>
      <c r="AR84" s="320"/>
      <c r="AS84" s="321">
        <f>+AS83-AS82</f>
        <v>-14038525.199999999</v>
      </c>
      <c r="AT84" s="322"/>
      <c r="AU84" s="107"/>
      <c r="AV84" s="108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DU84" s="225"/>
      <c r="DV84" s="225"/>
      <c r="DW84" s="179"/>
      <c r="DX84" s="179"/>
      <c r="DY84" s="179"/>
      <c r="DZ84" s="176"/>
    </row>
    <row r="85" spans="2:130" ht="13.5" customHeight="1">
      <c r="B85" s="80">
        <v>7512</v>
      </c>
      <c r="C85" s="100" t="s">
        <v>122</v>
      </c>
      <c r="D85" s="101">
        <v>13153290.85</v>
      </c>
      <c r="E85" s="102">
        <f t="shared" si="49"/>
        <v>0.61209413420819947</v>
      </c>
      <c r="F85" s="101">
        <v>1996377.48</v>
      </c>
      <c r="G85" s="102">
        <f t="shared" si="49"/>
        <v>7.4477801902630106E-2</v>
      </c>
      <c r="H85" s="101">
        <v>2981267.98</v>
      </c>
      <c r="I85" s="102">
        <f t="shared" si="42"/>
        <v>9.6618744490536687E-2</v>
      </c>
      <c r="J85" s="101">
        <v>148637806.47</v>
      </c>
      <c r="K85" s="102">
        <f t="shared" si="43"/>
        <v>4.9861726424018791</v>
      </c>
      <c r="L85" s="101">
        <v>205658070.65000001</v>
      </c>
      <c r="M85" s="102">
        <f t="shared" si="44"/>
        <v>6.6255821730025772</v>
      </c>
      <c r="N85" s="101">
        <v>187652611.97999999</v>
      </c>
      <c r="O85" s="102">
        <f t="shared" si="45"/>
        <v>5.8024926400742114</v>
      </c>
      <c r="P85" s="211">
        <v>258129375.97</v>
      </c>
      <c r="Q85" s="102">
        <f t="shared" si="46"/>
        <v>8.1971856452842182</v>
      </c>
      <c r="R85" s="211">
        <v>250000000</v>
      </c>
      <c r="S85" s="102">
        <f t="shared" si="51"/>
        <v>7.9390282629406155</v>
      </c>
      <c r="T85" s="211">
        <v>230537476.81999999</v>
      </c>
      <c r="U85" s="102">
        <f t="shared" si="52"/>
        <v>6.910814396676539</v>
      </c>
      <c r="V85" s="211">
        <v>227975575.86282945</v>
      </c>
      <c r="W85" s="102">
        <f t="shared" si="50"/>
        <v>6.4836576693304764</v>
      </c>
      <c r="X85" s="210"/>
      <c r="Y85" s="210"/>
      <c r="Z85" s="210"/>
      <c r="AA85" s="210"/>
      <c r="AB85" s="211">
        <v>227975575.86282945</v>
      </c>
      <c r="AC85" s="102">
        <f t="shared" si="36"/>
        <v>6.4836576693304764</v>
      </c>
      <c r="AD85" s="211">
        <v>438259410.7026937</v>
      </c>
      <c r="AE85" s="102">
        <f t="shared" si="37"/>
        <v>11.806535680597072</v>
      </c>
      <c r="AF85" s="212"/>
      <c r="AG85" s="211">
        <v>477430446.21282965</v>
      </c>
      <c r="AH85" s="102">
        <f t="shared" si="47"/>
        <v>12.861787928700169</v>
      </c>
      <c r="AI85" s="211">
        <v>370788033.04426503</v>
      </c>
      <c r="AJ85" s="102">
        <f t="shared" si="48"/>
        <v>9.4345114816396531</v>
      </c>
      <c r="AK85" s="212"/>
      <c r="AL85" s="211">
        <v>381504987.29418188</v>
      </c>
      <c r="AM85" s="102">
        <f t="shared" si="40"/>
        <v>9.7071988903699591</v>
      </c>
      <c r="AN85" s="211">
        <v>80003401.364118576</v>
      </c>
      <c r="AO85" s="102">
        <f t="shared" si="41"/>
        <v>1.918972047566651</v>
      </c>
      <c r="AQ85" s="106"/>
      <c r="AR85" s="323"/>
      <c r="AS85" s="324"/>
      <c r="AT85" s="325"/>
      <c r="AU85" s="107"/>
      <c r="AV85" s="108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DU85" s="225"/>
      <c r="DV85" s="225"/>
      <c r="DW85" s="179"/>
      <c r="DX85" s="179"/>
      <c r="DY85" s="179"/>
      <c r="DZ85" s="176"/>
    </row>
    <row r="86" spans="2:130" ht="13.5" customHeight="1" thickBot="1">
      <c r="B86" s="80">
        <v>72</v>
      </c>
      <c r="C86" s="114" t="s">
        <v>329</v>
      </c>
      <c r="D86" s="115">
        <v>20434516.259999998</v>
      </c>
      <c r="E86" s="116">
        <f t="shared" si="49"/>
        <v>0.95092913862906592</v>
      </c>
      <c r="F86" s="115">
        <v>27533307.520000003</v>
      </c>
      <c r="G86" s="116">
        <f t="shared" si="49"/>
        <v>1.0271705845924268</v>
      </c>
      <c r="H86" s="115">
        <v>24817482.77</v>
      </c>
      <c r="I86" s="116">
        <f t="shared" si="42"/>
        <v>0.80430006384495722</v>
      </c>
      <c r="J86" s="115">
        <v>107021361.98999999</v>
      </c>
      <c r="K86" s="116">
        <f t="shared" si="43"/>
        <v>3.5901161351895334</v>
      </c>
      <c r="L86" s="115">
        <v>2781826.52</v>
      </c>
      <c r="M86" s="116">
        <f t="shared" si="44"/>
        <v>8.9620699742268051E-2</v>
      </c>
      <c r="N86" s="115">
        <v>3351251.94</v>
      </c>
      <c r="O86" s="116">
        <f t="shared" si="45"/>
        <v>0.10362560111317255</v>
      </c>
      <c r="P86" s="209">
        <v>3484625.4</v>
      </c>
      <c r="Q86" s="116">
        <f t="shared" si="46"/>
        <v>0.11065815814544298</v>
      </c>
      <c r="R86" s="211">
        <v>0</v>
      </c>
      <c r="S86" s="116">
        <f t="shared" si="51"/>
        <v>0</v>
      </c>
      <c r="T86" s="211">
        <v>11948846.35</v>
      </c>
      <c r="U86" s="116">
        <f t="shared" si="52"/>
        <v>0.35819017592410862</v>
      </c>
      <c r="V86" s="211">
        <v>5000000</v>
      </c>
      <c r="W86" s="116">
        <f t="shared" si="50"/>
        <v>0.14220070822919265</v>
      </c>
      <c r="X86" s="210"/>
      <c r="Y86" s="210"/>
      <c r="Z86" s="210"/>
      <c r="AA86" s="210"/>
      <c r="AB86" s="211">
        <v>5000000</v>
      </c>
      <c r="AC86" s="116">
        <f t="shared" si="36"/>
        <v>0.14220070822919265</v>
      </c>
      <c r="AD86" s="209">
        <v>10000000</v>
      </c>
      <c r="AE86" s="116">
        <f t="shared" si="37"/>
        <v>0.2693960561318417</v>
      </c>
      <c r="AF86" s="230"/>
      <c r="AG86" s="209">
        <v>0</v>
      </c>
      <c r="AH86" s="116">
        <f t="shared" si="47"/>
        <v>0</v>
      </c>
      <c r="AI86" s="209">
        <v>0</v>
      </c>
      <c r="AJ86" s="116">
        <f t="shared" si="48"/>
        <v>0</v>
      </c>
      <c r="AK86" s="230"/>
      <c r="AL86" s="209">
        <v>0</v>
      </c>
      <c r="AM86" s="116">
        <f t="shared" si="40"/>
        <v>0</v>
      </c>
      <c r="AN86" s="209">
        <v>0</v>
      </c>
      <c r="AO86" s="116">
        <f t="shared" si="41"/>
        <v>0</v>
      </c>
      <c r="AQ86" s="106"/>
      <c r="AR86" s="107"/>
      <c r="AS86" s="107"/>
      <c r="AT86" s="107"/>
      <c r="AU86" s="107"/>
      <c r="AV86" s="108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DU86" s="225"/>
      <c r="DV86" s="225"/>
      <c r="DW86" s="179"/>
      <c r="DX86" s="179"/>
      <c r="DY86" s="179"/>
      <c r="DZ86" s="176"/>
    </row>
    <row r="87" spans="2:130" ht="13.5" customHeight="1" thickTop="1" thickBot="1">
      <c r="C87" s="192" t="s">
        <v>125</v>
      </c>
      <c r="D87" s="193">
        <f>-D82-SUM(D84:D86)</f>
        <v>-53560030.589999542</v>
      </c>
      <c r="E87" s="194">
        <f t="shared" si="49"/>
        <v>-2.4924394150495388</v>
      </c>
      <c r="F87" s="193">
        <f>-F82-SUM(F84:F86)</f>
        <v>-53844846.939999789</v>
      </c>
      <c r="G87" s="194">
        <f t="shared" si="49"/>
        <v>-2.008761310949442</v>
      </c>
      <c r="H87" s="193">
        <f>-H82-SUM(H84:H86)</f>
        <v>-2879280.6099997982</v>
      </c>
      <c r="I87" s="194">
        <f t="shared" si="42"/>
        <v>-9.3313475823172093E-2</v>
      </c>
      <c r="J87" s="193">
        <f>-J82-SUM(J84:J86)</f>
        <v>-106984601.74550033</v>
      </c>
      <c r="K87" s="194">
        <f t="shared" si="43"/>
        <v>-3.5888829837470757</v>
      </c>
      <c r="L87" s="193">
        <f>-L82-SUM(L84:L86)</f>
        <v>50376933.069999814</v>
      </c>
      <c r="M87" s="194">
        <f t="shared" si="44"/>
        <v>1.6229682045747362</v>
      </c>
      <c r="N87" s="193">
        <f>-N82-SUM(N84:N86)</f>
        <v>67426485.399999887</v>
      </c>
      <c r="O87" s="194">
        <f t="shared" si="45"/>
        <v>2.0849253370439049</v>
      </c>
      <c r="P87" s="193">
        <f>-P82-SUM(P84:P86)</f>
        <v>890073.66000038385</v>
      </c>
      <c r="Q87" s="194">
        <f t="shared" si="46"/>
        <v>2.8265279771368178E-2</v>
      </c>
      <c r="R87" s="193">
        <f>-R82-SUM(R84:R86)</f>
        <v>-36007152.01123336</v>
      </c>
      <c r="S87" s="194">
        <f t="shared" si="51"/>
        <v>-1.1434471899407228</v>
      </c>
      <c r="T87" s="193">
        <f>-T82-SUM(T84:T86)</f>
        <v>16298535.49000001</v>
      </c>
      <c r="U87" s="194">
        <f t="shared" si="52"/>
        <v>0.48858066489979018</v>
      </c>
      <c r="V87" s="193">
        <f>-V82-SUM(V84:V86)</f>
        <v>9.9999904632568359E-3</v>
      </c>
      <c r="W87" s="194">
        <f t="shared" si="50"/>
        <v>2.8440114523205885E-10</v>
      </c>
      <c r="X87" s="231"/>
      <c r="Y87" s="231"/>
      <c r="Z87" s="231"/>
      <c r="AA87" s="231"/>
      <c r="AB87" s="193">
        <f>-AB82-SUM(AB84:AB86)</f>
        <v>-35124068.379600048</v>
      </c>
      <c r="AC87" s="194">
        <f t="shared" si="36"/>
        <v>-0.99893347989394365</v>
      </c>
      <c r="AD87" s="193">
        <f>-AD82-SUM(AD84:AD86)</f>
        <v>-8467485.4319999218</v>
      </c>
      <c r="AE87" s="194">
        <f t="shared" si="37"/>
        <v>-0.22811071807346028</v>
      </c>
      <c r="AF87" s="228"/>
      <c r="AG87" s="193">
        <f>-AG82-SUM(AG84:AG86)</f>
        <v>0</v>
      </c>
      <c r="AH87" s="194">
        <f t="shared" si="47"/>
        <v>0</v>
      </c>
      <c r="AI87" s="193">
        <f>-AI82-SUM(AI84:AI86)</f>
        <v>0</v>
      </c>
      <c r="AJ87" s="194">
        <f t="shared" si="48"/>
        <v>0</v>
      </c>
      <c r="AK87" s="228"/>
      <c r="AL87" s="193">
        <f>-AL82-SUM(AL84:AL86)</f>
        <v>0</v>
      </c>
      <c r="AM87" s="194">
        <f t="shared" si="40"/>
        <v>0</v>
      </c>
      <c r="AN87" s="193">
        <f>-AN82-SUM(AN84:AN86)</f>
        <v>0</v>
      </c>
      <c r="AO87" s="194">
        <f t="shared" si="41"/>
        <v>0</v>
      </c>
      <c r="AQ87" s="106"/>
      <c r="AR87" s="107"/>
      <c r="AS87" s="107"/>
      <c r="AT87" s="107"/>
      <c r="AU87" s="107"/>
      <c r="AV87" s="108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DU87" s="225"/>
      <c r="DV87" s="225"/>
      <c r="DW87" s="179"/>
      <c r="DX87" s="179"/>
      <c r="DY87" s="179"/>
      <c r="DZ87" s="176"/>
    </row>
    <row r="88" spans="2:130" s="273" customFormat="1" ht="13.5" thickTop="1">
      <c r="C88" s="274" t="str">
        <f>IF([2]MasterSheet!$A$1=1,[2]MasterSheet!C151,[2]MasterSheet!B151)</f>
        <v>Izvor: Ministarstvo finansija Crne Gore</v>
      </c>
      <c r="D88" s="275"/>
      <c r="E88" s="275"/>
      <c r="F88" s="275"/>
      <c r="G88" s="275"/>
      <c r="H88" s="275"/>
      <c r="I88" s="275"/>
      <c r="J88" s="275"/>
      <c r="K88" s="275"/>
      <c r="L88" s="275"/>
      <c r="M88" s="275"/>
      <c r="N88" s="275"/>
      <c r="O88" s="275"/>
      <c r="P88" s="276"/>
      <c r="Q88" s="276"/>
      <c r="R88" s="276"/>
      <c r="S88" s="276"/>
      <c r="T88" s="304"/>
      <c r="U88" s="305"/>
      <c r="V88" s="277">
        <f>V77+V48</f>
        <v>19767452.737170577</v>
      </c>
      <c r="AB88" s="277">
        <f>AB77+AB48</f>
        <v>54891521.126770616</v>
      </c>
      <c r="AG88" s="277">
        <f>AG77+AG48</f>
        <v>48680502.627170324</v>
      </c>
      <c r="AL88" s="277">
        <f>AL77+AL48</f>
        <v>105283994.00581813</v>
      </c>
      <c r="AN88" s="277">
        <f>AN77+AN48</f>
        <v>174183380.12588143</v>
      </c>
      <c r="AT88" s="276"/>
      <c r="AU88" s="276"/>
      <c r="AV88" s="278"/>
      <c r="AW88" s="276"/>
      <c r="AX88" s="276"/>
      <c r="AY88" s="276"/>
      <c r="AZ88" s="276"/>
      <c r="BA88" s="276"/>
      <c r="BB88" s="276"/>
      <c r="BC88" s="276"/>
      <c r="BD88" s="276"/>
      <c r="BE88" s="276"/>
      <c r="BF88" s="276"/>
      <c r="BG88" s="276"/>
      <c r="BH88" s="276"/>
      <c r="BI88" s="276"/>
    </row>
    <row r="89" spans="2:130" s="273" customFormat="1">
      <c r="C89" s="279"/>
      <c r="D89" s="279"/>
      <c r="E89" s="279"/>
      <c r="F89" s="279"/>
      <c r="G89" s="279"/>
      <c r="H89" s="279"/>
      <c r="I89" s="279"/>
      <c r="J89" s="279"/>
      <c r="K89" s="279"/>
      <c r="L89" s="279"/>
      <c r="M89" s="279"/>
      <c r="N89" s="279"/>
      <c r="O89" s="279"/>
      <c r="P89" s="276"/>
      <c r="Q89" s="276"/>
      <c r="R89" s="317">
        <f>+R78+R49</f>
        <v>1375793668.9900002</v>
      </c>
      <c r="S89" s="276"/>
      <c r="T89" s="306"/>
      <c r="U89" s="276"/>
      <c r="V89" s="282"/>
      <c r="W89" s="281"/>
      <c r="X89" s="281"/>
      <c r="Y89" s="281"/>
      <c r="Z89" s="281"/>
      <c r="AA89" s="281"/>
      <c r="AB89" s="282"/>
      <c r="AC89" s="283"/>
      <c r="AD89" s="281"/>
      <c r="AE89" s="281"/>
      <c r="AF89" s="281"/>
      <c r="AG89" s="282"/>
      <c r="AH89" s="283"/>
      <c r="AI89" s="281"/>
      <c r="AJ89" s="281"/>
      <c r="AK89" s="281"/>
      <c r="AL89" s="282"/>
      <c r="AM89" s="281"/>
      <c r="AN89" s="282"/>
      <c r="AO89" s="281"/>
      <c r="AT89" s="276"/>
      <c r="AU89" s="276"/>
      <c r="AV89" s="278"/>
      <c r="AW89" s="276"/>
      <c r="AX89" s="276"/>
      <c r="AY89" s="276"/>
      <c r="AZ89" s="276"/>
      <c r="BA89" s="276"/>
      <c r="BB89" s="276"/>
      <c r="BC89" s="276"/>
      <c r="BD89" s="276"/>
      <c r="BE89" s="276"/>
      <c r="BF89" s="276"/>
      <c r="BG89" s="276"/>
      <c r="BH89" s="276"/>
      <c r="BI89" s="276"/>
    </row>
    <row r="90" spans="2:130" s="273" customFormat="1">
      <c r="D90" s="284"/>
      <c r="E90" s="285"/>
      <c r="F90" s="285"/>
      <c r="G90" s="285"/>
      <c r="H90" s="285"/>
      <c r="I90" s="285"/>
      <c r="J90" s="285"/>
      <c r="K90" s="285"/>
      <c r="L90" s="285"/>
      <c r="M90" s="285"/>
      <c r="N90" s="285"/>
      <c r="O90" s="279"/>
      <c r="P90" s="276"/>
      <c r="T90" s="276"/>
      <c r="U90" s="276"/>
      <c r="V90" s="277">
        <f>+V16-V48-V75</f>
        <v>1268056399.4371703</v>
      </c>
      <c r="AB90" s="277">
        <f>+AB16-AB48-AB75</f>
        <v>1308333669.0867703</v>
      </c>
      <c r="AG90" s="277">
        <f>+AG16-AG48-AG75</f>
        <v>1339004511.3175702</v>
      </c>
      <c r="AL90" s="277">
        <f>+AL16-AL48-AL75</f>
        <v>1399259714.3268602</v>
      </c>
      <c r="AN90" s="277">
        <f>+AN16-AN48-AN75</f>
        <v>1472021219.4718575</v>
      </c>
      <c r="AV90" s="286"/>
    </row>
    <row r="91" spans="2:130" s="273" customFormat="1">
      <c r="D91" s="284"/>
      <c r="E91" s="285"/>
      <c r="F91" s="285"/>
      <c r="G91" s="285"/>
      <c r="H91" s="285"/>
      <c r="I91" s="285"/>
      <c r="J91" s="285"/>
      <c r="K91" s="285"/>
      <c r="L91" s="285"/>
      <c r="M91" s="285"/>
      <c r="N91" s="285"/>
      <c r="O91" s="279"/>
      <c r="P91" s="276"/>
      <c r="AV91" s="286"/>
    </row>
    <row r="92" spans="2:130" s="273" customFormat="1">
      <c r="C92" s="287"/>
      <c r="D92" s="285"/>
      <c r="E92" s="285"/>
      <c r="F92" s="285"/>
      <c r="G92" s="285"/>
      <c r="H92" s="285"/>
      <c r="I92" s="285"/>
      <c r="J92" s="285"/>
      <c r="K92" s="285"/>
      <c r="L92" s="285"/>
      <c r="M92" s="285"/>
      <c r="N92" s="285"/>
      <c r="O92" s="279"/>
      <c r="P92" s="276"/>
      <c r="AV92" s="286"/>
    </row>
    <row r="93" spans="2:130" s="273" customFormat="1">
      <c r="C93" s="288" t="s">
        <v>482</v>
      </c>
      <c r="D93" s="281"/>
      <c r="E93" s="289"/>
      <c r="F93" s="289"/>
      <c r="G93" s="289"/>
      <c r="H93" s="289"/>
      <c r="I93" s="289"/>
      <c r="J93" s="289"/>
      <c r="K93" s="289"/>
      <c r="L93" s="289"/>
      <c r="M93" s="289"/>
      <c r="N93" s="289"/>
      <c r="O93" s="289"/>
      <c r="P93" s="281"/>
      <c r="Q93" s="211">
        <f>+T84-T79-T75</f>
        <v>-19224373.797300011</v>
      </c>
      <c r="R93" s="281"/>
      <c r="S93" s="281"/>
      <c r="T93" s="282"/>
      <c r="U93" s="281"/>
      <c r="V93" s="282">
        <f>V85+V84-V78</f>
        <v>56548670.372829437</v>
      </c>
      <c r="W93" s="281"/>
      <c r="X93" s="281"/>
      <c r="Y93" s="281"/>
      <c r="Z93" s="281"/>
      <c r="AA93" s="281"/>
      <c r="AB93" s="282">
        <f>AB85+AB84-AB78</f>
        <v>56548670.372829437</v>
      </c>
      <c r="AC93" s="283"/>
      <c r="AD93" s="281"/>
      <c r="AE93" s="281"/>
      <c r="AF93" s="281"/>
      <c r="AG93" s="282">
        <f>AG85+AG84-AG78</f>
        <v>24569497.372829676</v>
      </c>
      <c r="AH93" s="283"/>
      <c r="AI93" s="281"/>
      <c r="AJ93" s="281"/>
      <c r="AK93" s="281"/>
      <c r="AL93" s="282">
        <f>AL85+AL84-AL78</f>
        <v>-33498994.005818129</v>
      </c>
      <c r="AM93" s="281"/>
      <c r="AN93" s="282">
        <f>AN85+AN84-AN78</f>
        <v>-103834080.12588143</v>
      </c>
      <c r="AO93" s="281"/>
      <c r="AV93" s="286"/>
    </row>
    <row r="94" spans="2:130" s="273" customFormat="1">
      <c r="C94" s="288" t="s">
        <v>483</v>
      </c>
      <c r="D94" s="281"/>
      <c r="E94" s="289"/>
      <c r="F94" s="289"/>
      <c r="G94" s="289"/>
      <c r="H94" s="289"/>
      <c r="I94" s="289"/>
      <c r="J94" s="289"/>
      <c r="K94" s="289"/>
      <c r="L94" s="289"/>
      <c r="M94" s="289"/>
      <c r="N94" s="289"/>
      <c r="O94" s="289"/>
      <c r="P94" s="281"/>
      <c r="Q94" s="211">
        <f>+T85-T80</f>
        <v>164133045.49000001</v>
      </c>
      <c r="R94" s="293"/>
      <c r="S94" s="293"/>
      <c r="T94" s="280"/>
      <c r="U94" s="281"/>
      <c r="V94" s="282">
        <v>20000000</v>
      </c>
      <c r="W94" s="281"/>
      <c r="X94" s="281"/>
      <c r="Y94" s="281"/>
      <c r="Z94" s="281"/>
      <c r="AA94" s="281"/>
      <c r="AB94" s="282">
        <v>20000000</v>
      </c>
      <c r="AC94" s="283"/>
      <c r="AD94" s="281"/>
      <c r="AE94" s="281"/>
      <c r="AF94" s="281"/>
      <c r="AG94" s="282">
        <v>20000000</v>
      </c>
      <c r="AH94" s="283"/>
      <c r="AI94" s="281"/>
      <c r="AJ94" s="281"/>
      <c r="AK94" s="281"/>
      <c r="AL94" s="282">
        <v>20000000</v>
      </c>
      <c r="AM94" s="281"/>
      <c r="AN94" s="282">
        <v>20000000</v>
      </c>
      <c r="AO94" s="281"/>
      <c r="AV94" s="286"/>
    </row>
    <row r="95" spans="2:130" s="273" customFormat="1">
      <c r="C95" s="290" t="s">
        <v>484</v>
      </c>
      <c r="D95" s="281"/>
      <c r="E95" s="289"/>
      <c r="F95" s="289"/>
      <c r="G95" s="289"/>
      <c r="H95" s="289"/>
      <c r="I95" s="289"/>
      <c r="J95" s="289"/>
      <c r="K95" s="289"/>
      <c r="L95" s="289"/>
      <c r="M95" s="289"/>
      <c r="N95" s="289"/>
      <c r="O95" s="289"/>
      <c r="P95" s="281"/>
      <c r="Q95" s="211">
        <f>+T86</f>
        <v>11948846.35</v>
      </c>
      <c r="R95" s="281"/>
      <c r="S95" s="281"/>
      <c r="T95" s="282"/>
      <c r="U95" s="281"/>
      <c r="V95" s="282">
        <f>240000000+V94-(V85+V84)</f>
        <v>32024424.137170553</v>
      </c>
      <c r="W95" s="281"/>
      <c r="X95" s="281"/>
      <c r="Y95" s="281"/>
      <c r="Z95" s="281"/>
      <c r="AA95" s="281"/>
      <c r="AB95" s="282">
        <f>240000000+AB94-(AB85+AB84)</f>
        <v>32024424.137170553</v>
      </c>
      <c r="AC95" s="283"/>
      <c r="AD95" s="281"/>
      <c r="AE95" s="281"/>
      <c r="AF95" s="281"/>
      <c r="AG95" s="282">
        <v>0</v>
      </c>
      <c r="AH95" s="283"/>
      <c r="AI95" s="281"/>
      <c r="AJ95" s="281"/>
      <c r="AK95" s="281"/>
      <c r="AL95" s="282">
        <v>0</v>
      </c>
      <c r="AM95" s="281"/>
      <c r="AN95" s="282">
        <v>0</v>
      </c>
      <c r="AO95" s="281"/>
      <c r="AV95" s="286"/>
    </row>
    <row r="96" spans="2:130" s="273" customFormat="1" ht="13.5" thickBot="1">
      <c r="C96" s="288" t="s">
        <v>485</v>
      </c>
      <c r="D96" s="281"/>
      <c r="E96" s="289"/>
      <c r="F96" s="289"/>
      <c r="G96" s="289"/>
      <c r="H96" s="289"/>
      <c r="I96" s="289"/>
      <c r="J96" s="289"/>
      <c r="K96" s="289"/>
      <c r="L96" s="289"/>
      <c r="M96" s="289"/>
      <c r="N96" s="289"/>
      <c r="O96" s="289"/>
      <c r="P96" s="281"/>
      <c r="Q96" s="211">
        <f>+T76</f>
        <v>-141489073.88730001</v>
      </c>
      <c r="R96" s="281"/>
      <c r="S96" s="281"/>
      <c r="T96" s="281"/>
      <c r="U96" s="281"/>
      <c r="V96" s="291"/>
      <c r="W96" s="281"/>
      <c r="X96" s="281"/>
      <c r="Y96" s="281"/>
      <c r="Z96" s="281"/>
      <c r="AA96" s="281"/>
      <c r="AB96" s="291"/>
      <c r="AC96" s="281"/>
      <c r="AD96" s="281"/>
      <c r="AE96" s="281"/>
      <c r="AF96" s="281"/>
      <c r="AG96" s="291"/>
      <c r="AH96" s="281"/>
      <c r="AI96" s="281"/>
      <c r="AJ96" s="281"/>
      <c r="AK96" s="281"/>
      <c r="AL96" s="291"/>
      <c r="AM96" s="281"/>
      <c r="AN96" s="291"/>
      <c r="AO96" s="281"/>
      <c r="AV96" s="286"/>
    </row>
    <row r="97" spans="3:48" s="273" customFormat="1" ht="13.5" thickBot="1">
      <c r="C97" s="288" t="s">
        <v>486</v>
      </c>
      <c r="D97" s="281"/>
      <c r="E97" s="289"/>
      <c r="F97" s="289"/>
      <c r="G97" s="289"/>
      <c r="H97" s="289"/>
      <c r="I97" s="289"/>
      <c r="J97" s="289"/>
      <c r="K97" s="289"/>
      <c r="L97" s="289"/>
      <c r="M97" s="289"/>
      <c r="N97" s="289"/>
      <c r="O97" s="289"/>
      <c r="P97" s="281"/>
      <c r="Q97" s="211">
        <f>-Q93-Q94-Q95-Q96</f>
        <v>-15368444.155399978</v>
      </c>
      <c r="R97" s="281"/>
      <c r="S97" s="281"/>
      <c r="T97" s="282"/>
      <c r="U97" s="281"/>
      <c r="V97" s="292">
        <f>V93+V94+V95</f>
        <v>108573094.50999999</v>
      </c>
      <c r="W97" s="281"/>
      <c r="X97" s="281"/>
      <c r="Y97" s="281"/>
      <c r="Z97" s="281"/>
      <c r="AA97" s="281"/>
      <c r="AB97" s="292">
        <f>AB93+AB94+AB95</f>
        <v>108573094.50999999</v>
      </c>
      <c r="AC97" s="283">
        <f>AB97/AB$11*100</f>
        <v>3.0878341867914134</v>
      </c>
      <c r="AD97" s="281"/>
      <c r="AE97" s="281"/>
      <c r="AF97" s="281"/>
      <c r="AG97" s="292">
        <f t="shared" ref="AG97:AL97" si="53">AG93+AG94+AG95</f>
        <v>44569497.372829676</v>
      </c>
      <c r="AH97" s="283">
        <f>AG97/AG$11*100</f>
        <v>1.2006846816018795</v>
      </c>
      <c r="AI97" s="282">
        <f t="shared" si="53"/>
        <v>0</v>
      </c>
      <c r="AJ97" s="282">
        <f t="shared" si="53"/>
        <v>0</v>
      </c>
      <c r="AK97" s="282">
        <f t="shared" si="53"/>
        <v>0</v>
      </c>
      <c r="AL97" s="292">
        <f t="shared" si="53"/>
        <v>-13498994.005818129</v>
      </c>
      <c r="AM97" s="283">
        <f>AL97/AL$11*100</f>
        <v>-0.34347498459658232</v>
      </c>
      <c r="AN97" s="292">
        <f>AN93+AN94+AN95</f>
        <v>-83834080.125881433</v>
      </c>
      <c r="AO97" s="283">
        <f>AN97/AN$11*100</f>
        <v>-2.01085520930341</v>
      </c>
      <c r="AV97" s="286"/>
    </row>
    <row r="98" spans="3:48" s="273" customFormat="1">
      <c r="C98" s="288"/>
      <c r="D98" s="281"/>
      <c r="E98" s="289"/>
      <c r="F98" s="289"/>
      <c r="G98" s="289"/>
      <c r="H98" s="289"/>
      <c r="I98" s="289"/>
      <c r="J98" s="289"/>
      <c r="K98" s="289"/>
      <c r="L98" s="289"/>
      <c r="M98" s="289"/>
      <c r="N98" s="289"/>
      <c r="O98" s="289"/>
      <c r="P98" s="281"/>
      <c r="Q98" s="281"/>
      <c r="R98" s="281"/>
      <c r="S98" s="281"/>
      <c r="T98" s="281"/>
      <c r="U98" s="281"/>
      <c r="V98" s="293"/>
      <c r="W98" s="281"/>
      <c r="X98" s="281"/>
      <c r="Y98" s="281"/>
      <c r="Z98" s="281"/>
      <c r="AA98" s="281"/>
      <c r="AB98" s="293"/>
      <c r="AC98" s="281"/>
      <c r="AD98" s="281"/>
      <c r="AE98" s="281"/>
      <c r="AF98" s="281"/>
      <c r="AG98" s="293"/>
      <c r="AH98" s="281"/>
      <c r="AI98" s="281"/>
      <c r="AJ98" s="281"/>
      <c r="AK98" s="281"/>
      <c r="AL98" s="293"/>
      <c r="AM98" s="281"/>
      <c r="AN98" s="293"/>
      <c r="AO98" s="281"/>
      <c r="AV98" s="286"/>
    </row>
    <row r="99" spans="3:48" s="273" customFormat="1">
      <c r="C99" s="288"/>
      <c r="D99" s="281"/>
      <c r="E99" s="289"/>
      <c r="F99" s="289"/>
      <c r="G99" s="289"/>
      <c r="H99" s="289"/>
      <c r="I99" s="289"/>
      <c r="J99" s="289"/>
      <c r="K99" s="289"/>
      <c r="L99" s="289"/>
      <c r="M99" s="289"/>
      <c r="N99" s="289"/>
      <c r="O99" s="289"/>
      <c r="P99" s="281"/>
      <c r="Q99" s="281"/>
      <c r="R99" s="281"/>
      <c r="S99" s="281"/>
      <c r="T99" s="281"/>
      <c r="U99" s="281"/>
      <c r="V99" s="281"/>
      <c r="W99" s="281"/>
      <c r="X99" s="281"/>
      <c r="Y99" s="281"/>
      <c r="Z99" s="281"/>
      <c r="AA99" s="281"/>
      <c r="AB99" s="281"/>
      <c r="AC99" s="281"/>
      <c r="AD99" s="281"/>
      <c r="AE99" s="281"/>
      <c r="AF99" s="281"/>
      <c r="AG99" s="281"/>
      <c r="AH99" s="281"/>
      <c r="AI99" s="281"/>
      <c r="AJ99" s="281"/>
      <c r="AK99" s="281"/>
      <c r="AL99" s="281"/>
      <c r="AM99" s="281"/>
      <c r="AN99" s="281"/>
      <c r="AO99" s="281"/>
      <c r="AV99" s="286"/>
    </row>
    <row r="100" spans="3:48" s="273" customFormat="1">
      <c r="C100" s="288" t="s">
        <v>465</v>
      </c>
      <c r="D100" s="281"/>
      <c r="E100" s="289"/>
      <c r="F100" s="289"/>
      <c r="G100" s="289"/>
      <c r="H100" s="289"/>
      <c r="I100" s="289"/>
      <c r="J100" s="289"/>
      <c r="K100" s="289"/>
      <c r="L100" s="289"/>
      <c r="M100" s="289"/>
      <c r="N100" s="289"/>
      <c r="O100" s="289"/>
      <c r="P100" s="281"/>
      <c r="Q100" s="281"/>
      <c r="R100" s="281"/>
      <c r="S100" s="281"/>
      <c r="T100" s="281"/>
      <c r="U100" s="281"/>
      <c r="V100" s="282"/>
      <c r="W100" s="281"/>
      <c r="X100" s="281"/>
      <c r="Y100" s="281"/>
      <c r="Z100" s="281"/>
      <c r="AA100" s="281"/>
      <c r="AB100" s="282"/>
      <c r="AC100" s="283"/>
      <c r="AD100" s="281"/>
      <c r="AE100" s="281"/>
      <c r="AF100" s="281"/>
      <c r="AG100" s="282"/>
      <c r="AH100" s="283"/>
      <c r="AI100" s="281"/>
      <c r="AJ100" s="281"/>
      <c r="AK100" s="281"/>
      <c r="AL100" s="282"/>
      <c r="AM100" s="281"/>
      <c r="AN100" s="282"/>
      <c r="AO100" s="281"/>
      <c r="AP100" s="273">
        <v>2018</v>
      </c>
      <c r="AQ100" s="273">
        <v>2019</v>
      </c>
      <c r="AR100" s="273">
        <v>2020</v>
      </c>
      <c r="AV100" s="286"/>
    </row>
    <row r="101" spans="3:48" s="273" customFormat="1" ht="13.5" thickBot="1">
      <c r="C101" s="294"/>
      <c r="E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79"/>
      <c r="P101" s="276"/>
      <c r="AV101" s="286"/>
    </row>
    <row r="102" spans="3:48" s="273" customFormat="1" ht="13.5" thickBot="1">
      <c r="C102" s="288" t="s">
        <v>466</v>
      </c>
      <c r="D102" s="281"/>
      <c r="E102" s="289"/>
      <c r="F102" s="289"/>
      <c r="G102" s="289"/>
      <c r="H102" s="289"/>
      <c r="I102" s="289"/>
      <c r="J102" s="289"/>
      <c r="K102" s="289"/>
      <c r="L102" s="289"/>
      <c r="M102" s="289"/>
      <c r="N102" s="289"/>
      <c r="O102" s="289"/>
      <c r="P102" s="281"/>
      <c r="Q102" s="281"/>
      <c r="R102" s="281"/>
      <c r="S102" s="281"/>
      <c r="T102" s="281"/>
      <c r="U102" s="281"/>
      <c r="V102" s="292">
        <f>V97+V100</f>
        <v>108573094.50999999</v>
      </c>
      <c r="W102" s="281"/>
      <c r="X102" s="281"/>
      <c r="Y102" s="281"/>
      <c r="Z102" s="281"/>
      <c r="AA102" s="281"/>
      <c r="AB102" s="292">
        <f>AB97+AB100</f>
        <v>108573094.50999999</v>
      </c>
      <c r="AC102" s="283">
        <f>AB102/AB$11*100</f>
        <v>3.0878341867914134</v>
      </c>
      <c r="AD102" s="281"/>
      <c r="AE102" s="281"/>
      <c r="AF102" s="281"/>
      <c r="AG102" s="292">
        <f>AG97+AG100</f>
        <v>44569497.372829676</v>
      </c>
      <c r="AH102" s="283">
        <f>AG102/AG$11*100</f>
        <v>1.2006846816018795</v>
      </c>
      <c r="AI102" s="282">
        <f>AI98+AI99+AI100</f>
        <v>0</v>
      </c>
      <c r="AJ102" s="282">
        <f>AJ98+AJ99+AJ100</f>
        <v>0</v>
      </c>
      <c r="AK102" s="282">
        <f>AK98+AK99+AK100</f>
        <v>0</v>
      </c>
      <c r="AL102" s="292">
        <f>AL97+AL100</f>
        <v>-13498994.005818129</v>
      </c>
      <c r="AM102" s="283">
        <f>AL102/AL$11*100</f>
        <v>-0.34347498459658232</v>
      </c>
      <c r="AN102" s="292">
        <f>AN97+AN100</f>
        <v>-83834080.125881433</v>
      </c>
      <c r="AO102" s="283">
        <f>AN102/AN$11*100</f>
        <v>-2.01085520930341</v>
      </c>
      <c r="AP102" s="273">
        <v>62</v>
      </c>
      <c r="AQ102" s="273">
        <v>61</v>
      </c>
      <c r="AR102" s="273">
        <v>60</v>
      </c>
      <c r="AV102" s="286"/>
    </row>
    <row r="103" spans="3:48" s="273" customFormat="1" ht="13.5" thickBot="1">
      <c r="E103" s="285"/>
      <c r="F103" s="285"/>
      <c r="G103" s="285"/>
      <c r="H103" s="285"/>
      <c r="I103" s="285"/>
      <c r="J103" s="285"/>
      <c r="K103" s="285"/>
      <c r="L103" s="285"/>
      <c r="M103" s="285"/>
      <c r="N103" s="285"/>
      <c r="O103" s="279"/>
      <c r="P103" s="276"/>
      <c r="AV103" s="286"/>
    </row>
    <row r="104" spans="3:48" s="295" customFormat="1" ht="13.5" thickBot="1">
      <c r="C104" s="296" t="s">
        <v>476</v>
      </c>
      <c r="D104" s="297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7"/>
      <c r="Q104" s="297"/>
      <c r="R104" s="297"/>
      <c r="S104" s="297"/>
      <c r="T104" s="299">
        <v>1934200000</v>
      </c>
      <c r="U104" s="300">
        <f>T104/R$11*100</f>
        <v>57.981450089732789</v>
      </c>
      <c r="V104" s="299">
        <f>T104+V102</f>
        <v>2042773094.51</v>
      </c>
      <c r="W104" s="297"/>
      <c r="X104" s="297"/>
      <c r="Y104" s="297"/>
      <c r="Z104" s="297"/>
      <c r="AA104" s="297"/>
      <c r="AB104" s="299">
        <f>T104+AB102</f>
        <v>2042773094.51</v>
      </c>
      <c r="AC104" s="300">
        <f>AB104/AB$11*100</f>
        <v>58.09675615817229</v>
      </c>
      <c r="AD104" s="297"/>
      <c r="AE104" s="297"/>
      <c r="AF104" s="297"/>
      <c r="AG104" s="299">
        <f>AB104+AG102</f>
        <v>2087342591.8828297</v>
      </c>
      <c r="AH104" s="300">
        <f>AG104/AG$11*100</f>
        <v>56.232186204925071</v>
      </c>
      <c r="AI104" s="297"/>
      <c r="AJ104" s="297"/>
      <c r="AK104" s="297"/>
      <c r="AL104" s="299">
        <f>AG104+AL102</f>
        <v>2073843597.8770115</v>
      </c>
      <c r="AM104" s="300">
        <f>AL104/AL$11*100</f>
        <v>52.767887557362947</v>
      </c>
      <c r="AN104" s="299">
        <f>AL104+AN102</f>
        <v>1990009517.7511301</v>
      </c>
      <c r="AO104" s="300">
        <f>AN104/AN$11*100</f>
        <v>47.732628536325258</v>
      </c>
      <c r="AV104" s="301"/>
    </row>
    <row r="105" spans="3:48"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17"/>
    </row>
    <row r="106" spans="3:48" ht="13.5" thickBot="1"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17"/>
      <c r="T106" s="81"/>
      <c r="U106" s="81"/>
    </row>
    <row r="107" spans="3:48" ht="13.5" thickBot="1">
      <c r="C107" s="223">
        <v>166553072.60000002</v>
      </c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17"/>
      <c r="T107" s="241"/>
      <c r="U107" s="81"/>
    </row>
    <row r="108" spans="3:48" ht="13.5" thickBot="1">
      <c r="C108" s="223">
        <v>442860948.83999997</v>
      </c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17"/>
      <c r="T108" s="81"/>
      <c r="U108" s="81"/>
    </row>
    <row r="109" spans="3:48" ht="13.5" thickBot="1">
      <c r="C109" s="223">
        <v>405003981.30000001</v>
      </c>
    </row>
    <row r="110" spans="3:48" ht="13.5" thickBot="1">
      <c r="C110" s="223">
        <v>173837481.49000001</v>
      </c>
    </row>
  </sheetData>
  <sheetProtection formatCells="0" formatColumns="0" formatRows="0" sort="0" autoFilter="0"/>
  <mergeCells count="39">
    <mergeCell ref="X11:Y11"/>
    <mergeCell ref="AB11:AC11"/>
    <mergeCell ref="AD11:AE11"/>
    <mergeCell ref="N11:O11"/>
    <mergeCell ref="D11:E11"/>
    <mergeCell ref="F11:G11"/>
    <mergeCell ref="H11:I11"/>
    <mergeCell ref="J11:K11"/>
    <mergeCell ref="L11:M11"/>
    <mergeCell ref="P12:Q13"/>
    <mergeCell ref="T12:U13"/>
    <mergeCell ref="P11:Q11"/>
    <mergeCell ref="R11:U11"/>
    <mergeCell ref="V11:W11"/>
    <mergeCell ref="AG11:AH11"/>
    <mergeCell ref="AI11:AJ11"/>
    <mergeCell ref="AB14:AC14"/>
    <mergeCell ref="AL11:AM11"/>
    <mergeCell ref="AN11:AO11"/>
    <mergeCell ref="N13:O13"/>
    <mergeCell ref="C14:C15"/>
    <mergeCell ref="D14:E14"/>
    <mergeCell ref="F14:G14"/>
    <mergeCell ref="H14:I14"/>
    <mergeCell ref="J14:K14"/>
    <mergeCell ref="L14:M14"/>
    <mergeCell ref="N14:O14"/>
    <mergeCell ref="P14:Q14"/>
    <mergeCell ref="AN14:AO14"/>
    <mergeCell ref="AD14:AE14"/>
    <mergeCell ref="AF14:AF15"/>
    <mergeCell ref="AG14:AH14"/>
    <mergeCell ref="AI14:AJ14"/>
    <mergeCell ref="AK14:AK15"/>
    <mergeCell ref="AL14:AM14"/>
    <mergeCell ref="R14:S14"/>
    <mergeCell ref="T14:U14"/>
    <mergeCell ref="V14:W14"/>
    <mergeCell ref="X14:Y15"/>
  </mergeCells>
  <printOptions horizontalCentered="1" verticalCentered="1"/>
  <pageMargins left="0" right="0" top="0.19685039370078741" bottom="0.19685039370078741" header="0" footer="0"/>
  <pageSetup paperSize="9" scale="1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1019175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C4:P7"/>
  <sheetViews>
    <sheetView workbookViewId="0">
      <selection activeCell="P5" sqref="P5:P7"/>
    </sheetView>
  </sheetViews>
  <sheetFormatPr defaultRowHeight="12.75"/>
  <cols>
    <col min="3" max="3" width="28.28515625" bestFit="1" customWidth="1"/>
  </cols>
  <sheetData>
    <row r="4" spans="3:16">
      <c r="D4" s="265" t="s">
        <v>293</v>
      </c>
      <c r="E4" s="265" t="s">
        <v>294</v>
      </c>
      <c r="F4" s="265" t="s">
        <v>295</v>
      </c>
      <c r="G4" s="265" t="s">
        <v>296</v>
      </c>
      <c r="H4" s="265" t="s">
        <v>297</v>
      </c>
      <c r="I4" s="265" t="s">
        <v>298</v>
      </c>
      <c r="J4" s="265" t="s">
        <v>299</v>
      </c>
      <c r="K4" s="265" t="s">
        <v>300</v>
      </c>
      <c r="L4" s="265" t="s">
        <v>301</v>
      </c>
      <c r="M4" s="265" t="s">
        <v>302</v>
      </c>
      <c r="N4" s="265" t="s">
        <v>303</v>
      </c>
      <c r="O4" s="265" t="s">
        <v>304</v>
      </c>
    </row>
    <row r="5" spans="3:16">
      <c r="C5" s="265" t="s">
        <v>467</v>
      </c>
      <c r="D5" s="266">
        <v>62425293.156965584</v>
      </c>
      <c r="E5" s="266">
        <v>79762187.59852089</v>
      </c>
      <c r="F5" s="266">
        <v>89318688.151918903</v>
      </c>
      <c r="G5" s="266">
        <v>106294081.27535464</v>
      </c>
      <c r="H5" s="266">
        <v>97189661.825924918</v>
      </c>
      <c r="I5" s="266">
        <v>105191801.34506513</v>
      </c>
      <c r="J5" s="266">
        <v>123272889.17858437</v>
      </c>
      <c r="K5" s="266">
        <v>125579133.65326507</v>
      </c>
      <c r="L5" s="266">
        <v>121047897.33843082</v>
      </c>
      <c r="M5" s="266">
        <v>114789505.85515907</v>
      </c>
      <c r="N5" s="266">
        <v>97406301.479715049</v>
      </c>
      <c r="O5" s="266">
        <v>145778958.57826602</v>
      </c>
      <c r="P5" s="266">
        <f>+SUM(D5:O5)</f>
        <v>1268056399.4371705</v>
      </c>
    </row>
    <row r="6" spans="3:16">
      <c r="C6" s="265" t="s">
        <v>468</v>
      </c>
      <c r="D6" s="266">
        <v>70632268.589999989</v>
      </c>
      <c r="E6" s="266">
        <v>81381758.450000018</v>
      </c>
      <c r="F6" s="266">
        <v>100495765.61000001</v>
      </c>
      <c r="G6" s="266">
        <v>107356417.33534782</v>
      </c>
      <c r="H6" s="266">
        <v>98816734.644163221</v>
      </c>
      <c r="I6" s="266">
        <v>107147051.5707173</v>
      </c>
      <c r="J6" s="266">
        <v>125666748.8575906</v>
      </c>
      <c r="K6" s="266">
        <v>127890096.38694921</v>
      </c>
      <c r="L6" s="266">
        <v>123465322.33433203</v>
      </c>
      <c r="M6" s="266">
        <v>117130344.73943919</v>
      </c>
      <c r="N6" s="266">
        <v>99294843.070796907</v>
      </c>
      <c r="O6" s="266">
        <v>149056317.49743444</v>
      </c>
      <c r="P6" s="266">
        <f>+SUM(D6:O6)</f>
        <v>1308333669.0867708</v>
      </c>
    </row>
    <row r="7" spans="3:16">
      <c r="C7" s="265" t="s">
        <v>469</v>
      </c>
      <c r="D7" s="266">
        <v>54757461.979999989</v>
      </c>
      <c r="E7" s="266">
        <v>75673443.909999996</v>
      </c>
      <c r="F7" s="266">
        <v>88296245.580000013</v>
      </c>
      <c r="G7" s="266">
        <v>103948239.19999999</v>
      </c>
      <c r="H7" s="266">
        <v>93997829.679999992</v>
      </c>
      <c r="I7" s="266">
        <v>99561632.659999996</v>
      </c>
      <c r="J7" s="266">
        <v>122021331.04999998</v>
      </c>
      <c r="K7" s="266">
        <v>125053427.64999999</v>
      </c>
      <c r="L7" s="266">
        <v>116342017.78000002</v>
      </c>
      <c r="M7" s="266">
        <v>117283627.60000001</v>
      </c>
      <c r="N7" s="266">
        <v>95781753.159999996</v>
      </c>
      <c r="O7" s="266">
        <v>142429369.22999999</v>
      </c>
      <c r="P7" s="266">
        <f>+SUM(D7:O7)</f>
        <v>1235146379.48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M80"/>
  <sheetViews>
    <sheetView workbookViewId="0">
      <selection activeCell="G63" sqref="G63"/>
    </sheetView>
  </sheetViews>
  <sheetFormatPr defaultRowHeight="12.75"/>
  <cols>
    <col min="2" max="2" width="43.28515625" customWidth="1"/>
    <col min="3" max="3" width="7.42578125" bestFit="1" customWidth="1"/>
    <col min="4" max="4" width="7.7109375" bestFit="1" customWidth="1"/>
    <col min="5" max="5" width="7.7109375" style="80" customWidth="1"/>
    <col min="6" max="6" width="6" style="80" customWidth="1"/>
    <col min="7" max="7" width="7.7109375" style="80" customWidth="1"/>
    <col min="8" max="8" width="7" style="80" bestFit="1" customWidth="1"/>
    <col min="12" max="12" width="11.5703125" bestFit="1" customWidth="1"/>
  </cols>
  <sheetData>
    <row r="1" spans="2:13">
      <c r="E1" s="82"/>
      <c r="F1" s="82"/>
      <c r="G1" s="82"/>
      <c r="H1" s="82"/>
    </row>
    <row r="2" spans="2:13" ht="13.5" thickBot="1">
      <c r="E2" s="82"/>
      <c r="F2" s="82"/>
      <c r="G2" s="82"/>
      <c r="H2" s="82"/>
    </row>
    <row r="3" spans="2:13" ht="14.25" thickTop="1" thickBot="1">
      <c r="C3" s="488">
        <v>3335894492.1291356</v>
      </c>
      <c r="D3" s="488"/>
      <c r="E3" s="494">
        <v>3516156889.9792166</v>
      </c>
      <c r="F3" s="495"/>
      <c r="G3" s="495"/>
      <c r="H3" s="496"/>
    </row>
    <row r="4" spans="2:13" ht="13.5" thickTop="1">
      <c r="E4" s="83"/>
      <c r="F4" s="83"/>
      <c r="G4" s="82"/>
      <c r="H4" s="82"/>
    </row>
    <row r="5" spans="2:13" ht="13.5" thickBot="1">
      <c r="E5" s="235"/>
      <c r="F5" s="235"/>
      <c r="G5" s="235"/>
      <c r="H5" s="235"/>
    </row>
    <row r="6" spans="2:13" ht="13.5" thickTop="1">
      <c r="B6" t="s">
        <v>127</v>
      </c>
      <c r="C6" s="475">
        <v>2013</v>
      </c>
      <c r="D6" s="476"/>
      <c r="E6" s="475" t="s">
        <v>393</v>
      </c>
      <c r="F6" s="476"/>
      <c r="G6" s="475" t="s">
        <v>434</v>
      </c>
      <c r="H6" s="476"/>
      <c r="I6" s="475" t="s">
        <v>470</v>
      </c>
      <c r="J6" s="476"/>
    </row>
    <row r="7" spans="2:13" ht="13.5" thickBot="1">
      <c r="C7" s="88" t="str">
        <f>+E7</f>
        <v>mil. €</v>
      </c>
      <c r="D7" s="89" t="str">
        <f>+F7</f>
        <v>% BDP</v>
      </c>
      <c r="E7" s="88" t="s">
        <v>263</v>
      </c>
      <c r="F7" s="89" t="s">
        <v>150</v>
      </c>
      <c r="G7" s="88" t="s">
        <v>263</v>
      </c>
      <c r="H7" s="89" t="s">
        <v>150</v>
      </c>
      <c r="I7" s="268" t="s">
        <v>263</v>
      </c>
      <c r="J7" s="268" t="s">
        <v>471</v>
      </c>
    </row>
    <row r="8" spans="2:13" ht="14.25" thickTop="1" thickBot="1">
      <c r="B8" s="90" t="s">
        <v>128</v>
      </c>
      <c r="C8" s="236">
        <f>C9+C17+C22+C27+C34+C39</f>
        <v>1235146379.48</v>
      </c>
      <c r="D8" s="92">
        <f>C8/C$3*100</f>
        <v>37.025942588839719</v>
      </c>
      <c r="E8" s="236">
        <f>+E9+E17+E22+E27+E34+E39+E40</f>
        <v>1276056399.4371703</v>
      </c>
      <c r="F8" s="92">
        <f>E8/E$3*100</f>
        <v>36.291224748071834</v>
      </c>
      <c r="G8" s="226">
        <f>+G9+G17+G22+G27+G34+G39+G40</f>
        <v>1316333669.0867703</v>
      </c>
      <c r="H8" s="92">
        <f>G8/E$3*100</f>
        <v>37.436716002014087</v>
      </c>
      <c r="I8" s="226">
        <f>+G8-E8</f>
        <v>40277269.649600029</v>
      </c>
      <c r="J8" s="92">
        <f>+G8/E8*100-100</f>
        <v>3.1563863217460693</v>
      </c>
    </row>
    <row r="9" spans="2:13" ht="13.5" thickTop="1">
      <c r="B9" s="94" t="s">
        <v>2</v>
      </c>
      <c r="C9" s="207">
        <f>SUM(C10:C16)</f>
        <v>755696459.51000011</v>
      </c>
      <c r="D9" s="96">
        <f t="shared" ref="D9:D72" si="0">C9/C$3*100</f>
        <v>22.653488031261944</v>
      </c>
      <c r="E9" s="207">
        <f>+SUM(E10:E16)</f>
        <v>797828901.35953081</v>
      </c>
      <c r="F9" s="98">
        <f t="shared" ref="F9:F73" si="1">E9/E$3*100</f>
        <v>22.690366963808792</v>
      </c>
      <c r="G9" s="207">
        <f>+SUM(G10:G16)</f>
        <v>819077478.06873</v>
      </c>
      <c r="H9" s="98">
        <f t="shared" ref="H9:H72" si="2">G9/E$3*100</f>
        <v>23.294679495190881</v>
      </c>
      <c r="I9" s="207">
        <f t="shared" ref="I9:I41" si="3">+G9-E9</f>
        <v>21248576.70919919</v>
      </c>
      <c r="J9" s="98">
        <f t="shared" ref="J9:J73" si="4">+G9/E9*100-100</f>
        <v>2.6632999472682428</v>
      </c>
    </row>
    <row r="10" spans="2:13">
      <c r="B10" s="100" t="s">
        <v>3</v>
      </c>
      <c r="C10" s="209">
        <v>95618433.909999996</v>
      </c>
      <c r="D10" s="102">
        <f t="shared" si="0"/>
        <v>2.8663506635358695</v>
      </c>
      <c r="E10" s="209">
        <v>96011654.614494905</v>
      </c>
      <c r="F10" s="102">
        <f t="shared" si="1"/>
        <v>2.7305850568875618</v>
      </c>
      <c r="G10" s="211">
        <v>96781150.729929999</v>
      </c>
      <c r="H10" s="102">
        <f t="shared" si="2"/>
        <v>2.7524696354064582</v>
      </c>
      <c r="I10" s="211">
        <f t="shared" si="3"/>
        <v>769496.11543509364</v>
      </c>
      <c r="J10" s="102">
        <f t="shared" si="4"/>
        <v>0.80146115440335564</v>
      </c>
    </row>
    <row r="11" spans="2:13">
      <c r="B11" s="100" t="s">
        <v>5</v>
      </c>
      <c r="C11" s="211">
        <v>40638726.390000008</v>
      </c>
      <c r="D11" s="102">
        <f t="shared" si="0"/>
        <v>1.2182257708055488</v>
      </c>
      <c r="E11" s="211">
        <v>44395641.531501003</v>
      </c>
      <c r="F11" s="102">
        <f t="shared" si="1"/>
        <v>1.2626183336137604</v>
      </c>
      <c r="G11" s="211">
        <v>50018934.706970006</v>
      </c>
      <c r="H11" s="102">
        <f t="shared" si="2"/>
        <v>1.4225455880401758</v>
      </c>
      <c r="I11" s="211">
        <f t="shared" si="3"/>
        <v>5623293.1754690036</v>
      </c>
      <c r="J11" s="102">
        <f t="shared" si="4"/>
        <v>12.666318092236565</v>
      </c>
    </row>
    <row r="12" spans="2:13">
      <c r="B12" s="100" t="s">
        <v>7</v>
      </c>
      <c r="C12" s="211">
        <v>1440565.3199999998</v>
      </c>
      <c r="D12" s="102">
        <f t="shared" si="0"/>
        <v>4.318377944503151E-2</v>
      </c>
      <c r="E12" s="211">
        <v>1544536.6728920399</v>
      </c>
      <c r="F12" s="102">
        <f t="shared" si="1"/>
        <v>4.3926841754241781E-2</v>
      </c>
      <c r="G12" s="211">
        <v>1489198.0023599996</v>
      </c>
      <c r="H12" s="102">
        <f t="shared" si="2"/>
        <v>4.2353002125818169E-2</v>
      </c>
      <c r="I12" s="211">
        <f t="shared" si="3"/>
        <v>-55338.670532040298</v>
      </c>
      <c r="J12" s="102">
        <f t="shared" si="4"/>
        <v>-3.5828654316392772</v>
      </c>
    </row>
    <row r="13" spans="2:13">
      <c r="B13" s="100" t="s">
        <v>9</v>
      </c>
      <c r="C13" s="209">
        <v>429195069.32999998</v>
      </c>
      <c r="D13" s="102">
        <f t="shared" si="0"/>
        <v>12.865966544885122</v>
      </c>
      <c r="E13" s="209">
        <v>455945630.52919102</v>
      </c>
      <c r="F13" s="102">
        <f t="shared" si="1"/>
        <v>12.967158315051353</v>
      </c>
      <c r="G13" s="211">
        <v>473642045.78458995</v>
      </c>
      <c r="H13" s="102">
        <f t="shared" si="2"/>
        <v>13.470446871538474</v>
      </c>
      <c r="I13" s="211">
        <f t="shared" si="3"/>
        <v>17696415.255398929</v>
      </c>
      <c r="J13" s="102">
        <f t="shared" si="4"/>
        <v>3.8812555862986784</v>
      </c>
      <c r="L13" s="211">
        <f>+G13-C13</f>
        <v>44446976.454589963</v>
      </c>
      <c r="M13">
        <f>+G13/C13*100-100</f>
        <v>10.355891675077828</v>
      </c>
    </row>
    <row r="14" spans="2:13">
      <c r="B14" s="100" t="s">
        <v>12</v>
      </c>
      <c r="C14" s="211">
        <v>161445470.17000002</v>
      </c>
      <c r="D14" s="102">
        <f t="shared" si="0"/>
        <v>4.8396455748502225</v>
      </c>
      <c r="E14" s="211">
        <v>171111988.52539012</v>
      </c>
      <c r="F14" s="102">
        <f t="shared" si="1"/>
        <v>4.8664491909631922</v>
      </c>
      <c r="G14" s="211">
        <v>169158715.98390999</v>
      </c>
      <c r="H14" s="102">
        <f t="shared" si="2"/>
        <v>4.8108978432105705</v>
      </c>
      <c r="I14" s="211">
        <f t="shared" si="3"/>
        <v>-1953272.541480124</v>
      </c>
      <c r="J14" s="102">
        <f t="shared" si="4"/>
        <v>-1.1415170604427232</v>
      </c>
    </row>
    <row r="15" spans="2:13">
      <c r="B15" s="100" t="s">
        <v>14</v>
      </c>
      <c r="C15" s="211">
        <v>22269382.640000001</v>
      </c>
      <c r="D15" s="102">
        <f t="shared" si="0"/>
        <v>0.66756855447746977</v>
      </c>
      <c r="E15" s="211">
        <v>23735353.696558259</v>
      </c>
      <c r="F15" s="102">
        <f t="shared" si="1"/>
        <v>0.67503682114419394</v>
      </c>
      <c r="G15" s="211">
        <v>22781578.440719999</v>
      </c>
      <c r="H15" s="102">
        <f t="shared" si="2"/>
        <v>0.64791131776985811</v>
      </c>
      <c r="I15" s="211">
        <f t="shared" si="3"/>
        <v>-953775.25583826005</v>
      </c>
      <c r="J15" s="102">
        <f t="shared" si="4"/>
        <v>-4.0183738908283573</v>
      </c>
    </row>
    <row r="16" spans="2:13">
      <c r="B16" s="100" t="s">
        <v>17</v>
      </c>
      <c r="C16" s="211">
        <v>5088811.75</v>
      </c>
      <c r="D16" s="102">
        <f t="shared" si="0"/>
        <v>0.15254714326267749</v>
      </c>
      <c r="E16" s="211">
        <v>5084095.7895035082</v>
      </c>
      <c r="F16" s="102">
        <f t="shared" si="1"/>
        <v>0.14459240439449103</v>
      </c>
      <c r="G16" s="211">
        <v>5205854.4202499995</v>
      </c>
      <c r="H16" s="102">
        <f t="shared" si="2"/>
        <v>0.14805523709952459</v>
      </c>
      <c r="I16" s="211">
        <f t="shared" si="3"/>
        <v>121758.63074649125</v>
      </c>
      <c r="J16" s="102">
        <f t="shared" si="4"/>
        <v>2.394892539158505</v>
      </c>
      <c r="L16">
        <f>+G13/G8*100</f>
        <v>35.981913773670129</v>
      </c>
    </row>
    <row r="17" spans="2:12">
      <c r="B17" s="94" t="s">
        <v>19</v>
      </c>
      <c r="C17" s="239">
        <f>SUM(C18:C21)</f>
        <v>398494284.19</v>
      </c>
      <c r="D17" s="98">
        <f t="shared" si="0"/>
        <v>11.94565011364196</v>
      </c>
      <c r="E17" s="207">
        <f>+SUM(E18:E21)</f>
        <v>397823173.70918262</v>
      </c>
      <c r="F17" s="98">
        <f t="shared" si="1"/>
        <v>11.314147410286179</v>
      </c>
      <c r="G17" s="207">
        <f>+SUM(G18:G21)</f>
        <v>417559652.73636997</v>
      </c>
      <c r="H17" s="98">
        <f t="shared" si="2"/>
        <v>11.87545566940951</v>
      </c>
      <c r="I17" s="207">
        <f t="shared" si="3"/>
        <v>19736479.027187347</v>
      </c>
      <c r="J17" s="98">
        <f t="shared" si="4"/>
        <v>4.9611184896974265</v>
      </c>
    </row>
    <row r="18" spans="2:12">
      <c r="B18" s="100" t="s">
        <v>21</v>
      </c>
      <c r="C18" s="211">
        <v>241949355.72999999</v>
      </c>
      <c r="D18" s="102">
        <f t="shared" si="0"/>
        <v>7.2529079172277937</v>
      </c>
      <c r="E18" s="211">
        <v>234882396.70208701</v>
      </c>
      <c r="F18" s="102">
        <f t="shared" si="1"/>
        <v>6.6800886323213922</v>
      </c>
      <c r="G18" s="211">
        <v>254875867.28178996</v>
      </c>
      <c r="H18" s="102">
        <f t="shared" si="2"/>
        <v>7.2487057676000486</v>
      </c>
      <c r="I18" s="211">
        <f t="shared" si="3"/>
        <v>19993470.579702944</v>
      </c>
      <c r="J18" s="102">
        <f t="shared" si="4"/>
        <v>8.5121196225963445</v>
      </c>
      <c r="L18" s="211">
        <f>+G18-C18</f>
        <v>12926511.551789969</v>
      </c>
    </row>
    <row r="19" spans="2:12">
      <c r="B19" s="100" t="s">
        <v>23</v>
      </c>
      <c r="C19" s="211">
        <v>134703897.09</v>
      </c>
      <c r="D19" s="102">
        <f t="shared" si="0"/>
        <v>4.038014313936686</v>
      </c>
      <c r="E19" s="211">
        <v>138667298.82084399</v>
      </c>
      <c r="F19" s="102">
        <f t="shared" si="1"/>
        <v>3.9437176201106214</v>
      </c>
      <c r="G19" s="211">
        <v>139196347.37307</v>
      </c>
      <c r="H19" s="102">
        <f t="shared" si="2"/>
        <v>3.9587638358734543</v>
      </c>
      <c r="I19" s="211">
        <f t="shared" si="3"/>
        <v>529048.55222600698</v>
      </c>
      <c r="J19" s="102">
        <f t="shared" si="4"/>
        <v>0.3815236589482538</v>
      </c>
    </row>
    <row r="20" spans="2:12">
      <c r="B20" s="100" t="s">
        <v>25</v>
      </c>
      <c r="C20" s="211">
        <v>10770190.189999999</v>
      </c>
      <c r="D20" s="102">
        <f t="shared" si="0"/>
        <v>0.32285763879558199</v>
      </c>
      <c r="E20" s="211">
        <v>11617385.520490499</v>
      </c>
      <c r="F20" s="102">
        <f t="shared" si="1"/>
        <v>0.33040008975706336</v>
      </c>
      <c r="G20" s="211">
        <v>11434714.104369998</v>
      </c>
      <c r="H20" s="102">
        <f t="shared" si="2"/>
        <v>0.3252048888079504</v>
      </c>
      <c r="I20" s="211">
        <f t="shared" si="3"/>
        <v>-182671.41612050124</v>
      </c>
      <c r="J20" s="102">
        <f t="shared" si="4"/>
        <v>-1.5723969545325787</v>
      </c>
    </row>
    <row r="21" spans="2:12">
      <c r="B21" s="100" t="s">
        <v>27</v>
      </c>
      <c r="C21" s="211">
        <v>11070841.180000002</v>
      </c>
      <c r="D21" s="102">
        <f t="shared" si="0"/>
        <v>0.33187024368189877</v>
      </c>
      <c r="E21" s="209">
        <v>12656092.6657611</v>
      </c>
      <c r="F21" s="102">
        <f t="shared" si="1"/>
        <v>0.3599410680971038</v>
      </c>
      <c r="G21" s="211">
        <v>12052723.97714</v>
      </c>
      <c r="H21" s="102">
        <f t="shared" si="2"/>
        <v>0.34278117712805589</v>
      </c>
      <c r="I21" s="211">
        <f t="shared" si="3"/>
        <v>-603368.68862110004</v>
      </c>
      <c r="J21" s="102">
        <f t="shared" si="4"/>
        <v>-4.7674168051361647</v>
      </c>
    </row>
    <row r="22" spans="2:12">
      <c r="B22" s="94" t="s">
        <v>29</v>
      </c>
      <c r="C22" s="207">
        <f>SUM(C23:C26)</f>
        <v>27069458</v>
      </c>
      <c r="D22" s="98">
        <f t="shared" si="0"/>
        <v>0.81146025642804165</v>
      </c>
      <c r="E22" s="207">
        <f>+SUM(E23:E26)</f>
        <v>20923047.198280636</v>
      </c>
      <c r="F22" s="98">
        <f t="shared" si="1"/>
        <v>0.59505442598166625</v>
      </c>
      <c r="G22" s="207">
        <f>+SUM(G23:G26)</f>
        <v>19923047.198280636</v>
      </c>
      <c r="H22" s="98">
        <f t="shared" si="2"/>
        <v>0.56661428433582772</v>
      </c>
      <c r="I22" s="207">
        <f t="shared" si="3"/>
        <v>-1000000</v>
      </c>
      <c r="J22" s="98">
        <f t="shared" si="4"/>
        <v>-4.7794185546843977</v>
      </c>
    </row>
    <row r="23" spans="2:12">
      <c r="B23" s="100" t="s">
        <v>31</v>
      </c>
      <c r="C23" s="211">
        <v>7881462.9399999995</v>
      </c>
      <c r="D23" s="102">
        <f t="shared" si="0"/>
        <v>0.23626235657620134</v>
      </c>
      <c r="E23" s="211">
        <v>8144616.5029747505</v>
      </c>
      <c r="F23" s="102">
        <f t="shared" si="1"/>
        <v>0.23163404699563594</v>
      </c>
      <c r="G23" s="211">
        <v>8144616.5029747505</v>
      </c>
      <c r="H23" s="102">
        <f t="shared" si="2"/>
        <v>0.23163404699563594</v>
      </c>
      <c r="I23" s="211">
        <f t="shared" si="3"/>
        <v>0</v>
      </c>
      <c r="J23" s="102">
        <f t="shared" si="4"/>
        <v>0</v>
      </c>
    </row>
    <row r="24" spans="2:12">
      <c r="B24" s="100" t="s">
        <v>32</v>
      </c>
      <c r="C24" s="211">
        <v>4557791.26</v>
      </c>
      <c r="D24" s="102">
        <f t="shared" si="0"/>
        <v>0.13662875941531916</v>
      </c>
      <c r="E24" s="211">
        <v>3676083.5729169641</v>
      </c>
      <c r="F24" s="102">
        <f t="shared" si="1"/>
        <v>0.10454833751569864</v>
      </c>
      <c r="G24" s="211">
        <v>5176083.5729169641</v>
      </c>
      <c r="H24" s="102">
        <f t="shared" si="2"/>
        <v>0.14720854998445643</v>
      </c>
      <c r="I24" s="211">
        <f t="shared" si="3"/>
        <v>1500000</v>
      </c>
      <c r="J24" s="102">
        <f t="shared" si="4"/>
        <v>40.804295393364868</v>
      </c>
    </row>
    <row r="25" spans="2:12">
      <c r="B25" s="100" t="s">
        <v>34</v>
      </c>
      <c r="C25" s="211">
        <v>767936.98999999987</v>
      </c>
      <c r="D25" s="102">
        <f t="shared" si="0"/>
        <v>2.3020422013103413E-2</v>
      </c>
      <c r="E25" s="211">
        <v>762511.44191594806</v>
      </c>
      <c r="F25" s="102">
        <f t="shared" si="1"/>
        <v>2.1685933414662142E-2</v>
      </c>
      <c r="G25" s="211">
        <v>762511.44191594806</v>
      </c>
      <c r="H25" s="102">
        <f t="shared" si="2"/>
        <v>2.1685933414662142E-2</v>
      </c>
      <c r="I25" s="211">
        <f t="shared" si="3"/>
        <v>0</v>
      </c>
      <c r="J25" s="102">
        <f t="shared" si="4"/>
        <v>0</v>
      </c>
    </row>
    <row r="26" spans="2:12">
      <c r="B26" s="100" t="s">
        <v>37</v>
      </c>
      <c r="C26" s="209">
        <v>13862266.809999999</v>
      </c>
      <c r="D26" s="102">
        <f t="shared" si="0"/>
        <v>0.41554871842341756</v>
      </c>
      <c r="E26" s="209">
        <v>8339835.6804729737</v>
      </c>
      <c r="F26" s="102">
        <f t="shared" si="1"/>
        <v>0.23718610805566953</v>
      </c>
      <c r="G26" s="209">
        <v>5839835.6804729737</v>
      </c>
      <c r="H26" s="102">
        <f t="shared" si="2"/>
        <v>0.16608575394107319</v>
      </c>
      <c r="I26" s="209">
        <f t="shared" si="3"/>
        <v>-2500000</v>
      </c>
      <c r="J26" s="102">
        <f t="shared" si="4"/>
        <v>-29.976609801240343</v>
      </c>
    </row>
    <row r="27" spans="2:12">
      <c r="B27" s="94" t="s">
        <v>39</v>
      </c>
      <c r="C27" s="207">
        <f>SUM(C28:C33)</f>
        <v>13233490.18</v>
      </c>
      <c r="D27" s="98">
        <f t="shared" si="0"/>
        <v>0.39669990196703492</v>
      </c>
      <c r="E27" s="207">
        <f>+SUM(E28:E33)</f>
        <v>13024243.76827177</v>
      </c>
      <c r="F27" s="98">
        <f t="shared" si="1"/>
        <v>0.37041133759957889</v>
      </c>
      <c r="G27" s="207">
        <f>+SUM(G28:G33)</f>
        <v>12724243.76827177</v>
      </c>
      <c r="H27" s="98">
        <f t="shared" si="2"/>
        <v>0.36187929510582734</v>
      </c>
      <c r="I27" s="207">
        <f t="shared" si="3"/>
        <v>-300000</v>
      </c>
      <c r="J27" s="98">
        <f t="shared" si="4"/>
        <v>-2.3033966911063715</v>
      </c>
    </row>
    <row r="28" spans="2:12">
      <c r="B28" s="100" t="s">
        <v>40</v>
      </c>
      <c r="C28" s="211">
        <v>647266.8600000001</v>
      </c>
      <c r="D28" s="102">
        <f t="shared" si="0"/>
        <v>1.9403097475870164E-2</v>
      </c>
      <c r="E28" s="211">
        <v>698651.48499726248</v>
      </c>
      <c r="F28" s="102">
        <f t="shared" si="1"/>
        <v>1.9869747194397578E-2</v>
      </c>
      <c r="G28" s="211">
        <v>698651.48499726248</v>
      </c>
      <c r="H28" s="102">
        <f t="shared" si="2"/>
        <v>1.9869747194397578E-2</v>
      </c>
      <c r="I28" s="211">
        <f t="shared" si="3"/>
        <v>0</v>
      </c>
      <c r="J28" s="102">
        <f t="shared" si="4"/>
        <v>0</v>
      </c>
    </row>
    <row r="29" spans="2:12">
      <c r="B29" s="100" t="s">
        <v>42</v>
      </c>
      <c r="C29" s="211">
        <v>1995183.6300000001</v>
      </c>
      <c r="D29" s="102">
        <f t="shared" si="0"/>
        <v>5.9809554370125591E-2</v>
      </c>
      <c r="E29" s="211">
        <v>1997965.7673730874</v>
      </c>
      <c r="F29" s="102">
        <f t="shared" si="1"/>
        <v>5.6822429427627073E-2</v>
      </c>
      <c r="G29" s="211">
        <v>1997965.7673730874</v>
      </c>
      <c r="H29" s="102">
        <f t="shared" si="2"/>
        <v>5.6822429427627073E-2</v>
      </c>
      <c r="I29" s="211">
        <f t="shared" si="3"/>
        <v>0</v>
      </c>
      <c r="J29" s="102">
        <f t="shared" si="4"/>
        <v>0</v>
      </c>
    </row>
    <row r="30" spans="2:12">
      <c r="B30" s="100" t="s">
        <v>45</v>
      </c>
      <c r="C30" s="211">
        <v>309851.25</v>
      </c>
      <c r="D30" s="102">
        <f t="shared" si="0"/>
        <v>9.2884007791936302E-3</v>
      </c>
      <c r="E30" s="211">
        <v>424373.88097611902</v>
      </c>
      <c r="F30" s="102">
        <f t="shared" si="1"/>
        <v>1.2069253285755047E-2</v>
      </c>
      <c r="G30" s="211">
        <v>424373.88097611902</v>
      </c>
      <c r="H30" s="102">
        <f t="shared" si="2"/>
        <v>1.2069253285755047E-2</v>
      </c>
      <c r="I30" s="211">
        <f t="shared" si="3"/>
        <v>0</v>
      </c>
      <c r="J30" s="102">
        <f t="shared" si="4"/>
        <v>0</v>
      </c>
    </row>
    <row r="31" spans="2:12">
      <c r="B31" s="100" t="s">
        <v>47</v>
      </c>
      <c r="C31" s="211">
        <v>3324177.16</v>
      </c>
      <c r="D31" s="102">
        <f t="shared" si="0"/>
        <v>9.9648749918296836E-2</v>
      </c>
      <c r="E31" s="211">
        <v>3266343.0516235088</v>
      </c>
      <c r="F31" s="102">
        <f t="shared" si="1"/>
        <v>9.2895259052073062E-2</v>
      </c>
      <c r="G31" s="211">
        <v>3666343.0516235088</v>
      </c>
      <c r="H31" s="102">
        <f t="shared" si="2"/>
        <v>0.10427131571040847</v>
      </c>
      <c r="I31" s="211">
        <f t="shared" si="3"/>
        <v>400000</v>
      </c>
      <c r="J31" s="102">
        <f t="shared" si="4"/>
        <v>12.246111130341419</v>
      </c>
    </row>
    <row r="32" spans="2:12">
      <c r="B32" s="100" t="s">
        <v>50</v>
      </c>
      <c r="C32" s="211">
        <v>3659024.1899999995</v>
      </c>
      <c r="D32" s="102">
        <f t="shared" si="0"/>
        <v>0.10968644837638813</v>
      </c>
      <c r="E32" s="211">
        <v>3355752.0175728933</v>
      </c>
      <c r="F32" s="102">
        <f t="shared" si="1"/>
        <v>9.5438062708081514E-2</v>
      </c>
      <c r="G32" s="211">
        <v>3355752.0175728933</v>
      </c>
      <c r="H32" s="102">
        <f t="shared" si="2"/>
        <v>9.5438062708081514E-2</v>
      </c>
      <c r="I32" s="211">
        <f t="shared" si="3"/>
        <v>0</v>
      </c>
      <c r="J32" s="102">
        <f t="shared" si="4"/>
        <v>0</v>
      </c>
    </row>
    <row r="33" spans="2:10">
      <c r="B33" s="100" t="s">
        <v>51</v>
      </c>
      <c r="C33" s="211">
        <v>3297987.09</v>
      </c>
      <c r="D33" s="102">
        <f t="shared" si="0"/>
        <v>9.8863651047160633E-2</v>
      </c>
      <c r="E33" s="211">
        <v>3281157.5657288986</v>
      </c>
      <c r="F33" s="102">
        <f t="shared" si="1"/>
        <v>9.331658593164463E-2</v>
      </c>
      <c r="G33" s="211">
        <v>2581157.5657288986</v>
      </c>
      <c r="H33" s="102">
        <f t="shared" si="2"/>
        <v>7.340848677955765E-2</v>
      </c>
      <c r="I33" s="211">
        <f t="shared" si="3"/>
        <v>-700000</v>
      </c>
      <c r="J33" s="102">
        <f t="shared" si="4"/>
        <v>-21.333934319746618</v>
      </c>
    </row>
    <row r="34" spans="2:10">
      <c r="B34" s="94" t="s">
        <v>53</v>
      </c>
      <c r="C34" s="207">
        <f>SUM(C35:C38)</f>
        <v>33088194.540000003</v>
      </c>
      <c r="D34" s="98">
        <f t="shared" si="0"/>
        <v>0.99188372468223518</v>
      </c>
      <c r="E34" s="207">
        <f>+SUM(E35:E38)</f>
        <v>31410770.914738216</v>
      </c>
      <c r="F34" s="98">
        <f t="shared" si="1"/>
        <v>0.89332677402013982</v>
      </c>
      <c r="G34" s="207">
        <f>+SUM(G35:G38)</f>
        <v>31310770.914738216</v>
      </c>
      <c r="H34" s="98">
        <f t="shared" si="2"/>
        <v>0.89048275985555603</v>
      </c>
      <c r="I34" s="207">
        <f t="shared" si="3"/>
        <v>-100000</v>
      </c>
      <c r="J34" s="98">
        <f t="shared" si="4"/>
        <v>-0.318362132121635</v>
      </c>
    </row>
    <row r="35" spans="2:10">
      <c r="B35" s="100" t="s">
        <v>55</v>
      </c>
      <c r="C35" s="211">
        <v>6034873.3200000003</v>
      </c>
      <c r="D35" s="102">
        <f t="shared" si="0"/>
        <v>0.18090719998006413</v>
      </c>
      <c r="E35" s="211">
        <v>5533606.7424404304</v>
      </c>
      <c r="F35" s="102">
        <f t="shared" si="1"/>
        <v>0.15737655956737298</v>
      </c>
      <c r="G35" s="211">
        <v>6533606.7424404304</v>
      </c>
      <c r="H35" s="102">
        <f t="shared" si="2"/>
        <v>0.1858167012132115</v>
      </c>
      <c r="I35" s="211">
        <f t="shared" si="3"/>
        <v>1000000</v>
      </c>
      <c r="J35" s="102">
        <f t="shared" si="4"/>
        <v>18.071396225727824</v>
      </c>
    </row>
    <row r="36" spans="2:10">
      <c r="B36" s="100" t="s">
        <v>57</v>
      </c>
      <c r="C36" s="211">
        <v>12316700.43</v>
      </c>
      <c r="D36" s="102">
        <f t="shared" si="0"/>
        <v>0.36921732563966259</v>
      </c>
      <c r="E36" s="211">
        <v>11824073.889814863</v>
      </c>
      <c r="F36" s="102">
        <f t="shared" si="1"/>
        <v>0.33627833625719566</v>
      </c>
      <c r="G36" s="211">
        <v>12424073.889814863</v>
      </c>
      <c r="H36" s="102">
        <f t="shared" si="2"/>
        <v>0.35334242124469878</v>
      </c>
      <c r="I36" s="211">
        <f t="shared" si="3"/>
        <v>600000</v>
      </c>
      <c r="J36" s="102">
        <f t="shared" si="4"/>
        <v>5.0743931879251249</v>
      </c>
    </row>
    <row r="37" spans="2:10">
      <c r="B37" s="100" t="s">
        <v>59</v>
      </c>
      <c r="C37" s="211">
        <v>2179410.2600000002</v>
      </c>
      <c r="D37" s="102">
        <f t="shared" si="0"/>
        <v>6.5332110027526411E-2</v>
      </c>
      <c r="E37" s="211">
        <v>2220205.3434794326</v>
      </c>
      <c r="F37" s="102">
        <f t="shared" si="1"/>
        <v>6.3142954451402653E-2</v>
      </c>
      <c r="G37" s="211">
        <v>2220205.3434794326</v>
      </c>
      <c r="H37" s="102">
        <f t="shared" si="2"/>
        <v>6.3142954451402653E-2</v>
      </c>
      <c r="I37" s="211">
        <f t="shared" si="3"/>
        <v>0</v>
      </c>
      <c r="J37" s="102">
        <f t="shared" si="4"/>
        <v>0</v>
      </c>
    </row>
    <row r="38" spans="2:10">
      <c r="B38" s="100" t="s">
        <v>53</v>
      </c>
      <c r="C38" s="211">
        <v>12557210.530000001</v>
      </c>
      <c r="D38" s="102">
        <f t="shared" si="0"/>
        <v>0.37642708903498195</v>
      </c>
      <c r="E38" s="211">
        <v>11832884.939003492</v>
      </c>
      <c r="F38" s="102">
        <f t="shared" si="1"/>
        <v>0.33652892374416871</v>
      </c>
      <c r="G38" s="211">
        <v>10132884.939003492</v>
      </c>
      <c r="H38" s="102">
        <f t="shared" si="2"/>
        <v>0.28818068294624322</v>
      </c>
      <c r="I38" s="211">
        <f t="shared" si="3"/>
        <v>-1700000</v>
      </c>
      <c r="J38" s="102">
        <f t="shared" si="4"/>
        <v>-14.366741574545941</v>
      </c>
    </row>
    <row r="39" spans="2:10">
      <c r="B39" s="94" t="s">
        <v>255</v>
      </c>
      <c r="C39" s="207">
        <v>7564493.0600000005</v>
      </c>
      <c r="D39" s="98">
        <f t="shared" si="0"/>
        <v>0.22676056085850488</v>
      </c>
      <c r="E39" s="207">
        <v>7046262.4871663069</v>
      </c>
      <c r="F39" s="98">
        <f t="shared" si="1"/>
        <v>0.20039670320876826</v>
      </c>
      <c r="G39" s="207">
        <v>7738476.4003799995</v>
      </c>
      <c r="H39" s="98">
        <f t="shared" si="2"/>
        <v>0.22008336494978584</v>
      </c>
      <c r="I39" s="207">
        <f t="shared" si="3"/>
        <v>692213.91321369261</v>
      </c>
      <c r="J39" s="98">
        <f t="shared" si="4"/>
        <v>9.8238451161087852</v>
      </c>
    </row>
    <row r="40" spans="2:10" ht="13.5" thickBot="1">
      <c r="B40" s="94" t="s">
        <v>123</v>
      </c>
      <c r="C40" s="211">
        <v>6615451.54</v>
      </c>
      <c r="D40" s="102">
        <f t="shared" si="0"/>
        <v>0.19831117427750797</v>
      </c>
      <c r="E40" s="207">
        <v>8000000</v>
      </c>
      <c r="F40" s="98">
        <f t="shared" si="1"/>
        <v>0.22752113316670824</v>
      </c>
      <c r="G40" s="207">
        <v>8000000</v>
      </c>
      <c r="H40" s="98">
        <f t="shared" si="2"/>
        <v>0.22752113316670824</v>
      </c>
      <c r="I40" s="207">
        <f t="shared" si="3"/>
        <v>0</v>
      </c>
      <c r="J40" s="98">
        <f t="shared" si="4"/>
        <v>0</v>
      </c>
    </row>
    <row r="41" spans="2:10" ht="14.25" thickTop="1" thickBot="1">
      <c r="B41" s="90" t="s">
        <v>62</v>
      </c>
      <c r="C41" s="91">
        <f>+C43+C54+C60+SUM(C63:C67)</f>
        <v>1363467004.0629177</v>
      </c>
      <c r="D41" s="92">
        <f t="shared" si="0"/>
        <v>40.87260575176898</v>
      </c>
      <c r="E41" s="91">
        <f>+E43+E54+E60+SUM(E63:E67)</f>
        <v>1327102106.4899998</v>
      </c>
      <c r="F41" s="92">
        <f t="shared" si="1"/>
        <v>37.742971887066275</v>
      </c>
      <c r="G41" s="91">
        <f>+G43+G54+G60+SUM(G63:G67)</f>
        <v>1342758271.0799997</v>
      </c>
      <c r="H41" s="92">
        <f t="shared" si="2"/>
        <v>38.188235425636442</v>
      </c>
      <c r="I41" s="91">
        <f t="shared" si="3"/>
        <v>15656164.589999914</v>
      </c>
      <c r="J41" s="92">
        <f t="shared" si="4"/>
        <v>1.1797256980782294</v>
      </c>
    </row>
    <row r="42" spans="2:10" ht="14.25" thickTop="1" thickBot="1">
      <c r="B42" s="90" t="s">
        <v>126</v>
      </c>
      <c r="C42" s="91">
        <f>+C41-C63</f>
        <v>1301681501.2029178</v>
      </c>
      <c r="D42" s="92">
        <f t="shared" si="0"/>
        <v>39.020463754898891</v>
      </c>
      <c r="E42" s="91">
        <f>+E41-E63</f>
        <v>1225281606.4899998</v>
      </c>
      <c r="F42" s="92">
        <f t="shared" si="1"/>
        <v>34.84718244461618</v>
      </c>
      <c r="G42" s="91">
        <f>+G41-G63</f>
        <v>1240937771.0799997</v>
      </c>
      <c r="H42" s="92">
        <f t="shared" si="2"/>
        <v>35.29244598318634</v>
      </c>
      <c r="I42" s="91">
        <f t="shared" ref="I42:I73" si="5">+G42-E42</f>
        <v>15656164.589999914</v>
      </c>
      <c r="J42" s="92">
        <f t="shared" si="4"/>
        <v>1.2777605170169295</v>
      </c>
    </row>
    <row r="43" spans="2:10" ht="13.5" thickTop="1">
      <c r="B43" s="94" t="s">
        <v>63</v>
      </c>
      <c r="C43" s="95">
        <f>+SUM(C44:C53)</f>
        <v>600287648.01291776</v>
      </c>
      <c r="D43" s="98">
        <f t="shared" si="0"/>
        <v>17.994803175857761</v>
      </c>
      <c r="E43" s="95">
        <f>+SUM(E44:E53)</f>
        <v>615023510.13</v>
      </c>
      <c r="F43" s="98">
        <f t="shared" si="1"/>
        <v>17.491355743618005</v>
      </c>
      <c r="G43" s="95">
        <f>+SUM(G44:G53)</f>
        <v>625526473.45999992</v>
      </c>
      <c r="H43" s="98">
        <f t="shared" si="2"/>
        <v>17.790061508424255</v>
      </c>
      <c r="I43" s="95">
        <f t="shared" si="5"/>
        <v>10502963.329999924</v>
      </c>
      <c r="J43" s="98">
        <f t="shared" si="4"/>
        <v>1.7077336324557564</v>
      </c>
    </row>
    <row r="44" spans="2:10">
      <c r="B44" s="94" t="s">
        <v>64</v>
      </c>
      <c r="C44" s="207">
        <v>366128508.17291778</v>
      </c>
      <c r="D44" s="98">
        <f t="shared" si="0"/>
        <v>10.975422305375018</v>
      </c>
      <c r="E44" s="207">
        <v>386488693.71999997</v>
      </c>
      <c r="F44" s="98">
        <f t="shared" si="1"/>
        <v>10.991793193911903</v>
      </c>
      <c r="G44" s="207">
        <v>386488693.71999997</v>
      </c>
      <c r="H44" s="98">
        <f t="shared" si="2"/>
        <v>10.991793193911903</v>
      </c>
      <c r="I44" s="207">
        <f t="shared" si="5"/>
        <v>0</v>
      </c>
      <c r="J44" s="98">
        <f t="shared" si="4"/>
        <v>0</v>
      </c>
    </row>
    <row r="45" spans="2:10">
      <c r="B45" s="94" t="s">
        <v>75</v>
      </c>
      <c r="C45" s="207">
        <v>12022159.040000001</v>
      </c>
      <c r="D45" s="98">
        <f t="shared" si="0"/>
        <v>0.36038786803256645</v>
      </c>
      <c r="E45" s="207">
        <v>11478163.960000001</v>
      </c>
      <c r="F45" s="98">
        <f t="shared" si="1"/>
        <v>0.3264406088565589</v>
      </c>
      <c r="G45" s="207">
        <v>11478163.960000001</v>
      </c>
      <c r="H45" s="98">
        <f t="shared" si="2"/>
        <v>0.3264406088565589</v>
      </c>
      <c r="I45" s="207">
        <f t="shared" si="5"/>
        <v>0</v>
      </c>
      <c r="J45" s="98">
        <f t="shared" si="4"/>
        <v>0</v>
      </c>
    </row>
    <row r="46" spans="2:10">
      <c r="B46" s="94" t="s">
        <v>448</v>
      </c>
      <c r="C46" s="207">
        <v>90442340.840000004</v>
      </c>
      <c r="D46" s="98">
        <f t="shared" si="0"/>
        <v>2.7111870910004456</v>
      </c>
      <c r="E46" s="207">
        <v>89210330.25999999</v>
      </c>
      <c r="F46" s="98">
        <f t="shared" si="1"/>
        <v>2.5371544288664349</v>
      </c>
      <c r="G46" s="207">
        <v>29295302.830000002</v>
      </c>
      <c r="H46" s="98">
        <f t="shared" si="2"/>
        <v>0.83316256204293437</v>
      </c>
      <c r="I46" s="207">
        <f t="shared" si="5"/>
        <v>-59915027.429999992</v>
      </c>
      <c r="J46" s="98">
        <f t="shared" si="4"/>
        <v>-67.161535278907735</v>
      </c>
    </row>
    <row r="47" spans="2:10">
      <c r="B47" s="94" t="s">
        <v>449</v>
      </c>
      <c r="C47" s="207"/>
      <c r="D47" s="98">
        <f t="shared" si="0"/>
        <v>0</v>
      </c>
      <c r="E47" s="207"/>
      <c r="F47" s="98">
        <f t="shared" si="1"/>
        <v>0</v>
      </c>
      <c r="G47" s="207">
        <v>40692845.799999997</v>
      </c>
      <c r="H47" s="98">
        <f t="shared" si="2"/>
        <v>1.1573102985242654</v>
      </c>
      <c r="I47" s="207">
        <f t="shared" si="5"/>
        <v>40692845.799999997</v>
      </c>
      <c r="J47" s="98" t="e">
        <f t="shared" si="4"/>
        <v>#DIV/0!</v>
      </c>
    </row>
    <row r="48" spans="2:10">
      <c r="B48" s="94" t="s">
        <v>450</v>
      </c>
      <c r="C48" s="207">
        <v>20416485.639999997</v>
      </c>
      <c r="D48" s="98">
        <f t="shared" si="0"/>
        <v>0.61202432175752564</v>
      </c>
      <c r="E48" s="207">
        <v>21655403.200000003</v>
      </c>
      <c r="F48" s="98">
        <f t="shared" si="1"/>
        <v>0.61588273440574504</v>
      </c>
      <c r="G48" s="207">
        <v>21655403.200000003</v>
      </c>
      <c r="H48" s="98">
        <f t="shared" si="2"/>
        <v>0.61588273440574504</v>
      </c>
      <c r="I48" s="207">
        <f t="shared" si="5"/>
        <v>0</v>
      </c>
      <c r="J48" s="98">
        <f t="shared" si="4"/>
        <v>0</v>
      </c>
    </row>
    <row r="49" spans="2:10">
      <c r="B49" s="94" t="s">
        <v>80</v>
      </c>
      <c r="C49" s="207">
        <v>67427730.789999992</v>
      </c>
      <c r="D49" s="98">
        <f t="shared" si="0"/>
        <v>2.0212788788462022</v>
      </c>
      <c r="E49" s="207">
        <v>73316123.120000005</v>
      </c>
      <c r="F49" s="98">
        <f t="shared" si="1"/>
        <v>2.0851209264565371</v>
      </c>
      <c r="G49" s="207">
        <v>73316123.120000005</v>
      </c>
      <c r="H49" s="98">
        <f t="shared" si="2"/>
        <v>2.0851209264565371</v>
      </c>
      <c r="I49" s="207">
        <f t="shared" si="5"/>
        <v>0</v>
      </c>
      <c r="J49" s="98">
        <f t="shared" si="4"/>
        <v>0</v>
      </c>
    </row>
    <row r="50" spans="2:10">
      <c r="B50" s="94" t="s">
        <v>82</v>
      </c>
      <c r="C50" s="207">
        <v>7928041.8100000005</v>
      </c>
      <c r="D50" s="98">
        <f t="shared" si="0"/>
        <v>0.23765864983757101</v>
      </c>
      <c r="E50" s="207">
        <v>8172802.1399999997</v>
      </c>
      <c r="F50" s="98">
        <f t="shared" si="1"/>
        <v>0.23243565050501225</v>
      </c>
      <c r="G50" s="207">
        <v>8172802.1399999997</v>
      </c>
      <c r="H50" s="98">
        <f t="shared" si="2"/>
        <v>0.23243565050501225</v>
      </c>
      <c r="I50" s="207">
        <f t="shared" si="5"/>
        <v>0</v>
      </c>
      <c r="J50" s="98">
        <f t="shared" si="4"/>
        <v>0</v>
      </c>
    </row>
    <row r="51" spans="2:10">
      <c r="B51" s="94" t="s">
        <v>84</v>
      </c>
      <c r="C51" s="207">
        <v>17426749.959999997</v>
      </c>
      <c r="D51" s="98">
        <f t="shared" si="0"/>
        <v>0.52240111313824467</v>
      </c>
      <c r="E51" s="207">
        <v>18874600</v>
      </c>
      <c r="F51" s="98">
        <f t="shared" si="1"/>
        <v>0.53679629750854385</v>
      </c>
      <c r="G51" s="207">
        <v>18874600</v>
      </c>
      <c r="H51" s="98">
        <f t="shared" si="2"/>
        <v>0.53679629750854385</v>
      </c>
      <c r="I51" s="207">
        <f t="shared" si="5"/>
        <v>0</v>
      </c>
      <c r="J51" s="98">
        <f t="shared" si="4"/>
        <v>0</v>
      </c>
    </row>
    <row r="52" spans="2:10">
      <c r="B52" s="94" t="s">
        <v>86</v>
      </c>
      <c r="C52" s="207">
        <v>6279093.0100000007</v>
      </c>
      <c r="D52" s="98">
        <f t="shared" si="0"/>
        <v>0.18822816563339112</v>
      </c>
      <c r="E52" s="207">
        <v>5827393.7300000023</v>
      </c>
      <c r="F52" s="98">
        <f t="shared" si="1"/>
        <v>0.16573190310727137</v>
      </c>
      <c r="G52" s="207">
        <v>25049575.370000001</v>
      </c>
      <c r="H52" s="98">
        <f t="shared" si="2"/>
        <v>0.71241347169090818</v>
      </c>
      <c r="I52" s="207">
        <f t="shared" si="5"/>
        <v>19222181.640000001</v>
      </c>
      <c r="J52" s="98">
        <f>+G52/E52*100-100</f>
        <v>329.85898208734892</v>
      </c>
    </row>
    <row r="53" spans="2:10">
      <c r="B53" s="94" t="s">
        <v>130</v>
      </c>
      <c r="C53" s="207">
        <v>12216538.75</v>
      </c>
      <c r="D53" s="222">
        <f t="shared" si="0"/>
        <v>0.36621478223679643</v>
      </c>
      <c r="E53" s="207"/>
      <c r="F53" s="222">
        <f t="shared" si="1"/>
        <v>0</v>
      </c>
      <c r="G53" s="207">
        <v>10502963.32</v>
      </c>
      <c r="H53" s="222">
        <f t="shared" si="2"/>
        <v>0.2987057645218465</v>
      </c>
      <c r="I53" s="207">
        <f t="shared" si="5"/>
        <v>10502963.32</v>
      </c>
      <c r="J53" s="222" t="e">
        <f t="shared" si="4"/>
        <v>#DIV/0!</v>
      </c>
    </row>
    <row r="54" spans="2:10">
      <c r="B54" s="94" t="s">
        <v>87</v>
      </c>
      <c r="C54" s="95">
        <f>+SUM(C55:C59)</f>
        <v>482967769.27999985</v>
      </c>
      <c r="D54" s="98">
        <f t="shared" si="0"/>
        <v>14.47790901119734</v>
      </c>
      <c r="E54" s="95">
        <f>+SUM(E55:E59)</f>
        <v>498223398.96999997</v>
      </c>
      <c r="F54" s="98">
        <f t="shared" si="1"/>
        <v>14.169544037977921</v>
      </c>
      <c r="G54" s="95">
        <f>+SUM(G55:G59)</f>
        <v>498223398.96999997</v>
      </c>
      <c r="H54" s="98">
        <f t="shared" si="2"/>
        <v>14.169544037977921</v>
      </c>
      <c r="I54" s="95">
        <f t="shared" si="5"/>
        <v>0</v>
      </c>
      <c r="J54" s="98">
        <f t="shared" si="4"/>
        <v>0</v>
      </c>
    </row>
    <row r="55" spans="2:10">
      <c r="B55" s="100" t="s">
        <v>89</v>
      </c>
      <c r="C55" s="211">
        <v>64036543.990000002</v>
      </c>
      <c r="D55" s="102">
        <f t="shared" si="0"/>
        <v>1.919621383142986</v>
      </c>
      <c r="E55" s="211">
        <v>58645000</v>
      </c>
      <c r="F55" s="102">
        <f t="shared" si="1"/>
        <v>1.6678721068202007</v>
      </c>
      <c r="G55" s="211">
        <v>58645000</v>
      </c>
      <c r="H55" s="102">
        <f t="shared" si="2"/>
        <v>1.6678721068202007</v>
      </c>
      <c r="I55" s="211">
        <f t="shared" si="5"/>
        <v>0</v>
      </c>
      <c r="J55" s="102">
        <f t="shared" si="4"/>
        <v>0</v>
      </c>
    </row>
    <row r="56" spans="2:10">
      <c r="B56" s="100" t="s">
        <v>91</v>
      </c>
      <c r="C56" s="211">
        <v>13086355.520000001</v>
      </c>
      <c r="D56" s="102">
        <f t="shared" si="0"/>
        <v>0.39228925108022916</v>
      </c>
      <c r="E56" s="211">
        <v>20758124</v>
      </c>
      <c r="F56" s="102">
        <f t="shared" si="1"/>
        <v>0.59036398686188019</v>
      </c>
      <c r="G56" s="211">
        <v>20758124</v>
      </c>
      <c r="H56" s="102">
        <f t="shared" si="2"/>
        <v>0.59036398686188019</v>
      </c>
      <c r="I56" s="211">
        <f t="shared" si="5"/>
        <v>0</v>
      </c>
      <c r="J56" s="102">
        <f t="shared" si="4"/>
        <v>0</v>
      </c>
    </row>
    <row r="57" spans="2:10">
      <c r="B57" s="100" t="s">
        <v>93</v>
      </c>
      <c r="C57" s="211">
        <v>383190248.31999987</v>
      </c>
      <c r="D57" s="102">
        <f t="shared" si="0"/>
        <v>11.486881531298929</v>
      </c>
      <c r="E57" s="211">
        <v>397320274.96999997</v>
      </c>
      <c r="F57" s="102">
        <f t="shared" si="1"/>
        <v>11.299844898910312</v>
      </c>
      <c r="G57" s="211">
        <v>397320274.96999997</v>
      </c>
      <c r="H57" s="102">
        <f t="shared" si="2"/>
        <v>11.299844898910312</v>
      </c>
      <c r="I57" s="211">
        <f t="shared" si="5"/>
        <v>0</v>
      </c>
      <c r="J57" s="102">
        <f t="shared" si="4"/>
        <v>0</v>
      </c>
    </row>
    <row r="58" spans="2:10">
      <c r="B58" s="100" t="s">
        <v>95</v>
      </c>
      <c r="C58" s="211">
        <v>14792096.089999998</v>
      </c>
      <c r="D58" s="102">
        <f t="shared" si="0"/>
        <v>0.44342218031478986</v>
      </c>
      <c r="E58" s="211">
        <v>14500000</v>
      </c>
      <c r="F58" s="102">
        <f t="shared" si="1"/>
        <v>0.4123820538646587</v>
      </c>
      <c r="G58" s="211">
        <v>14500000</v>
      </c>
      <c r="H58" s="102">
        <f t="shared" si="2"/>
        <v>0.4123820538646587</v>
      </c>
      <c r="I58" s="211">
        <f t="shared" si="5"/>
        <v>0</v>
      </c>
      <c r="J58" s="102">
        <f t="shared" si="4"/>
        <v>0</v>
      </c>
    </row>
    <row r="59" spans="2:10">
      <c r="B59" s="100" t="s">
        <v>451</v>
      </c>
      <c r="C59" s="211">
        <v>7862525.3600000013</v>
      </c>
      <c r="D59" s="102">
        <f t="shared" si="0"/>
        <v>0.23569466536040659</v>
      </c>
      <c r="E59" s="211">
        <v>7000000</v>
      </c>
      <c r="F59" s="102">
        <f t="shared" si="1"/>
        <v>0.19908099152086972</v>
      </c>
      <c r="G59" s="211">
        <v>7000000</v>
      </c>
      <c r="H59" s="102">
        <f t="shared" si="2"/>
        <v>0.19908099152086972</v>
      </c>
      <c r="I59" s="211">
        <f t="shared" si="5"/>
        <v>0</v>
      </c>
      <c r="J59" s="102">
        <f t="shared" si="4"/>
        <v>0</v>
      </c>
    </row>
    <row r="60" spans="2:10">
      <c r="B60" s="94" t="s">
        <v>452</v>
      </c>
      <c r="C60" s="95">
        <f>+SUM(C61:C62)</f>
        <v>94307106.209999993</v>
      </c>
      <c r="D60" s="98">
        <f t="shared" si="0"/>
        <v>2.8270410359953697</v>
      </c>
      <c r="E60" s="95">
        <f>+SUM(E61:E62)</f>
        <v>101040047.61999999</v>
      </c>
      <c r="F60" s="98">
        <f t="shared" si="1"/>
        <v>2.8735932662150696</v>
      </c>
      <c r="G60" s="95">
        <f>+SUM(G61:G62)</f>
        <v>101040047.61999999</v>
      </c>
      <c r="H60" s="98">
        <f t="shared" si="2"/>
        <v>2.8735932662150696</v>
      </c>
      <c r="I60" s="95">
        <f t="shared" si="5"/>
        <v>0</v>
      </c>
      <c r="J60" s="98">
        <f t="shared" si="4"/>
        <v>0</v>
      </c>
    </row>
    <row r="61" spans="2:10">
      <c r="B61" s="100" t="s">
        <v>452</v>
      </c>
      <c r="C61" s="211">
        <v>94307106.209999993</v>
      </c>
      <c r="D61" s="102">
        <f t="shared" si="0"/>
        <v>2.8270410359953697</v>
      </c>
      <c r="E61" s="211">
        <v>101040047.61999999</v>
      </c>
      <c r="F61" s="102">
        <f t="shared" si="1"/>
        <v>2.8735932662150696</v>
      </c>
      <c r="G61" s="211">
        <v>101040047.61999999</v>
      </c>
      <c r="H61" s="102">
        <f t="shared" si="2"/>
        <v>2.8735932662150696</v>
      </c>
      <c r="I61" s="211">
        <f t="shared" si="5"/>
        <v>0</v>
      </c>
      <c r="J61" s="102">
        <f t="shared" si="4"/>
        <v>0</v>
      </c>
    </row>
    <row r="62" spans="2:10" ht="13.5" thickBot="1">
      <c r="B62" s="100" t="s">
        <v>453</v>
      </c>
      <c r="C62" s="211"/>
      <c r="D62" s="102">
        <f t="shared" si="0"/>
        <v>0</v>
      </c>
      <c r="E62" s="211"/>
      <c r="F62" s="102">
        <f t="shared" si="1"/>
        <v>0</v>
      </c>
      <c r="G62" s="211"/>
      <c r="H62" s="102">
        <f t="shared" si="2"/>
        <v>0</v>
      </c>
      <c r="I62" s="211">
        <f t="shared" si="5"/>
        <v>0</v>
      </c>
      <c r="J62" s="102" t="e">
        <f t="shared" si="4"/>
        <v>#DIV/0!</v>
      </c>
    </row>
    <row r="63" spans="2:10" ht="14.25" thickTop="1" thickBot="1">
      <c r="B63" s="90" t="s">
        <v>131</v>
      </c>
      <c r="C63" s="226">
        <v>61785502.860000007</v>
      </c>
      <c r="D63" s="92">
        <f t="shared" si="0"/>
        <v>1.8521419968700925</v>
      </c>
      <c r="E63" s="226">
        <v>101820500</v>
      </c>
      <c r="F63" s="92">
        <f t="shared" si="1"/>
        <v>2.8957894424501021</v>
      </c>
      <c r="G63" s="226">
        <v>101820500</v>
      </c>
      <c r="H63" s="92">
        <f t="shared" si="2"/>
        <v>2.8957894424501021</v>
      </c>
      <c r="I63" s="226">
        <f t="shared" si="5"/>
        <v>0</v>
      </c>
      <c r="J63" s="92">
        <f t="shared" si="4"/>
        <v>0</v>
      </c>
    </row>
    <row r="64" spans="2:10" ht="13.5" thickTop="1">
      <c r="B64" s="94" t="s">
        <v>111</v>
      </c>
      <c r="C64" s="207">
        <v>2752781.9799999995</v>
      </c>
      <c r="D64" s="98">
        <f t="shared" si="0"/>
        <v>8.2520055310353516E-2</v>
      </c>
      <c r="E64" s="207">
        <v>2140000</v>
      </c>
      <c r="F64" s="98">
        <f t="shared" si="1"/>
        <v>6.0861903122094448E-2</v>
      </c>
      <c r="G64" s="207">
        <v>2140000</v>
      </c>
      <c r="H64" s="98">
        <f t="shared" si="2"/>
        <v>6.0861903122094448E-2</v>
      </c>
      <c r="I64" s="207">
        <f t="shared" si="5"/>
        <v>0</v>
      </c>
      <c r="J64" s="98">
        <f t="shared" si="4"/>
        <v>0</v>
      </c>
    </row>
    <row r="65" spans="2:10" ht="13.5" thickBot="1">
      <c r="B65" s="94" t="s">
        <v>118</v>
      </c>
      <c r="C65" s="207">
        <v>14126844.789999999</v>
      </c>
      <c r="D65" s="98">
        <f t="shared" si="0"/>
        <v>0.42347996386970665</v>
      </c>
      <c r="E65" s="207">
        <v>8854649.7699999996</v>
      </c>
      <c r="F65" s="98">
        <f t="shared" si="1"/>
        <v>0.25182749368309154</v>
      </c>
      <c r="G65" s="207">
        <v>8854649.7699999996</v>
      </c>
      <c r="H65" s="98">
        <f t="shared" si="2"/>
        <v>0.25182749368309154</v>
      </c>
      <c r="I65" s="207">
        <f t="shared" si="5"/>
        <v>0</v>
      </c>
      <c r="J65" s="98">
        <f t="shared" si="4"/>
        <v>0</v>
      </c>
    </row>
    <row r="66" spans="2:10" ht="14.25" thickTop="1" thickBot="1">
      <c r="B66" s="192" t="s">
        <v>113</v>
      </c>
      <c r="C66" s="227">
        <v>107239350.92999999</v>
      </c>
      <c r="D66" s="194">
        <f t="shared" si="0"/>
        <v>3.2147105126683559</v>
      </c>
      <c r="E66" s="227">
        <v>0</v>
      </c>
      <c r="F66" s="194">
        <f t="shared" si="1"/>
        <v>0</v>
      </c>
      <c r="G66" s="227">
        <v>5153201.26</v>
      </c>
      <c r="H66" s="194">
        <f t="shared" si="2"/>
        <v>0.14655777376391357</v>
      </c>
      <c r="I66" s="227">
        <f t="shared" si="5"/>
        <v>5153201.26</v>
      </c>
      <c r="J66" s="194" t="e">
        <f t="shared" si="4"/>
        <v>#DIV/0!</v>
      </c>
    </row>
    <row r="67" spans="2:10" ht="14.25" thickTop="1" thickBot="1">
      <c r="B67" s="267" t="s">
        <v>152</v>
      </c>
      <c r="C67" s="207">
        <v>0</v>
      </c>
      <c r="D67" s="98">
        <f t="shared" si="0"/>
        <v>0</v>
      </c>
      <c r="E67" s="207">
        <v>0</v>
      </c>
      <c r="F67" s="98">
        <f t="shared" si="1"/>
        <v>0</v>
      </c>
      <c r="G67" s="207">
        <v>0</v>
      </c>
      <c r="H67" s="98">
        <f t="shared" si="2"/>
        <v>0</v>
      </c>
      <c r="I67" s="207">
        <f t="shared" si="5"/>
        <v>0</v>
      </c>
      <c r="J67" s="98" t="e">
        <f t="shared" si="4"/>
        <v>#DIV/0!</v>
      </c>
    </row>
    <row r="68" spans="2:10" ht="14.25" thickTop="1" thickBot="1">
      <c r="B68" s="90" t="s">
        <v>132</v>
      </c>
      <c r="C68" s="91">
        <f>+C8-C41</f>
        <v>-128320624.58291769</v>
      </c>
      <c r="D68" s="92">
        <f t="shared" si="0"/>
        <v>-3.8466631629292634</v>
      </c>
      <c r="E68" s="91">
        <f>+E8-E41</f>
        <v>-51045707.052829504</v>
      </c>
      <c r="F68" s="92">
        <f t="shared" si="1"/>
        <v>-1.4517471389944498</v>
      </c>
      <c r="G68" s="91">
        <f>+G8-G41</f>
        <v>-26424601.993229389</v>
      </c>
      <c r="H68" s="92">
        <f t="shared" si="2"/>
        <v>-0.75151942362235102</v>
      </c>
      <c r="I68" s="91">
        <f t="shared" si="5"/>
        <v>24621105.059600115</v>
      </c>
      <c r="J68" s="92">
        <f t="shared" si="4"/>
        <v>-48.23344896392291</v>
      </c>
    </row>
    <row r="69" spans="2:10" ht="14.25" thickTop="1" thickBot="1">
      <c r="B69" s="90" t="s">
        <v>133</v>
      </c>
      <c r="C69" s="91">
        <f>+C68+C49</f>
        <v>-60892893.792917699</v>
      </c>
      <c r="D69" s="92">
        <f t="shared" si="0"/>
        <v>-1.8253842840830612</v>
      </c>
      <c r="E69" s="91">
        <f>+E68+E49</f>
        <v>22270416.067170501</v>
      </c>
      <c r="F69" s="92">
        <f t="shared" si="1"/>
        <v>0.63337378746208728</v>
      </c>
      <c r="G69" s="91">
        <f>+G68+G49</f>
        <v>46891521.126770616</v>
      </c>
      <c r="H69" s="92">
        <f t="shared" si="2"/>
        <v>1.3336015028341861</v>
      </c>
      <c r="I69" s="91">
        <f t="shared" si="5"/>
        <v>24621105.059600115</v>
      </c>
      <c r="J69" s="92">
        <f t="shared" si="4"/>
        <v>110.55520914086037</v>
      </c>
    </row>
    <row r="70" spans="2:10" ht="14.25" thickTop="1" thickBot="1">
      <c r="B70" s="90" t="s">
        <v>0</v>
      </c>
      <c r="C70" s="91">
        <f>+SUM(C71:C73)</f>
        <v>241777428.00999996</v>
      </c>
      <c r="D70" s="92">
        <f t="shared" si="0"/>
        <v>7.2477540455928944</v>
      </c>
      <c r="E70" s="91">
        <f>+SUM(E71:E73)</f>
        <v>171426905.49000001</v>
      </c>
      <c r="F70" s="92">
        <f t="shared" si="1"/>
        <v>4.875405474043375</v>
      </c>
      <c r="G70" s="91">
        <f>+SUM(G71:G73)</f>
        <v>171426905.49000001</v>
      </c>
      <c r="H70" s="92">
        <f t="shared" si="2"/>
        <v>4.875405474043375</v>
      </c>
      <c r="I70" s="91">
        <f t="shared" si="5"/>
        <v>0</v>
      </c>
      <c r="J70" s="92">
        <f t="shared" si="4"/>
        <v>0</v>
      </c>
    </row>
    <row r="71" spans="2:10" ht="13.5" thickTop="1">
      <c r="B71" s="100" t="s">
        <v>135</v>
      </c>
      <c r="C71" s="211">
        <v>112695950.91</v>
      </c>
      <c r="D71" s="102">
        <f t="shared" si="0"/>
        <v>3.3782828316632929</v>
      </c>
      <c r="E71" s="211">
        <v>30008345.27</v>
      </c>
      <c r="F71" s="102">
        <f t="shared" si="1"/>
        <v>0.8534415900360286</v>
      </c>
      <c r="G71" s="211">
        <v>30008345.27</v>
      </c>
      <c r="H71" s="102">
        <f t="shared" si="2"/>
        <v>0.8534415900360286</v>
      </c>
      <c r="I71" s="211">
        <f t="shared" si="5"/>
        <v>0</v>
      </c>
      <c r="J71" s="102">
        <f t="shared" si="4"/>
        <v>0</v>
      </c>
    </row>
    <row r="72" spans="2:10">
      <c r="B72" s="100" t="s">
        <v>137</v>
      </c>
      <c r="C72" s="211">
        <v>68802905.489999995</v>
      </c>
      <c r="D72" s="102">
        <f t="shared" si="0"/>
        <v>2.0625024458158605</v>
      </c>
      <c r="E72" s="211">
        <v>108080400.25</v>
      </c>
      <c r="F72" s="102">
        <f t="shared" si="1"/>
        <v>3.073821892248922</v>
      </c>
      <c r="G72" s="211">
        <v>108080400.25</v>
      </c>
      <c r="H72" s="102">
        <f t="shared" si="2"/>
        <v>3.073821892248922</v>
      </c>
      <c r="I72" s="211">
        <f t="shared" si="5"/>
        <v>0</v>
      </c>
      <c r="J72" s="102">
        <f t="shared" si="4"/>
        <v>0</v>
      </c>
    </row>
    <row r="73" spans="2:10" ht="13.5" thickBot="1">
      <c r="B73" s="100" t="s">
        <v>116</v>
      </c>
      <c r="C73" s="211">
        <v>60278571.609999992</v>
      </c>
      <c r="D73" s="102">
        <f t="shared" ref="D73:D79" si="6">C73/C$3*100</f>
        <v>1.8069687681137414</v>
      </c>
      <c r="E73" s="211">
        <v>33338159.969999999</v>
      </c>
      <c r="F73" s="102">
        <f t="shared" si="1"/>
        <v>0.94814199175842395</v>
      </c>
      <c r="G73" s="211">
        <v>33338159.969999999</v>
      </c>
      <c r="H73" s="102">
        <f t="shared" ref="H73:H79" si="7">G73/E$3*100</f>
        <v>0.94814199175842395</v>
      </c>
      <c r="I73" s="211">
        <f t="shared" si="5"/>
        <v>0</v>
      </c>
      <c r="J73" s="102">
        <f t="shared" si="4"/>
        <v>0</v>
      </c>
    </row>
    <row r="74" spans="2:10" ht="14.25" thickTop="1" thickBot="1">
      <c r="B74" s="90" t="s">
        <v>141</v>
      </c>
      <c r="C74" s="91">
        <f>+C68-C70</f>
        <v>-370098052.59291768</v>
      </c>
      <c r="D74" s="92">
        <f t="shared" si="6"/>
        <v>-11.09441720852216</v>
      </c>
      <c r="E74" s="91">
        <f>+E68-E70</f>
        <v>-222472612.54282951</v>
      </c>
      <c r="F74" s="92">
        <f t="shared" ref="F74:F79" si="8">E74/E$3*100</f>
        <v>-6.3271526130378248</v>
      </c>
      <c r="G74" s="91">
        <v>-205851507.4832294</v>
      </c>
      <c r="H74" s="92">
        <f t="shared" si="7"/>
        <v>-5.8544460308324338</v>
      </c>
      <c r="I74" s="91">
        <f t="shared" ref="I74:I79" si="9">+G74-E74</f>
        <v>16621105.059600115</v>
      </c>
      <c r="J74" s="92">
        <f t="shared" ref="J74:J79" si="10">+G74/E74*100-100</f>
        <v>-7.4710791902083145</v>
      </c>
    </row>
    <row r="75" spans="2:10" ht="14.25" thickTop="1" thickBot="1">
      <c r="B75" s="90" t="s">
        <v>121</v>
      </c>
      <c r="C75" s="91">
        <f>+SUM(C76:C80)</f>
        <v>370098052.59291768</v>
      </c>
      <c r="D75" s="92">
        <f t="shared" si="6"/>
        <v>11.09441720852216</v>
      </c>
      <c r="E75" s="91">
        <f>+SUM(E76:E79)</f>
        <v>222472612.54282951</v>
      </c>
      <c r="F75" s="92">
        <f t="shared" si="8"/>
        <v>6.3271526130378248</v>
      </c>
      <c r="G75" s="91">
        <f>+SUM(G76:G79)</f>
        <v>205851507.4832294</v>
      </c>
      <c r="H75" s="92">
        <f t="shared" si="7"/>
        <v>5.8544460308324338</v>
      </c>
      <c r="I75" s="91">
        <f t="shared" si="9"/>
        <v>-16621105.059600115</v>
      </c>
      <c r="J75" s="92">
        <f t="shared" si="10"/>
        <v>-7.4710791902083145</v>
      </c>
    </row>
    <row r="76" spans="2:10" ht="13.5" thickTop="1">
      <c r="B76" s="100" t="s">
        <v>144</v>
      </c>
      <c r="C76" s="211">
        <v>102834751.84999999</v>
      </c>
      <c r="D76" s="102">
        <f t="shared" si="6"/>
        <v>3.0826739902186082</v>
      </c>
      <c r="E76" s="211">
        <v>0</v>
      </c>
      <c r="F76" s="102">
        <f t="shared" si="8"/>
        <v>0</v>
      </c>
      <c r="G76" s="269">
        <v>0</v>
      </c>
      <c r="H76" s="270">
        <f t="shared" si="7"/>
        <v>0</v>
      </c>
      <c r="I76" s="211">
        <f t="shared" si="9"/>
        <v>0</v>
      </c>
      <c r="J76" s="102" t="e">
        <f t="shared" si="10"/>
        <v>#DIV/0!</v>
      </c>
    </row>
    <row r="77" spans="2:10">
      <c r="B77" s="100" t="s">
        <v>122</v>
      </c>
      <c r="C77" s="211">
        <v>230537476.81999999</v>
      </c>
      <c r="D77" s="102">
        <f t="shared" si="6"/>
        <v>6.910814396676539</v>
      </c>
      <c r="E77" s="211">
        <v>227975575.86282945</v>
      </c>
      <c r="F77" s="102">
        <f t="shared" si="8"/>
        <v>6.4836576693304764</v>
      </c>
      <c r="G77" s="269">
        <v>227975575.86282945</v>
      </c>
      <c r="H77" s="270">
        <f t="shared" si="7"/>
        <v>6.4836576693304764</v>
      </c>
      <c r="I77" s="211">
        <f t="shared" si="9"/>
        <v>0</v>
      </c>
      <c r="J77" s="102">
        <f t="shared" si="10"/>
        <v>0</v>
      </c>
    </row>
    <row r="78" spans="2:10" ht="13.5" thickBot="1">
      <c r="B78" s="114" t="s">
        <v>329</v>
      </c>
      <c r="C78" s="211">
        <v>11948846.35</v>
      </c>
      <c r="D78" s="116">
        <f t="shared" si="6"/>
        <v>0.35819017592410862</v>
      </c>
      <c r="E78" s="211">
        <v>5000000</v>
      </c>
      <c r="F78" s="116">
        <f t="shared" si="8"/>
        <v>0.14220070822919265</v>
      </c>
      <c r="G78" s="269">
        <v>5000000</v>
      </c>
      <c r="H78" s="270">
        <f t="shared" si="7"/>
        <v>0.14220070822919265</v>
      </c>
      <c r="I78" s="211">
        <f t="shared" si="9"/>
        <v>0</v>
      </c>
      <c r="J78" s="116">
        <f t="shared" si="10"/>
        <v>0</v>
      </c>
    </row>
    <row r="79" spans="2:10" ht="14.25" thickTop="1" thickBot="1">
      <c r="B79" s="192" t="s">
        <v>125</v>
      </c>
      <c r="C79" s="193">
        <f>-C74-SUM(C76:C78)</f>
        <v>24776977.5729177</v>
      </c>
      <c r="D79" s="194">
        <f t="shared" si="6"/>
        <v>0.74273864570290371</v>
      </c>
      <c r="E79" s="193">
        <f>-E74-SUM(E76:E78)</f>
        <v>-10502963.319999933</v>
      </c>
      <c r="F79" s="194">
        <f t="shared" si="8"/>
        <v>-0.29870576452184461</v>
      </c>
      <c r="G79" s="271">
        <f>-G74-SUM(G76:G78)</f>
        <v>-27124068.379600048</v>
      </c>
      <c r="H79" s="272">
        <f t="shared" si="7"/>
        <v>-0.77141234672723535</v>
      </c>
      <c r="I79" s="193">
        <f t="shared" si="9"/>
        <v>-16621105.059600115</v>
      </c>
      <c r="J79" s="194">
        <f t="shared" si="10"/>
        <v>158.25157675215246</v>
      </c>
    </row>
    <row r="80" spans="2:10" ht="13.5" thickTop="1"/>
  </sheetData>
  <mergeCells count="6">
    <mergeCell ref="I6:J6"/>
    <mergeCell ref="E3:H3"/>
    <mergeCell ref="C6:D6"/>
    <mergeCell ref="C3:D3"/>
    <mergeCell ref="E6:F6"/>
    <mergeCell ref="G6:H6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C4:G6"/>
  <sheetViews>
    <sheetView workbookViewId="0">
      <selection activeCell="N16" sqref="N16"/>
    </sheetView>
  </sheetViews>
  <sheetFormatPr defaultRowHeight="12.75"/>
  <cols>
    <col min="3" max="3" width="27.7109375" bestFit="1" customWidth="1"/>
    <col min="4" max="4" width="15.28515625" bestFit="1" customWidth="1"/>
    <col min="5" max="7" width="16.28515625" bestFit="1" customWidth="1"/>
  </cols>
  <sheetData>
    <row r="4" spans="3:7">
      <c r="D4" t="s">
        <v>474</v>
      </c>
      <c r="E4">
        <v>2015</v>
      </c>
      <c r="F4">
        <v>2016</v>
      </c>
      <c r="G4">
        <v>2017</v>
      </c>
    </row>
    <row r="5" spans="3:7">
      <c r="C5" t="s">
        <v>472</v>
      </c>
      <c r="D5" s="266">
        <v>-26424601.993229389</v>
      </c>
      <c r="E5" s="266">
        <v>-24569497.372829676</v>
      </c>
      <c r="F5" s="266">
        <v>33498994.005818129</v>
      </c>
      <c r="G5" s="266">
        <v>103834080.12588143</v>
      </c>
    </row>
    <row r="6" spans="3:7">
      <c r="C6" t="s">
        <v>473</v>
      </c>
      <c r="D6" s="266">
        <v>-51424601.993229389</v>
      </c>
      <c r="E6" s="266">
        <v>-149569497.37282968</v>
      </c>
      <c r="F6" s="266">
        <v>-191501005.99418187</v>
      </c>
      <c r="G6" s="266">
        <v>-221165919.87411857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W110"/>
  <sheetViews>
    <sheetView topLeftCell="B37" zoomScale="85" zoomScaleNormal="85" workbookViewId="0">
      <selection activeCell="J19" sqref="J19"/>
    </sheetView>
  </sheetViews>
  <sheetFormatPr defaultColWidth="9.28515625" defaultRowHeight="12.75"/>
  <cols>
    <col min="1" max="2" width="9.28515625" style="80" customWidth="1"/>
    <col min="3" max="3" width="57.28515625" style="80" customWidth="1"/>
    <col min="4" max="4" width="7.7109375" style="80" customWidth="1"/>
    <col min="5" max="5" width="6" style="80" customWidth="1"/>
    <col min="6" max="6" width="7.7109375" style="80" customWidth="1"/>
    <col min="7" max="7" width="6" style="80" customWidth="1"/>
    <col min="8" max="8" width="6.7109375" style="80" customWidth="1"/>
    <col min="9" max="9" width="9.28515625" style="80" customWidth="1"/>
    <col min="10" max="10" width="12.7109375" style="80" bestFit="1" customWidth="1"/>
    <col min="11" max="67" width="9.28515625" style="80" customWidth="1"/>
    <col min="68" max="68" width="9.28515625" style="80"/>
    <col min="69" max="69" width="15.42578125" style="80" customWidth="1"/>
    <col min="70" max="70" width="12.7109375" style="80" customWidth="1"/>
    <col min="71" max="71" width="11.7109375" style="80" customWidth="1"/>
    <col min="72" max="16384" width="9.28515625" style="80"/>
  </cols>
  <sheetData>
    <row r="1" spans="2:67" ht="15" customHeight="1">
      <c r="C1" s="81"/>
      <c r="D1" s="82"/>
      <c r="E1" s="82"/>
      <c r="F1" s="82"/>
      <c r="G1" s="82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</row>
    <row r="2" spans="2:67" ht="15" hidden="1" customHeight="1">
      <c r="C2" s="81"/>
      <c r="D2" s="135"/>
      <c r="E2" s="145">
        <v>2014</v>
      </c>
      <c r="F2" s="146">
        <v>2017</v>
      </c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</row>
    <row r="3" spans="2:67" ht="15" hidden="1" customHeight="1">
      <c r="C3" s="81"/>
      <c r="D3" s="137"/>
      <c r="E3" s="138">
        <v>5.4037200000000007</v>
      </c>
      <c r="F3" s="139">
        <v>6.0799999999999965</v>
      </c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</row>
    <row r="4" spans="2:67" ht="15" hidden="1" customHeight="1">
      <c r="C4" s="81"/>
      <c r="D4" s="128"/>
      <c r="E4" s="125">
        <v>3.54</v>
      </c>
      <c r="F4" s="126">
        <v>4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</row>
    <row r="5" spans="2:67" ht="15" hidden="1" customHeight="1">
      <c r="C5" s="81"/>
      <c r="D5" s="141"/>
      <c r="E5" s="142">
        <v>1.8</v>
      </c>
      <c r="F5" s="157">
        <v>2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</row>
    <row r="6" spans="2:67" ht="15" hidden="1" customHeight="1">
      <c r="C6" s="81"/>
      <c r="D6" s="144"/>
      <c r="E6" s="156">
        <v>2.3E-2</v>
      </c>
      <c r="F6" s="156">
        <v>5.1999999999999998E-2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</row>
    <row r="7" spans="2:67" ht="15" hidden="1" customHeight="1">
      <c r="C7" s="81"/>
      <c r="D7" s="130"/>
      <c r="E7" s="130"/>
      <c r="F7" s="13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</row>
    <row r="8" spans="2:67" ht="15" hidden="1" customHeight="1">
      <c r="C8" s="81"/>
      <c r="D8" s="124"/>
      <c r="E8" s="147">
        <f>+F16/D16*100-100</f>
        <v>-100</v>
      </c>
      <c r="F8" s="153" t="e">
        <f>+#REF!/#REF!*100-100</f>
        <v>#REF!</v>
      </c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</row>
    <row r="9" spans="2:67" ht="15" hidden="1" customHeight="1">
      <c r="C9" s="81"/>
      <c r="D9" s="133"/>
      <c r="E9" s="148" t="e">
        <f>+F16/#REF!*100-100</f>
        <v>#REF!</v>
      </c>
      <c r="F9" s="154" t="e">
        <f>+#REF!/#REF!*100-100</f>
        <v>#REF!</v>
      </c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</row>
    <row r="10" spans="2:67" ht="15" customHeight="1" thickBot="1">
      <c r="C10" s="81"/>
      <c r="D10" s="82"/>
      <c r="E10" s="82"/>
      <c r="F10" s="82"/>
      <c r="G10" s="82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</row>
    <row r="11" spans="2:67" ht="18.75" customHeight="1" thickTop="1" thickBot="1">
      <c r="C11" s="261" t="str">
        <f>IF(MasterSheet!$A$1=1,MasterSheet!B67,MasterSheet!B66)</f>
        <v>BDP (u mil. €)</v>
      </c>
      <c r="D11" s="488">
        <v>3516156889.9792166</v>
      </c>
      <c r="E11" s="488"/>
      <c r="F11" s="488">
        <f>+D11</f>
        <v>3516156889.9792166</v>
      </c>
      <c r="G11" s="488"/>
      <c r="H11" s="234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</row>
    <row r="12" spans="2:67" ht="19.5" customHeight="1" thickTop="1">
      <c r="C12" s="81"/>
      <c r="D12" s="83"/>
      <c r="E12" s="83"/>
      <c r="F12" s="82"/>
      <c r="G12" s="82"/>
      <c r="H12" s="84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</row>
    <row r="13" spans="2:67" ht="17.25" customHeight="1" thickBot="1">
      <c r="B13" s="85"/>
      <c r="C13" s="86"/>
      <c r="D13" s="235"/>
      <c r="E13" s="235"/>
      <c r="F13" s="235"/>
      <c r="G13" s="235"/>
      <c r="H13" s="84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</row>
    <row r="14" spans="2:67" ht="15.75" customHeight="1" thickTop="1">
      <c r="B14" s="87"/>
      <c r="C14" s="486" t="str">
        <f>IF(MasterSheet!$A$1=1,MasterSheet!B71,MasterSheet!B70)</f>
        <v>Budžet Crne Gore</v>
      </c>
      <c r="D14" s="475" t="s">
        <v>393</v>
      </c>
      <c r="E14" s="476"/>
      <c r="F14" s="475" t="s">
        <v>434</v>
      </c>
      <c r="G14" s="476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</row>
    <row r="15" spans="2:67" ht="15" customHeight="1" thickBot="1">
      <c r="C15" s="487" t="str">
        <f>IF(MasterSheet!$A$1=1,MasterSheet!B71,MasterSheet!B70)</f>
        <v>Budžet Crne Gore</v>
      </c>
      <c r="D15" s="88" t="s">
        <v>263</v>
      </c>
      <c r="E15" s="89" t="s">
        <v>150</v>
      </c>
      <c r="F15" s="88" t="s">
        <v>263</v>
      </c>
      <c r="G15" s="89" t="s">
        <v>150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</row>
    <row r="16" spans="2:67" ht="15" customHeight="1" thickTop="1" thickBot="1">
      <c r="C16" s="90" t="str">
        <f>IF(MasterSheet!$A$1=1,MasterSheet!C72,MasterSheet!B72)</f>
        <v>Izvorni prihodi</v>
      </c>
      <c r="D16" s="236">
        <f>D17+D25+D30+D35+D42+D47+D48</f>
        <v>1276056399.4371703</v>
      </c>
      <c r="E16" s="92">
        <f>D16/D$11*100</f>
        <v>36.291224748071834</v>
      </c>
      <c r="F16" s="236">
        <f>F17+F25+F30+F35+F42+F47+F48</f>
        <v>0</v>
      </c>
      <c r="G16" s="92">
        <f>F16/F$11*100</f>
        <v>0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</row>
    <row r="17" spans="2:72" ht="15" customHeight="1" thickTop="1">
      <c r="C17" s="94" t="str">
        <f>IF(MasterSheet!$A$1=1,MasterSheet!C73,MasterSheet!B73)</f>
        <v>Porezi</v>
      </c>
      <c r="D17" s="207">
        <v>797828901.35953081</v>
      </c>
      <c r="E17" s="98">
        <f t="shared" ref="E17:E47" si="0">D17/D$11*100</f>
        <v>22.690366963808792</v>
      </c>
      <c r="F17" s="207">
        <f>SUM(F18:F24)</f>
        <v>0</v>
      </c>
      <c r="G17" s="96">
        <f t="shared" ref="G17:G47" si="1">F17/F$11*100</f>
        <v>0</v>
      </c>
      <c r="I17" s="81"/>
      <c r="J17" s="308"/>
      <c r="K17" s="309"/>
      <c r="L17" s="310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</row>
    <row r="18" spans="2:72" ht="15" customHeight="1">
      <c r="B18" s="80">
        <v>7111</v>
      </c>
      <c r="C18" s="100" t="str">
        <f>IF(MasterSheet!$A$1=1,MasterSheet!C74,MasterSheet!B74)</f>
        <v>Porez na dohodak fizičkih lica</v>
      </c>
      <c r="D18" s="209">
        <v>96011654.614494905</v>
      </c>
      <c r="E18" s="102">
        <f t="shared" si="0"/>
        <v>2.7305850568875618</v>
      </c>
      <c r="F18" s="211"/>
      <c r="G18" s="102">
        <f t="shared" si="1"/>
        <v>0</v>
      </c>
      <c r="I18" s="81"/>
      <c r="J18" s="311" t="s">
        <v>72</v>
      </c>
      <c r="K18" s="160"/>
      <c r="L18" s="13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</row>
    <row r="19" spans="2:72" ht="15" customHeight="1">
      <c r="B19" s="80">
        <v>7112</v>
      </c>
      <c r="C19" s="100" t="str">
        <f>IF(MasterSheet!$A$1=1,MasterSheet!C75,MasterSheet!B75)</f>
        <v>Porez na dobit pravnih lica</v>
      </c>
      <c r="D19" s="211">
        <v>44395641.531501003</v>
      </c>
      <c r="E19" s="102">
        <f t="shared" si="0"/>
        <v>1.2626183336137604</v>
      </c>
      <c r="F19" s="211"/>
      <c r="G19" s="102">
        <f t="shared" si="1"/>
        <v>0</v>
      </c>
      <c r="I19" s="172"/>
      <c r="J19" s="312">
        <v>39082444.850000001</v>
      </c>
      <c r="K19" s="307"/>
      <c r="L19" s="313"/>
      <c r="M19" s="172"/>
      <c r="N19" s="172"/>
      <c r="O19" s="172"/>
      <c r="P19" s="172"/>
      <c r="Q19" s="172"/>
      <c r="R19" s="172"/>
      <c r="S19" s="173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Q19" s="81"/>
    </row>
    <row r="20" spans="2:72" ht="15" customHeight="1">
      <c r="B20" s="80">
        <v>7113</v>
      </c>
      <c r="C20" s="100" t="str">
        <f>IF(MasterSheet!$A$1=1,MasterSheet!C76,MasterSheet!B76)</f>
        <v>Porez na promet nepokretnosti</v>
      </c>
      <c r="D20" s="211">
        <v>1544536.6728920399</v>
      </c>
      <c r="E20" s="102">
        <f t="shared" si="0"/>
        <v>4.3926841754241781E-2</v>
      </c>
      <c r="F20" s="211"/>
      <c r="G20" s="102">
        <f t="shared" si="1"/>
        <v>0</v>
      </c>
      <c r="I20" s="172"/>
      <c r="J20" s="314"/>
      <c r="K20" s="315"/>
      <c r="L20" s="316"/>
      <c r="M20" s="172"/>
      <c r="N20" s="172"/>
      <c r="O20" s="172"/>
      <c r="P20" s="172"/>
      <c r="Q20" s="172"/>
      <c r="R20" s="172"/>
      <c r="S20" s="173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  <c r="BB20" s="173"/>
      <c r="BC20" s="173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</row>
    <row r="21" spans="2:72" ht="15" customHeight="1">
      <c r="B21" s="80">
        <v>7114</v>
      </c>
      <c r="C21" s="100" t="str">
        <f>IF(MasterSheet!$A$1=1,MasterSheet!C77,MasterSheet!B77)</f>
        <v>Porez na dodatu vrijednost</v>
      </c>
      <c r="D21" s="209">
        <v>455945630.52919102</v>
      </c>
      <c r="E21" s="102">
        <f t="shared" si="0"/>
        <v>12.967158315051353</v>
      </c>
      <c r="F21" s="211"/>
      <c r="G21" s="102">
        <f t="shared" si="1"/>
        <v>0</v>
      </c>
    </row>
    <row r="22" spans="2:72" ht="15" customHeight="1">
      <c r="B22" s="80">
        <v>7115</v>
      </c>
      <c r="C22" s="100" t="str">
        <f>IF(MasterSheet!$A$1=1,MasterSheet!C78,MasterSheet!B78)</f>
        <v>Akcize</v>
      </c>
      <c r="D22" s="211">
        <v>171111988.52539012</v>
      </c>
      <c r="E22" s="102">
        <f t="shared" si="0"/>
        <v>4.8664491909631922</v>
      </c>
      <c r="F22" s="211"/>
      <c r="G22" s="102">
        <f t="shared" si="1"/>
        <v>0</v>
      </c>
    </row>
    <row r="23" spans="2:72" ht="15" customHeight="1">
      <c r="B23" s="80">
        <v>7116</v>
      </c>
      <c r="C23" s="100" t="str">
        <f>IF(MasterSheet!$A$1=1,MasterSheet!C79,MasterSheet!B79)</f>
        <v>Porez na međunarodnu trgovinu i transakcije</v>
      </c>
      <c r="D23" s="211">
        <v>23735353.696558259</v>
      </c>
      <c r="E23" s="102">
        <f t="shared" si="0"/>
        <v>0.67503682114419394</v>
      </c>
      <c r="F23" s="211"/>
      <c r="G23" s="102">
        <f t="shared" si="1"/>
        <v>0</v>
      </c>
      <c r="BR23" s="174"/>
      <c r="BS23" s="174"/>
      <c r="BT23" s="81"/>
    </row>
    <row r="24" spans="2:72" ht="15" customHeight="1">
      <c r="B24" s="80">
        <v>7118</v>
      </c>
      <c r="C24" s="100" t="str">
        <f>IF(MasterSheet!$A$1=1,MasterSheet!C80,MasterSheet!B80)</f>
        <v>Ostali republički prihodi</v>
      </c>
      <c r="D24" s="211">
        <v>5084095.7895035082</v>
      </c>
      <c r="E24" s="102">
        <f t="shared" si="0"/>
        <v>0.14459240439449103</v>
      </c>
      <c r="F24" s="211"/>
      <c r="G24" s="102">
        <f t="shared" si="1"/>
        <v>0</v>
      </c>
      <c r="BR24" s="174"/>
      <c r="BS24" s="174"/>
      <c r="BT24" s="81"/>
    </row>
    <row r="25" spans="2:72" ht="15" customHeight="1">
      <c r="B25" s="80">
        <v>712</v>
      </c>
      <c r="C25" s="94" t="str">
        <f>IF(MasterSheet!$A$1=1,MasterSheet!C81,MasterSheet!B81)</f>
        <v>Doprinosi</v>
      </c>
      <c r="D25" s="207">
        <v>397823173.70918262</v>
      </c>
      <c r="E25" s="98">
        <f t="shared" si="0"/>
        <v>11.314147410286179</v>
      </c>
      <c r="F25" s="207">
        <f>SUM(F26:F29)</f>
        <v>0</v>
      </c>
      <c r="G25" s="98">
        <f t="shared" si="1"/>
        <v>0</v>
      </c>
      <c r="BR25" s="174"/>
      <c r="BS25" s="174"/>
      <c r="BT25" s="81"/>
    </row>
    <row r="26" spans="2:72" ht="15" customHeight="1">
      <c r="B26" s="80">
        <v>7121</v>
      </c>
      <c r="C26" s="100" t="str">
        <f>IF(MasterSheet!$A$1=1,MasterSheet!C82,MasterSheet!B82)</f>
        <v>Doprinosi za penzijsko i invalidsko osiguranje</v>
      </c>
      <c r="D26" s="211">
        <v>234882396.70208701</v>
      </c>
      <c r="E26" s="102">
        <f t="shared" si="0"/>
        <v>6.6800886323213922</v>
      </c>
      <c r="F26" s="211"/>
      <c r="G26" s="102">
        <f t="shared" si="1"/>
        <v>0</v>
      </c>
      <c r="J26" s="80" t="e">
        <f>+#REF!/#REF!*100</f>
        <v>#REF!</v>
      </c>
      <c r="BR26" s="174"/>
      <c r="BS26" s="174"/>
      <c r="BT26" s="81"/>
    </row>
    <row r="27" spans="2:72" ht="15" customHeight="1">
      <c r="B27" s="80">
        <v>7122</v>
      </c>
      <c r="C27" s="100" t="str">
        <f>IF(MasterSheet!$A$1=1,MasterSheet!C83,MasterSheet!B83)</f>
        <v>Doprinosi za zdravstveno osiguranje</v>
      </c>
      <c r="D27" s="211">
        <v>138667298.82084399</v>
      </c>
      <c r="E27" s="102">
        <f t="shared" si="0"/>
        <v>3.9437176201106214</v>
      </c>
      <c r="F27" s="211"/>
      <c r="G27" s="102">
        <f t="shared" si="1"/>
        <v>0</v>
      </c>
      <c r="BR27" s="174"/>
      <c r="BS27" s="174"/>
      <c r="BT27" s="81"/>
    </row>
    <row r="28" spans="2:72" ht="15" customHeight="1">
      <c r="B28" s="80">
        <v>7123</v>
      </c>
      <c r="C28" s="100" t="str">
        <f>IF(MasterSheet!$A$1=1,MasterSheet!C84,MasterSheet!B84)</f>
        <v>Doprinosi za osiguranje od nezaposlenosti</v>
      </c>
      <c r="D28" s="211">
        <v>11617385.520490499</v>
      </c>
      <c r="E28" s="102">
        <f t="shared" si="0"/>
        <v>0.33040008975706336</v>
      </c>
      <c r="F28" s="211"/>
      <c r="G28" s="102">
        <f t="shared" si="1"/>
        <v>0</v>
      </c>
      <c r="BR28" s="174"/>
      <c r="BS28" s="174"/>
      <c r="BT28" s="81"/>
    </row>
    <row r="29" spans="2:72" ht="15" customHeight="1">
      <c r="B29" s="80">
        <v>7124</v>
      </c>
      <c r="C29" s="100" t="str">
        <f>IF(MasterSheet!$A$1=1,MasterSheet!C85,MasterSheet!B85)</f>
        <v>Ostali doprinosi</v>
      </c>
      <c r="D29" s="209">
        <v>12656092.6657611</v>
      </c>
      <c r="E29" s="102">
        <f t="shared" si="0"/>
        <v>0.3599410680971038</v>
      </c>
      <c r="F29" s="211"/>
      <c r="G29" s="102">
        <f t="shared" si="1"/>
        <v>0</v>
      </c>
      <c r="BR29" s="81"/>
      <c r="BS29" s="81"/>
      <c r="BT29" s="81"/>
    </row>
    <row r="30" spans="2:72" ht="15" customHeight="1">
      <c r="B30" s="80">
        <v>713</v>
      </c>
      <c r="C30" s="94" t="str">
        <f>IF(MasterSheet!$A$1=1,MasterSheet!C86,MasterSheet!B86)</f>
        <v>Takse</v>
      </c>
      <c r="D30" s="207">
        <v>20923047.198280636</v>
      </c>
      <c r="E30" s="98">
        <f t="shared" si="0"/>
        <v>0.59505442598166625</v>
      </c>
      <c r="F30" s="207">
        <f>SUM(F31:F34)</f>
        <v>0</v>
      </c>
      <c r="G30" s="98">
        <f t="shared" si="1"/>
        <v>0</v>
      </c>
      <c r="BR30" s="81"/>
      <c r="BS30" s="81"/>
      <c r="BT30" s="81"/>
    </row>
    <row r="31" spans="2:72" ht="15" customHeight="1">
      <c r="B31" s="80">
        <v>7131</v>
      </c>
      <c r="C31" s="100" t="str">
        <f>IF(MasterSheet!$A$1=1,MasterSheet!C87,MasterSheet!B87)</f>
        <v>Administrativne takse</v>
      </c>
      <c r="D31" s="211">
        <v>8144616.5029747505</v>
      </c>
      <c r="E31" s="102">
        <f t="shared" si="0"/>
        <v>0.23163404699563594</v>
      </c>
      <c r="F31" s="211"/>
      <c r="G31" s="102">
        <f t="shared" si="1"/>
        <v>0</v>
      </c>
      <c r="BR31" s="81"/>
      <c r="BS31" s="81"/>
      <c r="BT31" s="81"/>
    </row>
    <row r="32" spans="2:72" ht="15" customHeight="1">
      <c r="B32" s="80">
        <v>7132</v>
      </c>
      <c r="C32" s="100" t="str">
        <f>IF(MasterSheet!$A$1=1,MasterSheet!C88,MasterSheet!B88)</f>
        <v>Sudske takse</v>
      </c>
      <c r="D32" s="211">
        <v>3676083.5729169641</v>
      </c>
      <c r="E32" s="102">
        <f t="shared" si="0"/>
        <v>0.10454833751569864</v>
      </c>
      <c r="F32" s="211"/>
      <c r="G32" s="102">
        <f t="shared" si="1"/>
        <v>0</v>
      </c>
      <c r="BR32" s="174"/>
      <c r="BS32" s="174"/>
      <c r="BT32" s="174"/>
    </row>
    <row r="33" spans="2:75" ht="15" customHeight="1">
      <c r="B33" s="80">
        <v>7133</v>
      </c>
      <c r="C33" s="100" t="str">
        <f>IF(MasterSheet!$A$1=1,MasterSheet!C89,MasterSheet!B89)</f>
        <v>Boravišne takse</v>
      </c>
      <c r="D33" s="211">
        <v>762511.44191594806</v>
      </c>
      <c r="E33" s="102">
        <f t="shared" si="0"/>
        <v>2.1685933414662142E-2</v>
      </c>
      <c r="F33" s="211"/>
      <c r="G33" s="102">
        <f t="shared" si="1"/>
        <v>0</v>
      </c>
      <c r="BR33" s="174"/>
      <c r="BS33" s="174"/>
      <c r="BT33" s="174"/>
    </row>
    <row r="34" spans="2:75" ht="15" customHeight="1">
      <c r="B34" s="80">
        <v>7136</v>
      </c>
      <c r="C34" s="100" t="str">
        <f>IF(MasterSheet!$A$1=1,MasterSheet!C90,MasterSheet!B90)</f>
        <v>Ostale takse</v>
      </c>
      <c r="D34" s="209">
        <v>8339835.6804729737</v>
      </c>
      <c r="E34" s="102">
        <f t="shared" si="0"/>
        <v>0.23718610805566953</v>
      </c>
      <c r="F34" s="209"/>
      <c r="G34" s="102">
        <f t="shared" si="1"/>
        <v>0</v>
      </c>
      <c r="BR34" s="174"/>
      <c r="BS34" s="174"/>
      <c r="BT34" s="174"/>
    </row>
    <row r="35" spans="2:75" ht="15" customHeight="1">
      <c r="B35" s="80">
        <v>714</v>
      </c>
      <c r="C35" s="94" t="str">
        <f>IF(MasterSheet!$A$1=1,MasterSheet!C91,MasterSheet!B91)</f>
        <v>Naknade</v>
      </c>
      <c r="D35" s="207">
        <v>13024243.76827177</v>
      </c>
      <c r="E35" s="98">
        <f t="shared" si="0"/>
        <v>0.37041133759957889</v>
      </c>
      <c r="F35" s="207">
        <f>SUM(F36:F41)</f>
        <v>0</v>
      </c>
      <c r="G35" s="98">
        <f t="shared" si="1"/>
        <v>0</v>
      </c>
      <c r="BR35" s="174"/>
      <c r="BS35" s="174"/>
      <c r="BT35" s="174"/>
    </row>
    <row r="36" spans="2:75" ht="15" customHeight="1">
      <c r="B36" s="80">
        <v>7141</v>
      </c>
      <c r="C36" s="100" t="str">
        <f>IF(MasterSheet!$A$1=1,MasterSheet!C92,MasterSheet!B92)</f>
        <v>Naknade za korišćenje dobara od opšteg interesa</v>
      </c>
      <c r="D36" s="211">
        <v>698651.48499726248</v>
      </c>
      <c r="E36" s="102">
        <f t="shared" si="0"/>
        <v>1.9869747194397578E-2</v>
      </c>
      <c r="F36" s="211"/>
      <c r="G36" s="102">
        <f t="shared" si="1"/>
        <v>0</v>
      </c>
      <c r="BR36" s="174"/>
      <c r="BS36" s="174"/>
      <c r="BT36" s="174"/>
    </row>
    <row r="37" spans="2:75" ht="15" customHeight="1">
      <c r="B37" s="80">
        <v>7142</v>
      </c>
      <c r="C37" s="100" t="str">
        <f>IF(MasterSheet!$A$1=1,MasterSheet!C93,MasterSheet!B93)</f>
        <v>Naknade za korišćenje prirodnih dobara</v>
      </c>
      <c r="D37" s="211">
        <v>1997965.7673730874</v>
      </c>
      <c r="E37" s="102">
        <f t="shared" si="0"/>
        <v>5.6822429427627073E-2</v>
      </c>
      <c r="F37" s="211"/>
      <c r="G37" s="102">
        <f t="shared" si="1"/>
        <v>0</v>
      </c>
      <c r="BR37" s="174"/>
      <c r="BS37" s="174"/>
      <c r="BT37" s="174"/>
    </row>
    <row r="38" spans="2:75" ht="15" customHeight="1">
      <c r="B38" s="80">
        <v>7143</v>
      </c>
      <c r="C38" s="100" t="str">
        <f>IF(MasterSheet!$A$1=1,MasterSheet!C94,MasterSheet!B94)</f>
        <v>Ekološke naknade</v>
      </c>
      <c r="D38" s="211">
        <v>424373.88097611902</v>
      </c>
      <c r="E38" s="102">
        <f t="shared" si="0"/>
        <v>1.2069253285755047E-2</v>
      </c>
      <c r="F38" s="211"/>
      <c r="G38" s="102">
        <f t="shared" si="1"/>
        <v>0</v>
      </c>
      <c r="BR38" s="174"/>
      <c r="BS38" s="174"/>
      <c r="BT38" s="174"/>
      <c r="BU38" s="81"/>
      <c r="BV38" s="81"/>
    </row>
    <row r="39" spans="2:75" ht="15" customHeight="1">
      <c r="B39" s="80">
        <v>7144</v>
      </c>
      <c r="C39" s="100" t="str">
        <f>IF(MasterSheet!$A$1=1,MasterSheet!C95,MasterSheet!B95)</f>
        <v>Naknade za priređivanje igara na sreću</v>
      </c>
      <c r="D39" s="211">
        <v>3266343.0516235088</v>
      </c>
      <c r="E39" s="102">
        <f t="shared" si="0"/>
        <v>9.2895259052073062E-2</v>
      </c>
      <c r="F39" s="211"/>
      <c r="G39" s="102">
        <f t="shared" si="1"/>
        <v>0</v>
      </c>
      <c r="BR39" s="174"/>
      <c r="BS39" s="174"/>
      <c r="BT39" s="174"/>
      <c r="BU39" s="81"/>
      <c r="BV39" s="81"/>
    </row>
    <row r="40" spans="2:75" ht="15" customHeight="1">
      <c r="B40" s="80">
        <v>7148</v>
      </c>
      <c r="C40" s="100" t="str">
        <f>IF(MasterSheet!$A$1=1,MasterSheet!C96,MasterSheet!B96)</f>
        <v>Naknada za puteve</v>
      </c>
      <c r="D40" s="211">
        <v>3355752.0175728933</v>
      </c>
      <c r="E40" s="102">
        <f t="shared" si="0"/>
        <v>9.5438062708081514E-2</v>
      </c>
      <c r="F40" s="211"/>
      <c r="G40" s="102">
        <f t="shared" si="1"/>
        <v>0</v>
      </c>
      <c r="BR40" s="174"/>
      <c r="BS40" s="174"/>
      <c r="BT40" s="174"/>
      <c r="BU40" s="81"/>
      <c r="BV40" s="81"/>
    </row>
    <row r="41" spans="2:75" ht="15" customHeight="1">
      <c r="B41" s="80">
        <v>7149</v>
      </c>
      <c r="C41" s="100" t="str">
        <f>IF(MasterSheet!$A$1=1,MasterSheet!C97,MasterSheet!B97)</f>
        <v>Ostale naknade</v>
      </c>
      <c r="D41" s="211">
        <v>3281157.5657288986</v>
      </c>
      <c r="E41" s="102">
        <f t="shared" si="0"/>
        <v>9.331658593164463E-2</v>
      </c>
      <c r="F41" s="211"/>
      <c r="G41" s="102">
        <f t="shared" si="1"/>
        <v>0</v>
      </c>
      <c r="BR41" s="81"/>
      <c r="BS41" s="81"/>
      <c r="BT41" s="81"/>
      <c r="BU41" s="81"/>
      <c r="BV41" s="81"/>
    </row>
    <row r="42" spans="2:75" ht="15" customHeight="1">
      <c r="B42" s="80">
        <v>715</v>
      </c>
      <c r="C42" s="94" t="str">
        <f>IF(MasterSheet!$A$1=1,MasterSheet!C98,MasterSheet!B98)</f>
        <v>Ostali prihodi</v>
      </c>
      <c r="D42" s="207">
        <v>31410770.914738216</v>
      </c>
      <c r="E42" s="98">
        <f t="shared" si="0"/>
        <v>0.89332677402013982</v>
      </c>
      <c r="F42" s="207">
        <f>SUM(F43:F46)</f>
        <v>0</v>
      </c>
      <c r="G42" s="98">
        <f t="shared" si="1"/>
        <v>0</v>
      </c>
      <c r="BR42" s="81"/>
      <c r="BS42" s="81"/>
      <c r="BT42" s="81"/>
      <c r="BU42" s="81"/>
      <c r="BV42" s="81"/>
    </row>
    <row r="43" spans="2:75" ht="15" customHeight="1">
      <c r="B43" s="80">
        <v>7151</v>
      </c>
      <c r="C43" s="100" t="str">
        <f>IF(MasterSheet!$A$1=1,MasterSheet!C99,MasterSheet!B99)</f>
        <v>Prihodi od kapitala</v>
      </c>
      <c r="D43" s="211">
        <v>5533606.7424404304</v>
      </c>
      <c r="E43" s="102">
        <f t="shared" si="0"/>
        <v>0.15737655956737298</v>
      </c>
      <c r="F43" s="211"/>
      <c r="G43" s="102">
        <f t="shared" si="1"/>
        <v>0</v>
      </c>
      <c r="BR43" s="171"/>
      <c r="BS43" s="171"/>
      <c r="BT43" s="171"/>
      <c r="BU43" s="171"/>
      <c r="BV43" s="171"/>
      <c r="BW43" s="176"/>
    </row>
    <row r="44" spans="2:75" ht="15" customHeight="1">
      <c r="B44" s="80">
        <v>7152</v>
      </c>
      <c r="C44" s="100" t="str">
        <f>IF(MasterSheet!$A$1=1,MasterSheet!C100,MasterSheet!B100)</f>
        <v>Novčane kazne i oduzete imovinske koristi</v>
      </c>
      <c r="D44" s="211">
        <v>11824073.889814863</v>
      </c>
      <c r="E44" s="102">
        <f t="shared" si="0"/>
        <v>0.33627833625719566</v>
      </c>
      <c r="F44" s="211"/>
      <c r="G44" s="102">
        <f t="shared" si="1"/>
        <v>0</v>
      </c>
      <c r="BR44" s="171"/>
      <c r="BS44" s="171"/>
      <c r="BT44" s="173"/>
      <c r="BU44" s="173"/>
      <c r="BV44" s="240"/>
      <c r="BW44" s="176"/>
    </row>
    <row r="45" spans="2:75" ht="15" customHeight="1">
      <c r="B45" s="80">
        <v>7153</v>
      </c>
      <c r="C45" s="100" t="str">
        <f>IF(MasterSheet!$A$1=1,MasterSheet!C101,MasterSheet!B101)</f>
        <v>Prihodi koje organi ostvaruju vršenjem svoje djelatnosti</v>
      </c>
      <c r="D45" s="211">
        <v>2220205.3434794326</v>
      </c>
      <c r="E45" s="102">
        <f t="shared" si="0"/>
        <v>6.3142954451402653E-2</v>
      </c>
      <c r="F45" s="211"/>
      <c r="G45" s="102">
        <f t="shared" si="1"/>
        <v>0</v>
      </c>
      <c r="BR45" s="81"/>
      <c r="BS45" s="81"/>
      <c r="BT45" s="179"/>
      <c r="BU45" s="179"/>
      <c r="BV45" s="179"/>
      <c r="BW45" s="176"/>
    </row>
    <row r="46" spans="2:75" ht="15" customHeight="1">
      <c r="B46" s="80">
        <v>7155</v>
      </c>
      <c r="C46" s="100" t="str">
        <f>IF(MasterSheet!$A$1=1,MasterSheet!C102,MasterSheet!B102)</f>
        <v>Ostali prihodi</v>
      </c>
      <c r="D46" s="211">
        <v>11832884.939003492</v>
      </c>
      <c r="E46" s="102">
        <f t="shared" si="0"/>
        <v>0.33652892374416871</v>
      </c>
      <c r="F46" s="211"/>
      <c r="G46" s="102">
        <f t="shared" si="1"/>
        <v>0</v>
      </c>
      <c r="BQ46" s="106"/>
      <c r="BR46" s="106"/>
      <c r="BS46" s="103"/>
      <c r="BT46" s="179"/>
      <c r="BU46" s="179"/>
      <c r="BV46" s="179"/>
      <c r="BW46" s="176"/>
    </row>
    <row r="47" spans="2:75">
      <c r="B47" s="80">
        <v>73</v>
      </c>
      <c r="C47" s="111" t="str">
        <f>IF(MasterSheet!$A$1=1,MasterSheet!C103,MasterSheet!B103)</f>
        <v>Primici od otplate kredita i sredstva prenijeta iz prethodne godine</v>
      </c>
      <c r="D47" s="207">
        <v>7046262.4871663069</v>
      </c>
      <c r="E47" s="98">
        <f t="shared" si="0"/>
        <v>0.20039670320876826</v>
      </c>
      <c r="F47" s="207"/>
      <c r="G47" s="98">
        <f t="shared" si="1"/>
        <v>0</v>
      </c>
      <c r="BQ47" s="106"/>
      <c r="BR47" s="106"/>
      <c r="BS47" s="103"/>
      <c r="BT47" s="179"/>
      <c r="BU47" s="179"/>
      <c r="BV47" s="179"/>
      <c r="BW47" s="176"/>
    </row>
    <row r="48" spans="2:75" ht="13.5" customHeight="1" thickBot="1">
      <c r="B48" s="80">
        <v>74</v>
      </c>
      <c r="C48" s="94" t="s">
        <v>123</v>
      </c>
      <c r="D48" s="207">
        <v>8000000</v>
      </c>
      <c r="E48" s="98">
        <f>D48/D$11*100</f>
        <v>0.22752113316670824</v>
      </c>
      <c r="F48" s="207"/>
      <c r="G48" s="98">
        <f>F48/F$11*100</f>
        <v>0</v>
      </c>
      <c r="BR48" s="225"/>
      <c r="BS48" s="225"/>
      <c r="BT48" s="179"/>
      <c r="BU48" s="179"/>
      <c r="BV48" s="179"/>
      <c r="BW48" s="176"/>
    </row>
    <row r="49" spans="1:75" ht="15" customHeight="1" thickTop="1" thickBot="1">
      <c r="B49" s="112"/>
      <c r="C49" s="90" t="str">
        <f>IF(MasterSheet!$A$1=1,MasterSheet!C104,MasterSheet!B104)</f>
        <v>Izdaci</v>
      </c>
      <c r="D49" s="91">
        <f>+D51+D62+D68+SUM(D71:D75)</f>
        <v>1337605069.8199997</v>
      </c>
      <c r="E49" s="92">
        <f t="shared" ref="E49:E64" si="2">D49/D$11*100</f>
        <v>38.041677651872526</v>
      </c>
      <c r="F49" s="91">
        <f>+F51+F62+F68+SUM(F71:F75)</f>
        <v>0</v>
      </c>
      <c r="G49" s="92">
        <f t="shared" ref="G49:G87" si="3">F49/F$11*100</f>
        <v>0</v>
      </c>
      <c r="BR49" s="81"/>
      <c r="BS49" s="81"/>
      <c r="BT49" s="179"/>
      <c r="BU49" s="179"/>
      <c r="BV49" s="179"/>
      <c r="BW49" s="176"/>
    </row>
    <row r="50" spans="1:75" ht="13.5" customHeight="1" thickTop="1" thickBot="1">
      <c r="C50" s="90" t="str">
        <f>IF(MasterSheet!$A$1=1,MasterSheet!C105,MasterSheet!B105)</f>
        <v>Tekuća budžetska potrošnja</v>
      </c>
      <c r="D50" s="91">
        <f>+D49-D71</f>
        <v>1235784569.8199997</v>
      </c>
      <c r="E50" s="92">
        <f t="shared" si="2"/>
        <v>35.145888209422424</v>
      </c>
      <c r="F50" s="91">
        <f>+F49-F71</f>
        <v>0</v>
      </c>
      <c r="G50" s="92">
        <f t="shared" si="3"/>
        <v>0</v>
      </c>
      <c r="BR50" s="225"/>
      <c r="BS50" s="225"/>
      <c r="BT50" s="179"/>
      <c r="BU50" s="179"/>
      <c r="BV50" s="179"/>
      <c r="BW50" s="176"/>
    </row>
    <row r="51" spans="1:75" ht="13.5" customHeight="1" thickTop="1">
      <c r="A51" s="80">
        <v>41</v>
      </c>
      <c r="C51" s="94" t="s">
        <v>63</v>
      </c>
      <c r="D51" s="95">
        <f>+SUM(D52:D61)</f>
        <v>625526473.45999992</v>
      </c>
      <c r="E51" s="98">
        <f t="shared" si="2"/>
        <v>17.790061508424255</v>
      </c>
      <c r="F51" s="95">
        <f>+SUM(F52:F61)</f>
        <v>0</v>
      </c>
      <c r="G51" s="98">
        <f t="shared" si="3"/>
        <v>0</v>
      </c>
      <c r="BR51" s="225"/>
      <c r="BS51" s="225"/>
      <c r="BT51" s="179"/>
      <c r="BU51" s="179"/>
      <c r="BV51" s="179"/>
      <c r="BW51" s="176"/>
    </row>
    <row r="52" spans="1:75" ht="13.5" customHeight="1">
      <c r="B52" s="80">
        <v>411</v>
      </c>
      <c r="C52" s="94" t="s">
        <v>64</v>
      </c>
      <c r="D52" s="207">
        <v>386488693.71999997</v>
      </c>
      <c r="E52" s="98">
        <f t="shared" si="2"/>
        <v>10.991793193911903</v>
      </c>
      <c r="F52" s="207"/>
      <c r="G52" s="98">
        <f t="shared" si="3"/>
        <v>0</v>
      </c>
      <c r="J52" s="112" t="e">
        <f>+'Cental Budget'!#REF!-'Cental Budget - kons II'!#REF!</f>
        <v>#REF!</v>
      </c>
      <c r="K52" s="112" t="e">
        <f>+'Cental Budget'!#REF!-'Cental Budget - kons II'!#REF!</f>
        <v>#REF!</v>
      </c>
      <c r="BR52" s="225"/>
      <c r="BS52" s="225"/>
      <c r="BT52" s="179"/>
      <c r="BU52" s="179"/>
      <c r="BV52" s="179"/>
      <c r="BW52" s="176"/>
    </row>
    <row r="53" spans="1:75" ht="13.5" customHeight="1">
      <c r="B53" s="80">
        <v>412</v>
      </c>
      <c r="C53" s="94" t="s">
        <v>75</v>
      </c>
      <c r="D53" s="207">
        <v>11478163.960000001</v>
      </c>
      <c r="E53" s="98">
        <f t="shared" si="2"/>
        <v>0.3264406088565589</v>
      </c>
      <c r="F53" s="207"/>
      <c r="G53" s="98">
        <f t="shared" si="3"/>
        <v>0</v>
      </c>
      <c r="J53" s="106"/>
      <c r="BR53" s="225"/>
      <c r="BS53" s="225"/>
      <c r="BT53" s="179"/>
      <c r="BU53" s="179"/>
      <c r="BV53" s="179"/>
      <c r="BW53" s="176"/>
    </row>
    <row r="54" spans="1:75" ht="13.5" customHeight="1">
      <c r="B54" s="80">
        <v>413</v>
      </c>
      <c r="C54" s="94" t="s">
        <v>448</v>
      </c>
      <c r="D54" s="207">
        <v>29295302.830000002</v>
      </c>
      <c r="E54" s="98">
        <f t="shared" si="2"/>
        <v>0.83316256204293437</v>
      </c>
      <c r="F54" s="207"/>
      <c r="G54" s="98">
        <f t="shared" si="3"/>
        <v>0</v>
      </c>
      <c r="BR54" s="225"/>
      <c r="BS54" s="225"/>
      <c r="BT54" s="179"/>
      <c r="BU54" s="179"/>
      <c r="BV54" s="179"/>
      <c r="BW54" s="176"/>
    </row>
    <row r="55" spans="1:75" ht="13.5" customHeight="1">
      <c r="B55" s="80">
        <v>414</v>
      </c>
      <c r="C55" s="94" t="s">
        <v>449</v>
      </c>
      <c r="D55" s="207">
        <v>40692845.799999997</v>
      </c>
      <c r="E55" s="98">
        <f t="shared" si="2"/>
        <v>1.1573102985242654</v>
      </c>
      <c r="F55" s="207"/>
      <c r="G55" s="98">
        <f t="shared" si="3"/>
        <v>0</v>
      </c>
      <c r="BR55" s="225"/>
      <c r="BS55" s="225"/>
      <c r="BT55" s="179"/>
      <c r="BU55" s="179"/>
      <c r="BV55" s="179"/>
      <c r="BW55" s="176"/>
    </row>
    <row r="56" spans="1:75" ht="13.5" customHeight="1">
      <c r="B56" s="80">
        <v>415</v>
      </c>
      <c r="C56" s="94" t="s">
        <v>450</v>
      </c>
      <c r="D56" s="207">
        <v>21655403.200000003</v>
      </c>
      <c r="E56" s="98">
        <f t="shared" si="2"/>
        <v>0.61588273440574504</v>
      </c>
      <c r="F56" s="207"/>
      <c r="G56" s="98">
        <f t="shared" si="3"/>
        <v>0</v>
      </c>
      <c r="BR56" s="225"/>
      <c r="BS56" s="225"/>
      <c r="BT56" s="179"/>
      <c r="BU56" s="179"/>
      <c r="BV56" s="179"/>
      <c r="BW56" s="176"/>
    </row>
    <row r="57" spans="1:75" ht="13.5" customHeight="1">
      <c r="B57" s="80">
        <v>416</v>
      </c>
      <c r="C57" s="94" t="s">
        <v>80</v>
      </c>
      <c r="D57" s="207">
        <v>73316123.120000005</v>
      </c>
      <c r="E57" s="98">
        <f t="shared" si="2"/>
        <v>2.0851209264565371</v>
      </c>
      <c r="F57" s="207"/>
      <c r="G57" s="98">
        <f t="shared" si="3"/>
        <v>0</v>
      </c>
      <c r="BR57" s="225"/>
      <c r="BS57" s="225"/>
      <c r="BT57" s="179"/>
      <c r="BU57" s="179"/>
      <c r="BV57" s="179"/>
      <c r="BW57" s="176"/>
    </row>
    <row r="58" spans="1:75" ht="13.5" customHeight="1">
      <c r="B58" s="80">
        <v>417</v>
      </c>
      <c r="C58" s="94" t="s">
        <v>82</v>
      </c>
      <c r="D58" s="207">
        <v>8172802.1399999997</v>
      </c>
      <c r="E58" s="98">
        <f t="shared" si="2"/>
        <v>0.23243565050501225</v>
      </c>
      <c r="F58" s="207"/>
      <c r="G58" s="98">
        <f t="shared" si="3"/>
        <v>0</v>
      </c>
      <c r="BR58" s="225"/>
      <c r="BS58" s="225"/>
      <c r="BT58" s="179"/>
      <c r="BU58" s="179"/>
      <c r="BV58" s="179"/>
      <c r="BW58" s="176"/>
    </row>
    <row r="59" spans="1:75" ht="13.5" customHeight="1">
      <c r="B59" s="80">
        <v>418</v>
      </c>
      <c r="C59" s="94" t="s">
        <v>84</v>
      </c>
      <c r="D59" s="207">
        <v>18874600</v>
      </c>
      <c r="E59" s="98">
        <f t="shared" si="2"/>
        <v>0.53679629750854385</v>
      </c>
      <c r="F59" s="207"/>
      <c r="G59" s="98">
        <f t="shared" si="3"/>
        <v>0</v>
      </c>
      <c r="BR59" s="225"/>
      <c r="BS59" s="225"/>
      <c r="BT59" s="179"/>
      <c r="BU59" s="179"/>
      <c r="BV59" s="179"/>
      <c r="BW59" s="176"/>
    </row>
    <row r="60" spans="1:75" ht="13.5" customHeight="1">
      <c r="B60" s="80">
        <v>419</v>
      </c>
      <c r="C60" s="94" t="s">
        <v>86</v>
      </c>
      <c r="D60" s="207">
        <v>25049575.370000001</v>
      </c>
      <c r="E60" s="98">
        <f t="shared" si="2"/>
        <v>0.71241347169090818</v>
      </c>
      <c r="F60" s="207"/>
      <c r="G60" s="98">
        <f t="shared" si="3"/>
        <v>0</v>
      </c>
      <c r="BR60" s="225"/>
      <c r="BS60" s="225"/>
      <c r="BT60" s="179"/>
      <c r="BU60" s="179"/>
      <c r="BV60" s="179"/>
      <c r="BW60" s="176"/>
    </row>
    <row r="61" spans="1:75" ht="13.5" customHeight="1">
      <c r="B61" s="80">
        <v>441</v>
      </c>
      <c r="C61" s="94" t="s">
        <v>130</v>
      </c>
      <c r="D61" s="207">
        <v>10502963.32</v>
      </c>
      <c r="E61" s="222">
        <f t="shared" si="2"/>
        <v>0.2987057645218465</v>
      </c>
      <c r="F61" s="207"/>
      <c r="G61" s="222">
        <f t="shared" si="3"/>
        <v>0</v>
      </c>
      <c r="BR61" s="225"/>
      <c r="BS61" s="225"/>
      <c r="BT61" s="179"/>
      <c r="BU61" s="179"/>
      <c r="BV61" s="179"/>
      <c r="BW61" s="176"/>
    </row>
    <row r="62" spans="1:75" ht="13.5" customHeight="1">
      <c r="A62" s="80">
        <v>42</v>
      </c>
      <c r="B62" s="80" t="s">
        <v>447</v>
      </c>
      <c r="C62" s="94" t="s">
        <v>87</v>
      </c>
      <c r="D62" s="95">
        <f>+SUM(D63:D67)</f>
        <v>498223398.96999997</v>
      </c>
      <c r="E62" s="98">
        <f t="shared" si="2"/>
        <v>14.169544037977921</v>
      </c>
      <c r="F62" s="95">
        <f>+SUM(F63:F67)</f>
        <v>0</v>
      </c>
      <c r="G62" s="98">
        <f t="shared" si="3"/>
        <v>0</v>
      </c>
      <c r="BR62" s="225"/>
      <c r="BS62" s="225"/>
      <c r="BT62" s="179"/>
      <c r="BU62" s="179"/>
      <c r="BV62" s="179"/>
      <c r="BW62" s="176"/>
    </row>
    <row r="63" spans="1:75" ht="13.5" customHeight="1">
      <c r="B63" s="80">
        <v>421</v>
      </c>
      <c r="C63" s="100" t="s">
        <v>89</v>
      </c>
      <c r="D63" s="211">
        <v>58645000</v>
      </c>
      <c r="E63" s="102">
        <f t="shared" si="2"/>
        <v>1.6678721068202007</v>
      </c>
      <c r="F63" s="211"/>
      <c r="G63" s="102">
        <f t="shared" si="3"/>
        <v>0</v>
      </c>
      <c r="BR63" s="225"/>
      <c r="BS63" s="225"/>
      <c r="BT63" s="179"/>
      <c r="BU63" s="179"/>
      <c r="BV63" s="179"/>
      <c r="BW63" s="176"/>
    </row>
    <row r="64" spans="1:75" ht="13.5" customHeight="1">
      <c r="B64" s="80">
        <v>422</v>
      </c>
      <c r="C64" s="100" t="s">
        <v>91</v>
      </c>
      <c r="D64" s="211">
        <v>20758124</v>
      </c>
      <c r="E64" s="102">
        <f t="shared" si="2"/>
        <v>0.59036398686188019</v>
      </c>
      <c r="F64" s="211"/>
      <c r="G64" s="102">
        <f t="shared" si="3"/>
        <v>0</v>
      </c>
      <c r="BR64" s="225"/>
      <c r="BS64" s="225"/>
      <c r="BT64" s="179"/>
      <c r="BU64" s="179"/>
      <c r="BV64" s="179"/>
      <c r="BW64" s="176"/>
    </row>
    <row r="65" spans="1:75" ht="13.5" customHeight="1">
      <c r="B65" s="80">
        <v>423</v>
      </c>
      <c r="C65" s="100" t="s">
        <v>93</v>
      </c>
      <c r="D65" s="211">
        <v>397320274.96999997</v>
      </c>
      <c r="E65" s="102">
        <f t="shared" ref="E65:E87" si="4">D65/D$11*100</f>
        <v>11.299844898910312</v>
      </c>
      <c r="F65" s="211"/>
      <c r="G65" s="102">
        <f t="shared" si="3"/>
        <v>0</v>
      </c>
      <c r="BR65" s="225"/>
      <c r="BS65" s="225"/>
      <c r="BT65" s="179"/>
      <c r="BU65" s="179"/>
      <c r="BV65" s="179"/>
      <c r="BW65" s="176"/>
    </row>
    <row r="66" spans="1:75" ht="13.5" customHeight="1">
      <c r="B66" s="80">
        <v>424</v>
      </c>
      <c r="C66" s="100" t="s">
        <v>95</v>
      </c>
      <c r="D66" s="211">
        <v>14500000</v>
      </c>
      <c r="E66" s="102">
        <f t="shared" si="4"/>
        <v>0.4123820538646587</v>
      </c>
      <c r="F66" s="211"/>
      <c r="G66" s="102">
        <f t="shared" si="3"/>
        <v>0</v>
      </c>
      <c r="BR66" s="225"/>
      <c r="BS66" s="225"/>
      <c r="BT66" s="179"/>
      <c r="BU66" s="179"/>
      <c r="BV66" s="179"/>
      <c r="BW66" s="176"/>
    </row>
    <row r="67" spans="1:75" ht="13.5" customHeight="1">
      <c r="B67" s="80">
        <v>425</v>
      </c>
      <c r="C67" s="100" t="s">
        <v>451</v>
      </c>
      <c r="D67" s="211">
        <v>7000000</v>
      </c>
      <c r="E67" s="102">
        <f t="shared" si="4"/>
        <v>0.19908099152086972</v>
      </c>
      <c r="F67" s="211"/>
      <c r="G67" s="102">
        <f t="shared" si="3"/>
        <v>0</v>
      </c>
      <c r="BR67" s="225"/>
      <c r="BS67" s="225"/>
      <c r="BT67" s="179"/>
      <c r="BU67" s="179"/>
      <c r="BV67" s="179"/>
      <c r="BW67" s="176"/>
    </row>
    <row r="68" spans="1:75" ht="13.5" customHeight="1">
      <c r="A68" s="80">
        <v>43</v>
      </c>
      <c r="C68" s="94" t="s">
        <v>452</v>
      </c>
      <c r="D68" s="95">
        <f>+SUM(D69:D70)</f>
        <v>101040047.61999999</v>
      </c>
      <c r="E68" s="98">
        <f t="shared" si="4"/>
        <v>2.8735932662150696</v>
      </c>
      <c r="F68" s="95">
        <f>+SUM(F69:F70)</f>
        <v>0</v>
      </c>
      <c r="G68" s="98">
        <f t="shared" si="3"/>
        <v>0</v>
      </c>
      <c r="BR68" s="225"/>
      <c r="BS68" s="225"/>
      <c r="BT68" s="179"/>
      <c r="BU68" s="179"/>
      <c r="BV68" s="179"/>
      <c r="BW68" s="176"/>
    </row>
    <row r="69" spans="1:75" ht="13.5" customHeight="1">
      <c r="A69" s="80" t="s">
        <v>447</v>
      </c>
      <c r="B69" s="80">
        <v>431</v>
      </c>
      <c r="C69" s="100" t="s">
        <v>452</v>
      </c>
      <c r="D69" s="211">
        <v>101040047.61999999</v>
      </c>
      <c r="E69" s="102">
        <f t="shared" si="4"/>
        <v>2.8735932662150696</v>
      </c>
      <c r="F69" s="211"/>
      <c r="G69" s="102">
        <f t="shared" si="3"/>
        <v>0</v>
      </c>
      <c r="BR69" s="225"/>
      <c r="BS69" s="225"/>
      <c r="BT69" s="179"/>
      <c r="BU69" s="179"/>
      <c r="BV69" s="179"/>
      <c r="BW69" s="176"/>
    </row>
    <row r="70" spans="1:75" ht="13.5" customHeight="1" thickBot="1">
      <c r="A70" s="80" t="s">
        <v>447</v>
      </c>
      <c r="B70" s="80">
        <v>432</v>
      </c>
      <c r="C70" s="100" t="s">
        <v>453</v>
      </c>
      <c r="D70" s="211"/>
      <c r="E70" s="102">
        <f t="shared" si="4"/>
        <v>0</v>
      </c>
      <c r="F70" s="211"/>
      <c r="G70" s="102">
        <f t="shared" si="3"/>
        <v>0</v>
      </c>
      <c r="BR70" s="225"/>
      <c r="BS70" s="225"/>
      <c r="BT70" s="179"/>
      <c r="BU70" s="179"/>
      <c r="BV70" s="179"/>
      <c r="BW70" s="176"/>
    </row>
    <row r="71" spans="1:75" ht="13.5" customHeight="1" thickTop="1" thickBot="1">
      <c r="B71" s="80">
        <v>44</v>
      </c>
      <c r="C71" s="90" t="s">
        <v>131</v>
      </c>
      <c r="D71" s="226">
        <v>101820500</v>
      </c>
      <c r="E71" s="92">
        <f t="shared" si="4"/>
        <v>2.8957894424501021</v>
      </c>
      <c r="F71" s="226"/>
      <c r="G71" s="92">
        <f t="shared" si="3"/>
        <v>0</v>
      </c>
      <c r="BR71" s="225"/>
      <c r="BS71" s="225"/>
      <c r="BT71" s="179"/>
      <c r="BU71" s="179"/>
      <c r="BV71" s="179"/>
      <c r="BW71" s="176"/>
    </row>
    <row r="72" spans="1:75" ht="13.5" customHeight="1" thickTop="1">
      <c r="B72" s="80">
        <v>451</v>
      </c>
      <c r="C72" s="94" t="s">
        <v>111</v>
      </c>
      <c r="D72" s="207">
        <v>2140000</v>
      </c>
      <c r="E72" s="98">
        <f t="shared" si="4"/>
        <v>6.0861903122094448E-2</v>
      </c>
      <c r="F72" s="207"/>
      <c r="G72" s="98">
        <f t="shared" si="3"/>
        <v>0</v>
      </c>
      <c r="BR72" s="225"/>
      <c r="BS72" s="225"/>
      <c r="BT72" s="179"/>
      <c r="BU72" s="179"/>
      <c r="BV72" s="179"/>
      <c r="BW72" s="176"/>
    </row>
    <row r="73" spans="1:75" ht="13.5" customHeight="1" thickBot="1">
      <c r="B73" s="80">
        <v>47</v>
      </c>
      <c r="C73" s="94" t="s">
        <v>118</v>
      </c>
      <c r="D73" s="207">
        <v>8854649.7699999996</v>
      </c>
      <c r="E73" s="98">
        <f t="shared" si="4"/>
        <v>0.25182749368309154</v>
      </c>
      <c r="F73" s="207"/>
      <c r="G73" s="98">
        <f t="shared" si="3"/>
        <v>0</v>
      </c>
      <c r="BR73" s="225"/>
      <c r="BS73" s="225"/>
      <c r="BT73" s="179"/>
      <c r="BU73" s="179"/>
      <c r="BV73" s="179"/>
      <c r="BW73" s="176"/>
    </row>
    <row r="74" spans="1:75" ht="13.5" customHeight="1" thickTop="1" thickBot="1">
      <c r="B74" s="80">
        <v>462</v>
      </c>
      <c r="C74" s="192" t="s">
        <v>113</v>
      </c>
      <c r="D74" s="227">
        <v>0</v>
      </c>
      <c r="E74" s="194">
        <f t="shared" si="4"/>
        <v>0</v>
      </c>
      <c r="F74" s="227"/>
      <c r="G74" s="194">
        <f t="shared" si="3"/>
        <v>0</v>
      </c>
      <c r="BR74" s="225"/>
      <c r="BS74" s="225"/>
      <c r="BT74" s="179"/>
      <c r="BU74" s="179"/>
      <c r="BV74" s="179"/>
      <c r="BW74" s="176"/>
    </row>
    <row r="75" spans="1:75" ht="13.5" customHeight="1" thickTop="1" thickBot="1">
      <c r="B75" s="80">
        <v>990</v>
      </c>
      <c r="C75" s="191" t="s">
        <v>152</v>
      </c>
      <c r="D75" s="207">
        <v>0</v>
      </c>
      <c r="E75" s="98">
        <f t="shared" si="4"/>
        <v>0</v>
      </c>
      <c r="F75" s="207">
        <v>0</v>
      </c>
      <c r="G75" s="98">
        <f t="shared" si="3"/>
        <v>0</v>
      </c>
      <c r="BR75" s="225"/>
      <c r="BS75" s="225"/>
      <c r="BT75" s="179"/>
      <c r="BU75" s="179"/>
      <c r="BV75" s="179"/>
      <c r="BW75" s="176"/>
    </row>
    <row r="76" spans="1:75" ht="13.5" customHeight="1" thickTop="1" thickBot="1">
      <c r="C76" s="90" t="s">
        <v>132</v>
      </c>
      <c r="D76" s="91">
        <f>+D16-D49</f>
        <v>-61548670.382829428</v>
      </c>
      <c r="E76" s="92">
        <f t="shared" si="4"/>
        <v>-1.7504529038006957</v>
      </c>
      <c r="F76" s="91">
        <f>+F16-F49</f>
        <v>0</v>
      </c>
      <c r="G76" s="92">
        <f t="shared" si="3"/>
        <v>0</v>
      </c>
      <c r="BR76" s="225"/>
      <c r="BS76" s="225"/>
      <c r="BT76" s="179"/>
      <c r="BU76" s="179"/>
      <c r="BV76" s="179"/>
      <c r="BW76" s="176"/>
    </row>
    <row r="77" spans="1:75" ht="13.5" customHeight="1" thickTop="1" thickBot="1">
      <c r="C77" s="90" t="s">
        <v>133</v>
      </c>
      <c r="D77" s="91">
        <f>+D76+D57</f>
        <v>11767452.737170577</v>
      </c>
      <c r="E77" s="92">
        <f t="shared" si="4"/>
        <v>0.3346680226558415</v>
      </c>
      <c r="F77" s="91">
        <f>+F76+F57</f>
        <v>0</v>
      </c>
      <c r="G77" s="92">
        <f t="shared" si="3"/>
        <v>0</v>
      </c>
      <c r="BR77" s="225"/>
      <c r="BS77" s="225"/>
      <c r="BT77" s="179"/>
      <c r="BU77" s="179"/>
      <c r="BV77" s="179"/>
      <c r="BW77" s="176"/>
    </row>
    <row r="78" spans="1:75" ht="13.5" customHeight="1" thickTop="1" thickBot="1">
      <c r="C78" s="90" t="s">
        <v>0</v>
      </c>
      <c r="D78" s="91">
        <f>+SUM(D79:D81)</f>
        <v>171426905.49000001</v>
      </c>
      <c r="E78" s="92">
        <f t="shared" si="4"/>
        <v>4.875405474043375</v>
      </c>
      <c r="F78" s="91">
        <f>+SUM(F79:F81)</f>
        <v>0</v>
      </c>
      <c r="G78" s="92">
        <f t="shared" si="3"/>
        <v>0</v>
      </c>
      <c r="BR78" s="225"/>
      <c r="BS78" s="225"/>
      <c r="BT78" s="179"/>
      <c r="BU78" s="179"/>
      <c r="BV78" s="179"/>
      <c r="BW78" s="176"/>
    </row>
    <row r="79" spans="1:75" ht="13.5" customHeight="1" thickTop="1">
      <c r="B79" s="80">
        <v>4611</v>
      </c>
      <c r="C79" s="100" t="s">
        <v>135</v>
      </c>
      <c r="D79" s="211">
        <v>30008345.27</v>
      </c>
      <c r="E79" s="102">
        <f t="shared" si="4"/>
        <v>0.8534415900360286</v>
      </c>
      <c r="F79" s="211"/>
      <c r="G79" s="102">
        <f t="shared" si="3"/>
        <v>0</v>
      </c>
      <c r="BR79" s="225"/>
      <c r="BS79" s="225"/>
      <c r="BT79" s="179"/>
      <c r="BU79" s="179"/>
      <c r="BV79" s="179"/>
      <c r="BW79" s="176"/>
    </row>
    <row r="80" spans="1:75" ht="13.5" customHeight="1">
      <c r="B80" s="80">
        <v>4612</v>
      </c>
      <c r="C80" s="100" t="s">
        <v>137</v>
      </c>
      <c r="D80" s="211">
        <v>108080400.25</v>
      </c>
      <c r="E80" s="102">
        <f t="shared" si="4"/>
        <v>3.073821892248922</v>
      </c>
      <c r="F80" s="211"/>
      <c r="G80" s="102">
        <f t="shared" si="3"/>
        <v>0</v>
      </c>
      <c r="BR80" s="225"/>
      <c r="BS80" s="225"/>
      <c r="BT80" s="179"/>
      <c r="BU80" s="179"/>
      <c r="BV80" s="179"/>
      <c r="BW80" s="176"/>
    </row>
    <row r="81" spans="2:75" ht="13.5" customHeight="1" thickBot="1">
      <c r="B81" s="80">
        <v>4630</v>
      </c>
      <c r="C81" s="100" t="s">
        <v>116</v>
      </c>
      <c r="D81" s="211">
        <v>33338159.969999999</v>
      </c>
      <c r="E81" s="102">
        <f t="shared" si="4"/>
        <v>0.94814199175842395</v>
      </c>
      <c r="F81" s="211"/>
      <c r="G81" s="102">
        <f t="shared" si="3"/>
        <v>0</v>
      </c>
      <c r="BR81" s="225"/>
      <c r="BS81" s="225"/>
      <c r="BT81" s="179"/>
      <c r="BU81" s="179"/>
      <c r="BV81" s="179"/>
      <c r="BW81" s="176"/>
    </row>
    <row r="82" spans="2:75" ht="13.5" customHeight="1" thickTop="1" thickBot="1">
      <c r="C82" s="90" t="s">
        <v>141</v>
      </c>
      <c r="D82" s="91">
        <f>+D76-D78</f>
        <v>-232975575.87282944</v>
      </c>
      <c r="E82" s="92">
        <f t="shared" si="4"/>
        <v>-6.6258583778440707</v>
      </c>
      <c r="F82" s="91">
        <f>+F76-F78</f>
        <v>0</v>
      </c>
      <c r="G82" s="92">
        <f t="shared" si="3"/>
        <v>0</v>
      </c>
      <c r="BR82" s="225"/>
      <c r="BS82" s="225"/>
      <c r="BT82" s="179"/>
      <c r="BU82" s="179"/>
      <c r="BV82" s="179"/>
      <c r="BW82" s="176"/>
    </row>
    <row r="83" spans="2:75" ht="13.5" customHeight="1" thickTop="1" thickBot="1">
      <c r="C83" s="90" t="s">
        <v>121</v>
      </c>
      <c r="D83" s="91">
        <f>+SUM(D84:D87)</f>
        <v>232975575.87282944</v>
      </c>
      <c r="E83" s="92">
        <f t="shared" si="4"/>
        <v>6.6258583778440707</v>
      </c>
      <c r="F83" s="91">
        <f>+SUM(F84:F87)</f>
        <v>0</v>
      </c>
      <c r="G83" s="92">
        <f t="shared" si="3"/>
        <v>0</v>
      </c>
      <c r="BR83" s="225"/>
      <c r="BS83" s="225"/>
      <c r="BT83" s="179"/>
      <c r="BU83" s="179"/>
      <c r="BV83" s="179"/>
      <c r="BW83" s="176"/>
    </row>
    <row r="84" spans="2:75" ht="13.5" customHeight="1" thickTop="1">
      <c r="B84" s="80">
        <v>7511</v>
      </c>
      <c r="C84" s="100" t="s">
        <v>144</v>
      </c>
      <c r="D84" s="211">
        <v>0</v>
      </c>
      <c r="E84" s="102">
        <f t="shared" si="4"/>
        <v>0</v>
      </c>
      <c r="F84" s="211"/>
      <c r="G84" s="102">
        <f t="shared" si="3"/>
        <v>0</v>
      </c>
      <c r="BR84" s="225"/>
      <c r="BS84" s="225"/>
      <c r="BT84" s="179"/>
      <c r="BU84" s="179"/>
      <c r="BV84" s="179"/>
      <c r="BW84" s="176"/>
    </row>
    <row r="85" spans="2:75" ht="13.5" customHeight="1">
      <c r="B85" s="80">
        <v>7512</v>
      </c>
      <c r="C85" s="100" t="s">
        <v>122</v>
      </c>
      <c r="D85" s="211">
        <v>227975575.86282945</v>
      </c>
      <c r="E85" s="102">
        <f t="shared" si="4"/>
        <v>6.4836576693304764</v>
      </c>
      <c r="F85" s="211"/>
      <c r="G85" s="102">
        <f t="shared" si="3"/>
        <v>0</v>
      </c>
      <c r="BR85" s="225"/>
      <c r="BS85" s="225"/>
      <c r="BT85" s="179"/>
      <c r="BU85" s="179"/>
      <c r="BV85" s="179"/>
      <c r="BW85" s="176"/>
    </row>
    <row r="86" spans="2:75" ht="13.5" customHeight="1" thickBot="1">
      <c r="B86" s="80">
        <v>72</v>
      </c>
      <c r="C86" s="114" t="s">
        <v>329</v>
      </c>
      <c r="D86" s="211">
        <v>5000000</v>
      </c>
      <c r="E86" s="116">
        <f t="shared" si="4"/>
        <v>0.14220070822919265</v>
      </c>
      <c r="F86" s="211"/>
      <c r="G86" s="116">
        <f t="shared" si="3"/>
        <v>0</v>
      </c>
      <c r="BR86" s="225"/>
      <c r="BS86" s="225"/>
      <c r="BT86" s="179"/>
      <c r="BU86" s="179"/>
      <c r="BV86" s="179"/>
      <c r="BW86" s="176"/>
    </row>
    <row r="87" spans="2:75" ht="13.5" customHeight="1" thickTop="1" thickBot="1">
      <c r="C87" s="192" t="s">
        <v>125</v>
      </c>
      <c r="D87" s="193">
        <f>-D82-SUM(D84:D86)</f>
        <v>9.9999904632568359E-3</v>
      </c>
      <c r="E87" s="194">
        <f t="shared" si="4"/>
        <v>2.8440114523205885E-10</v>
      </c>
      <c r="F87" s="193">
        <f>-F82-SUM(F84:F86)</f>
        <v>0</v>
      </c>
      <c r="G87" s="194">
        <f t="shared" si="3"/>
        <v>0</v>
      </c>
      <c r="BR87" s="225"/>
      <c r="BS87" s="225"/>
      <c r="BT87" s="179"/>
      <c r="BU87" s="179"/>
      <c r="BV87" s="179"/>
      <c r="BW87" s="176"/>
    </row>
    <row r="88" spans="2:75" s="273" customFormat="1" ht="13.5" thickTop="1">
      <c r="C88" s="274" t="str">
        <f>IF([2]MasterSheet!$A$1=1,[2]MasterSheet!C151,[2]MasterSheet!B151)</f>
        <v>Izvor: Ministarstvo finansija Crne Gore</v>
      </c>
      <c r="D88" s="277">
        <f>D77+D48</f>
        <v>19767452.737170577</v>
      </c>
      <c r="F88" s="277">
        <f>F77+F48</f>
        <v>0</v>
      </c>
    </row>
    <row r="89" spans="2:75" s="273" customFormat="1">
      <c r="C89" s="279"/>
      <c r="D89" s="282"/>
      <c r="E89" s="281"/>
      <c r="F89" s="282"/>
      <c r="G89" s="283"/>
    </row>
    <row r="90" spans="2:75" s="273" customFormat="1">
      <c r="D90" s="277">
        <f>+D16-D48-D75</f>
        <v>1268056399.4371703</v>
      </c>
      <c r="F90" s="277">
        <f>+F16-F48-F75</f>
        <v>0</v>
      </c>
    </row>
    <row r="91" spans="2:75" s="273" customFormat="1"/>
    <row r="92" spans="2:75" s="273" customFormat="1">
      <c r="C92" s="287"/>
    </row>
    <row r="93" spans="2:75" s="273" customFormat="1">
      <c r="C93" s="288" t="s">
        <v>475</v>
      </c>
      <c r="D93" s="282">
        <f>D85+D84-D78</f>
        <v>56548670.372829437</v>
      </c>
      <c r="E93" s="281"/>
      <c r="F93" s="282">
        <f>F85+F84-F78</f>
        <v>0</v>
      </c>
      <c r="G93" s="283"/>
    </row>
    <row r="94" spans="2:75" s="273" customFormat="1">
      <c r="C94" s="288" t="s">
        <v>462</v>
      </c>
      <c r="D94" s="282">
        <v>20000000</v>
      </c>
      <c r="E94" s="281"/>
      <c r="F94" s="282">
        <v>20000000</v>
      </c>
      <c r="G94" s="283"/>
    </row>
    <row r="95" spans="2:75" s="273" customFormat="1">
      <c r="C95" s="290" t="s">
        <v>463</v>
      </c>
      <c r="D95" s="282">
        <f>240000000+D94-(D85+D84)</f>
        <v>32024424.137170553</v>
      </c>
      <c r="E95" s="281"/>
      <c r="F95" s="282">
        <f>240000000+F94-(F85+F84)</f>
        <v>260000000</v>
      </c>
      <c r="G95" s="283"/>
    </row>
    <row r="96" spans="2:75" s="273" customFormat="1" ht="13.5" thickBot="1">
      <c r="C96" s="288"/>
      <c r="D96" s="291"/>
      <c r="E96" s="281"/>
      <c r="F96" s="291"/>
      <c r="G96" s="281"/>
    </row>
    <row r="97" spans="3:8" s="273" customFormat="1" ht="13.5" thickBot="1">
      <c r="C97" s="288" t="s">
        <v>464</v>
      </c>
      <c r="D97" s="292">
        <f>D93+D94+D95</f>
        <v>108573094.50999999</v>
      </c>
      <c r="E97" s="281"/>
      <c r="F97" s="292">
        <f>F93+F94+F95</f>
        <v>280000000</v>
      </c>
      <c r="G97" s="283">
        <f>F97/F$11*100</f>
        <v>7.9632396608347884</v>
      </c>
    </row>
    <row r="98" spans="3:8" s="273" customFormat="1">
      <c r="C98" s="288"/>
      <c r="D98" s="293"/>
      <c r="E98" s="281"/>
      <c r="F98" s="293"/>
      <c r="G98" s="281"/>
    </row>
    <row r="99" spans="3:8" s="273" customFormat="1">
      <c r="C99" s="288"/>
      <c r="D99" s="281"/>
      <c r="E99" s="281"/>
      <c r="F99" s="281"/>
      <c r="G99" s="281"/>
    </row>
    <row r="100" spans="3:8" s="273" customFormat="1">
      <c r="C100" s="288" t="s">
        <v>465</v>
      </c>
      <c r="D100" s="282"/>
      <c r="E100" s="281"/>
      <c r="F100" s="282"/>
      <c r="G100" s="283"/>
      <c r="H100" s="273">
        <v>2018</v>
      </c>
    </row>
    <row r="101" spans="3:8" s="273" customFormat="1" ht="13.5" thickBot="1">
      <c r="C101" s="294"/>
    </row>
    <row r="102" spans="3:8" s="273" customFormat="1" ht="13.5" thickBot="1">
      <c r="C102" s="288" t="s">
        <v>466</v>
      </c>
      <c r="D102" s="292">
        <f>D97+D100</f>
        <v>108573094.50999999</v>
      </c>
      <c r="E102" s="281"/>
      <c r="F102" s="292">
        <f>F97+F100</f>
        <v>280000000</v>
      </c>
      <c r="G102" s="283">
        <f>F102/F$11*100</f>
        <v>7.9632396608347884</v>
      </c>
      <c r="H102" s="273">
        <v>62</v>
      </c>
    </row>
    <row r="103" spans="3:8" s="273" customFormat="1" ht="13.5" thickBot="1"/>
    <row r="104" spans="3:8" s="295" customFormat="1" ht="13.5" thickBot="1">
      <c r="C104" s="296" t="s">
        <v>476</v>
      </c>
      <c r="D104" s="299" t="e">
        <f>#REF!+D102</f>
        <v>#REF!</v>
      </c>
      <c r="E104" s="297"/>
      <c r="F104" s="299" t="e">
        <f>#REF!+F102</f>
        <v>#REF!</v>
      </c>
      <c r="G104" s="300" t="e">
        <f>F104/F$11*100</f>
        <v>#REF!</v>
      </c>
    </row>
    <row r="106" spans="3:8" ht="13.5" thickBot="1"/>
    <row r="107" spans="3:8" ht="13.5" thickBot="1">
      <c r="C107" s="223">
        <v>166553072.60000002</v>
      </c>
    </row>
    <row r="108" spans="3:8" ht="13.5" thickBot="1">
      <c r="C108" s="223">
        <v>442860948.83999997</v>
      </c>
    </row>
    <row r="109" spans="3:8" ht="13.5" thickBot="1">
      <c r="C109" s="223">
        <v>405003981.30000001</v>
      </c>
    </row>
    <row r="110" spans="3:8" ht="13.5" thickBot="1">
      <c r="C110" s="223">
        <v>173837481.49000001</v>
      </c>
    </row>
  </sheetData>
  <sheetProtection formatCells="0" formatColumns="0" formatRows="0" sort="0" autoFilter="0"/>
  <mergeCells count="5">
    <mergeCell ref="D11:E11"/>
    <mergeCell ref="F11:G11"/>
    <mergeCell ref="F14:G14"/>
    <mergeCell ref="C14:C15"/>
    <mergeCell ref="D14:E14"/>
  </mergeCells>
  <printOptions horizontalCentered="1" verticalCentered="1"/>
  <pageMargins left="0" right="0" top="0.19685039370078741" bottom="0.19685039370078741" header="0" footer="0"/>
  <pageSetup paperSize="9" scale="1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7105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1019175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C75"/>
  <sheetViews>
    <sheetView topLeftCell="A16" zoomScale="85" zoomScaleNormal="85" workbookViewId="0">
      <selection activeCell="J16" sqref="J16"/>
    </sheetView>
  </sheetViews>
  <sheetFormatPr defaultColWidth="9.28515625" defaultRowHeight="12.75"/>
  <cols>
    <col min="1" max="2" width="9.28515625" style="80" customWidth="1"/>
    <col min="3" max="3" width="55.7109375" style="80" bestFit="1" customWidth="1"/>
    <col min="4" max="4" width="10.28515625" style="80" customWidth="1"/>
    <col min="5" max="5" width="7" style="80" customWidth="1"/>
    <col min="6" max="6" width="12.28515625" style="80" customWidth="1"/>
    <col min="7" max="7" width="6" style="80" customWidth="1"/>
    <col min="8" max="8" width="6.7109375" style="80" customWidth="1"/>
    <col min="9" max="73" width="9.28515625" style="80" customWidth="1"/>
    <col min="74" max="74" width="9.28515625" style="80"/>
    <col min="75" max="75" width="15.42578125" style="80" customWidth="1"/>
    <col min="76" max="76" width="12.7109375" style="80" customWidth="1"/>
    <col min="77" max="77" width="11.7109375" style="80" customWidth="1"/>
    <col min="78" max="16384" width="9.28515625" style="80"/>
  </cols>
  <sheetData>
    <row r="1" spans="2:73" s="163" customFormat="1" ht="15" customHeight="1">
      <c r="C1" s="161"/>
      <c r="D1" s="120">
        <v>3</v>
      </c>
      <c r="E1" s="120">
        <v>4</v>
      </c>
      <c r="F1" s="120">
        <v>5</v>
      </c>
      <c r="G1" s="120">
        <v>6</v>
      </c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</row>
    <row r="2" spans="2:73" ht="15" hidden="1" customHeight="1">
      <c r="C2" s="81"/>
      <c r="D2" s="135"/>
      <c r="E2" s="145">
        <v>2014</v>
      </c>
      <c r="F2" s="146">
        <v>2017</v>
      </c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</row>
    <row r="3" spans="2:73" ht="15" hidden="1" customHeight="1">
      <c r="C3" s="81"/>
      <c r="D3" s="137"/>
      <c r="E3" s="138">
        <v>5.4037200000000007</v>
      </c>
      <c r="F3" s="139">
        <v>6.0799999999999965</v>
      </c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</row>
    <row r="4" spans="2:73" ht="15" hidden="1" customHeight="1">
      <c r="C4" s="81"/>
      <c r="D4" s="128"/>
      <c r="E4" s="125">
        <v>3.54</v>
      </c>
      <c r="F4" s="126">
        <v>4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</row>
    <row r="5" spans="2:73" ht="15" hidden="1" customHeight="1">
      <c r="C5" s="81"/>
      <c r="D5" s="141"/>
      <c r="E5" s="142">
        <v>1.8</v>
      </c>
      <c r="F5" s="157">
        <v>2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</row>
    <row r="6" spans="2:73" ht="15" hidden="1" customHeight="1">
      <c r="C6" s="81"/>
      <c r="D6" s="144"/>
      <c r="E6" s="156">
        <v>2.3E-2</v>
      </c>
      <c r="F6" s="156">
        <v>5.1999999999999998E-2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</row>
    <row r="7" spans="2:73" ht="15" hidden="1" customHeight="1">
      <c r="C7" s="81"/>
      <c r="D7" s="130"/>
      <c r="E7" s="130"/>
      <c r="F7" s="13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</row>
    <row r="8" spans="2:73" ht="15" hidden="1" customHeight="1">
      <c r="C8" s="81"/>
      <c r="D8" s="124"/>
      <c r="E8" s="147">
        <f>+F16/D16*100-100</f>
        <v>0.3295388965462962</v>
      </c>
      <c r="F8" s="153" t="e">
        <f>+#REF!/#REF!*100-100</f>
        <v>#REF!</v>
      </c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</row>
    <row r="9" spans="2:73" ht="15" hidden="1" customHeight="1">
      <c r="C9" s="81"/>
      <c r="D9" s="133"/>
      <c r="E9" s="148" t="e">
        <f>+F16/#REF!*100-100</f>
        <v>#REF!</v>
      </c>
      <c r="F9" s="154" t="e">
        <f>+#REF!/#REF!*100-100</f>
        <v>#REF!</v>
      </c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</row>
    <row r="10" spans="2:73" ht="15" customHeight="1" thickBot="1">
      <c r="C10" s="81"/>
      <c r="D10" s="82"/>
      <c r="E10" s="82"/>
      <c r="F10" s="82"/>
      <c r="G10" s="82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</row>
    <row r="11" spans="2:73" ht="18.75" customHeight="1" thickTop="1" thickBot="1">
      <c r="C11" s="242" t="str">
        <f>IF(MasterSheet!$A$1=1,MasterSheet!B67,MasterSheet!B66)</f>
        <v>BDP (u mil. €)</v>
      </c>
      <c r="D11" s="499">
        <v>3516156889.9792166</v>
      </c>
      <c r="E11" s="499"/>
      <c r="F11" s="499">
        <f>+D11</f>
        <v>3516156889.9792166</v>
      </c>
      <c r="G11" s="499"/>
      <c r="H11" s="234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</row>
    <row r="12" spans="2:73" ht="19.5" customHeight="1" thickTop="1">
      <c r="C12" s="247"/>
      <c r="D12" s="83"/>
      <c r="E12" s="83"/>
      <c r="F12" s="82"/>
      <c r="G12" s="82"/>
      <c r="H12" s="84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</row>
    <row r="13" spans="2:73" ht="17.25" customHeight="1" thickBot="1">
      <c r="B13" s="85"/>
      <c r="C13" s="248"/>
      <c r="D13" s="235"/>
      <c r="E13" s="235"/>
      <c r="F13" s="235"/>
      <c r="G13" s="235"/>
      <c r="H13" s="84"/>
      <c r="I13" s="164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</row>
    <row r="14" spans="2:73" ht="15.75" customHeight="1" thickTop="1">
      <c r="B14" s="87"/>
      <c r="C14" s="500" t="s">
        <v>235</v>
      </c>
      <c r="D14" s="502" t="s">
        <v>393</v>
      </c>
      <c r="E14" s="503"/>
      <c r="F14" s="502" t="s">
        <v>434</v>
      </c>
      <c r="G14" s="503"/>
      <c r="I14" s="103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</row>
    <row r="15" spans="2:73" ht="15" customHeight="1" thickBot="1">
      <c r="C15" s="501" t="str">
        <f>IF(MasterSheet!$A$1=1,MasterSheet!B71,MasterSheet!B70)</f>
        <v>Budžet Crne Gore</v>
      </c>
      <c r="D15" s="243" t="s">
        <v>263</v>
      </c>
      <c r="E15" s="244" t="s">
        <v>150</v>
      </c>
      <c r="F15" s="243" t="s">
        <v>263</v>
      </c>
      <c r="G15" s="244" t="s">
        <v>150</v>
      </c>
      <c r="I15" s="103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</row>
    <row r="16" spans="2:73" ht="15" customHeight="1" thickTop="1" thickBot="1">
      <c r="C16" s="251" t="str">
        <f>IF(MasterSheet!$A$1=1,MasterSheet!C72,MasterSheet!B72)</f>
        <v>Izvorni prihodi</v>
      </c>
      <c r="D16" s="249">
        <f>D17+D26+SUM(D31:D35)</f>
        <v>1520802750.2960286</v>
      </c>
      <c r="E16" s="246">
        <f t="shared" ref="E16:E74" si="0">D16/D$11*100</f>
        <v>43.25184563379986</v>
      </c>
      <c r="F16" s="249">
        <f>F17+F26+SUM(F31:F35)</f>
        <v>1525814386.898</v>
      </c>
      <c r="G16" s="246">
        <f t="shared" ref="G16:G34" si="1">F16/F$11*100</f>
        <v>43.394377288637394</v>
      </c>
      <c r="I16" s="103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</row>
    <row r="17" spans="2:78" ht="15" customHeight="1" thickTop="1">
      <c r="C17" s="94" t="str">
        <f>IF(MasterSheet!$A$1=1,MasterSheet!C73,MasterSheet!B73)</f>
        <v>Porezi</v>
      </c>
      <c r="D17" s="207">
        <f>SUM(D18:D25)</f>
        <v>945688413.00884557</v>
      </c>
      <c r="E17" s="96">
        <f t="shared" si="0"/>
        <v>26.895512418799818</v>
      </c>
      <c r="F17" s="207">
        <f>SUM(F18:F25)</f>
        <v>925573053.77799988</v>
      </c>
      <c r="G17" s="96">
        <f t="shared" si="1"/>
        <v>26.323428753017641</v>
      </c>
      <c r="I17" s="103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</row>
    <row r="18" spans="2:78" ht="15" customHeight="1">
      <c r="B18" s="80">
        <v>7111</v>
      </c>
      <c r="C18" s="100" t="str">
        <f>IF(MasterSheet!$A$1=1,MasterSheet!C74,MasterSheet!B74)</f>
        <v>Porez na dohodak fizičkih lica</v>
      </c>
      <c r="D18" s="211">
        <f>+IF(ISNUMBER(VLOOKUP($B18,'Cental Budget'!$B$16:$J$96,'Public Expenditure - kons II'!D$1,FALSE)),VLOOKUP($B18,'Cental Budget'!$B$16:$J$96,'Public Expenditure - kons II'!D$1,FALSE),0)+IF(ISNUMBER(VLOOKUP('Public Expenditure - kons II'!$B18,'Local Government'!$B$16:$I$80,'Public Expenditure - kons II'!D$1,FALSE)),VLOOKUP('Public Expenditure - kons II'!$B18,'Local Government'!$B$16:$I$80,'Public Expenditure - kons II'!D$1,FALSE),0)</f>
        <v>139926616.79695937</v>
      </c>
      <c r="E18" s="102">
        <f t="shared" si="0"/>
        <v>3.9795328017284937</v>
      </c>
      <c r="F18" s="211">
        <f>+IF(ISNUMBER(VLOOKUP($B18,'Cental Budget'!$B$16:$J$96,'Public Expenditure - kons II'!F$1,FALSE)),VLOOKUP($B18,'Cental Budget'!$B$16:$J$96,'Public Expenditure - kons II'!F$1,FALSE),0)+IF(ISNUMBER(VLOOKUP('Public Expenditure - kons II'!$B18,'Local Government'!$B$16:$I$80,'Public Expenditure - kons II'!F$1,FALSE)),VLOOKUP('Public Expenditure - kons II'!$B18,'Local Government'!$B$16:$I$80,'Public Expenditure - kons II'!F$1,FALSE),0)</f>
        <v>135727918.74999997</v>
      </c>
      <c r="G18" s="102">
        <f t="shared" si="1"/>
        <v>3.8601212345448626</v>
      </c>
      <c r="I18" s="103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</row>
    <row r="19" spans="2:78" ht="15" customHeight="1">
      <c r="B19" s="80">
        <v>7112</v>
      </c>
      <c r="C19" s="100" t="str">
        <f>IF(MasterSheet!$A$1=1,MasterSheet!C75,MasterSheet!B75)</f>
        <v>Porez na dobit pravnih lica</v>
      </c>
      <c r="D19" s="211">
        <f>+IF(ISNUMBER(VLOOKUP($B19,'Cental Budget'!$B$16:$J$96,'Public Expenditure - kons II'!D$1,FALSE)),VLOOKUP($B19,'Cental Budget'!$B$16:$J$96,'Public Expenditure - kons II'!D$1,FALSE),0)+IF(ISNUMBER(VLOOKUP('Public Expenditure - kons II'!$B19,'Local Government'!$B$16:$I$80,'Public Expenditure - kons II'!D$1,FALSE)),VLOOKUP('Public Expenditure - kons II'!$B19,'Local Government'!$B$16:$I$80,'Public Expenditure - kons II'!D$1,FALSE),0)</f>
        <v>46635558.440057509</v>
      </c>
      <c r="E19" s="102">
        <f t="shared" si="0"/>
        <v>1.3263218877680161</v>
      </c>
      <c r="F19" s="211">
        <f>+IF(ISNUMBER(VLOOKUP($B19,'Cental Budget'!$B$16:$J$96,'Public Expenditure - kons II'!F$1,FALSE)),VLOOKUP($B19,'Cental Budget'!$B$16:$J$96,'Public Expenditure - kons II'!F$1,FALSE),0)+IF(ISNUMBER(VLOOKUP('Public Expenditure - kons II'!$B19,'Local Government'!$B$16:$I$80,'Public Expenditure - kons II'!F$1,FALSE)),VLOOKUP('Public Expenditure - kons II'!$B19,'Local Government'!$B$16:$I$80,'Public Expenditure - kons II'!F$1,FALSE),0)</f>
        <v>42151728.179999992</v>
      </c>
      <c r="G19" s="102">
        <f t="shared" si="1"/>
        <v>1.1988011200560833</v>
      </c>
      <c r="I19" s="81"/>
      <c r="J19" s="171"/>
      <c r="K19" s="171"/>
      <c r="L19" s="171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3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W19" s="81"/>
    </row>
    <row r="20" spans="2:78" ht="15" customHeight="1">
      <c r="B20" s="80">
        <v>7113</v>
      </c>
      <c r="C20" s="100" t="str">
        <f>IF(MasterSheet!$A$1=1,MasterSheet!C76,MasterSheet!B76)</f>
        <v>Porez na promet nepokretnosti</v>
      </c>
      <c r="D20" s="211">
        <f>+IF(ISNUMBER(VLOOKUP($B20,'Cental Budget'!$B$16:$J$96,'Public Expenditure - kons II'!D$1,FALSE)),VLOOKUP($B20,'Cental Budget'!$B$16:$J$96,'Public Expenditure - kons II'!D$1,FALSE),0)+IF(ISNUMBER(VLOOKUP('Public Expenditure - kons II'!$B20,'Local Government'!$B$16:$I$80,'Public Expenditure - kons II'!D$1,FALSE)),VLOOKUP('Public Expenditure - kons II'!$B20,'Local Government'!$B$16:$I$80,'Public Expenditure - kons II'!D$1,FALSE),0)</f>
        <v>15955527.855144408</v>
      </c>
      <c r="E20" s="102">
        <f t="shared" si="0"/>
        <v>0.45377747223442916</v>
      </c>
      <c r="F20" s="211">
        <f>+IF(ISNUMBER(VLOOKUP($B20,'Cental Budget'!$B$16:$J$96,'Public Expenditure - kons II'!F$1,FALSE)),VLOOKUP($B20,'Cental Budget'!$B$16:$J$96,'Public Expenditure - kons II'!F$1,FALSE),0)+IF(ISNUMBER(VLOOKUP('Public Expenditure - kons II'!$B20,'Local Government'!$B$16:$I$80,'Public Expenditure - kons II'!F$1,FALSE)),VLOOKUP('Public Expenditure - kons II'!$B20,'Local Government'!$B$16:$I$80,'Public Expenditure - kons II'!F$1,FALSE),0)</f>
        <v>14563053.488000002</v>
      </c>
      <c r="G20" s="102">
        <f t="shared" si="1"/>
        <v>0.41417530399464286</v>
      </c>
      <c r="J20" s="171"/>
      <c r="K20" s="171"/>
      <c r="L20" s="171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3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3"/>
      <c r="AY20" s="173"/>
      <c r="AZ20" s="173"/>
      <c r="BA20" s="173"/>
      <c r="BB20" s="173"/>
      <c r="BC20" s="173"/>
      <c r="BD20" s="173"/>
      <c r="BE20" s="173"/>
      <c r="BF20" s="173"/>
      <c r="BG20" s="173"/>
      <c r="BH20" s="173"/>
      <c r="BI20" s="173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</row>
    <row r="21" spans="2:78" ht="15" customHeight="1">
      <c r="B21" s="80">
        <v>7114</v>
      </c>
      <c r="C21" s="100" t="str">
        <f>IF(MasterSheet!$A$1=1,MasterSheet!C77,MasterSheet!B77)</f>
        <v>Porez na dodatu vrijednost</v>
      </c>
      <c r="D21" s="211">
        <f>+IF(ISNUMBER(VLOOKUP($B21,'Cental Budget'!$B$16:$J$96,'Public Expenditure - kons II'!D$1,FALSE)),VLOOKUP($B21,'Cental Budget'!$B$16:$J$96,'Public Expenditure - kons II'!D$1,FALSE),0)+IF(ISNUMBER(VLOOKUP('Public Expenditure - kons II'!$B21,'Local Government'!$B$16:$I$80,'Public Expenditure - kons II'!D$1,FALSE)),VLOOKUP('Public Expenditure - kons II'!$B21,'Local Government'!$B$16:$I$80,'Public Expenditure - kons II'!D$1,FALSE),0)</f>
        <v>480245150.3960529</v>
      </c>
      <c r="E21" s="102">
        <f t="shared" si="0"/>
        <v>13.658240101990771</v>
      </c>
      <c r="F21" s="211">
        <f>+IF(ISNUMBER(VLOOKUP($B21,'Cental Budget'!$B$16:$J$96,'Public Expenditure - kons II'!F$1,FALSE)),VLOOKUP($B21,'Cental Budget'!$B$16:$J$96,'Public Expenditure - kons II'!F$1,FALSE),0)+IF(ISNUMBER(VLOOKUP('Public Expenditure - kons II'!$B21,'Local Government'!$B$16:$I$80,'Public Expenditure - kons II'!F$1,FALSE)),VLOOKUP('Public Expenditure - kons II'!$B21,'Local Government'!$B$16:$I$80,'Public Expenditure - kons II'!F$1,FALSE),0)</f>
        <v>457115481.22000003</v>
      </c>
      <c r="G21" s="102">
        <f t="shared" si="1"/>
        <v>13.000429034402442</v>
      </c>
      <c r="J21" s="81"/>
      <c r="K21" s="81"/>
      <c r="L21" s="81"/>
    </row>
    <row r="22" spans="2:78" ht="15" customHeight="1">
      <c r="B22" s="80">
        <v>7115</v>
      </c>
      <c r="C22" s="100" t="str">
        <f>IF(MasterSheet!$A$1=1,MasterSheet!C78,MasterSheet!B78)</f>
        <v>Akcize</v>
      </c>
      <c r="D22" s="211">
        <f>+IF(ISNUMBER(VLOOKUP($B22,'Cental Budget'!$B$16:$J$96,'Public Expenditure - kons II'!D$1,FALSE)),VLOOKUP($B22,'Cental Budget'!$B$16:$J$96,'Public Expenditure - kons II'!D$1,FALSE),0)+IF(ISNUMBER(VLOOKUP('Public Expenditure - kons II'!$B22,'Local Government'!$B$16:$I$80,'Public Expenditure - kons II'!D$1,FALSE)),VLOOKUP('Public Expenditure - kons II'!$B22,'Local Government'!$B$16:$I$80,'Public Expenditure - kons II'!D$1,FALSE),0)</f>
        <v>167709791.42762002</v>
      </c>
      <c r="E22" s="102">
        <f t="shared" si="0"/>
        <v>4.7696902235955498</v>
      </c>
      <c r="F22" s="211">
        <f>+IF(ISNUMBER(VLOOKUP($B22,'Cental Budget'!$B$16:$J$96,'Public Expenditure - kons II'!F$1,FALSE)),VLOOKUP($B22,'Cental Budget'!$B$16:$J$96,'Public Expenditure - kons II'!F$1,FALSE),0)+IF(ISNUMBER(VLOOKUP('Public Expenditure - kons II'!$B22,'Local Government'!$B$16:$I$80,'Public Expenditure - kons II'!F$1,FALSE)),VLOOKUP('Public Expenditure - kons II'!$B22,'Local Government'!$B$16:$I$80,'Public Expenditure - kons II'!F$1,FALSE),0)</f>
        <v>170010238.31999999</v>
      </c>
      <c r="G22" s="102">
        <f t="shared" si="1"/>
        <v>4.8351152590635653</v>
      </c>
      <c r="J22" s="81"/>
      <c r="K22" s="81"/>
      <c r="L22" s="81"/>
    </row>
    <row r="23" spans="2:78" ht="15" customHeight="1">
      <c r="B23" s="80">
        <v>7116</v>
      </c>
      <c r="C23" s="100" t="str">
        <f>IF(MasterSheet!$A$1=1,MasterSheet!C79,MasterSheet!B79)</f>
        <v>Porez na međunarodnu trgovinu i transakcije</v>
      </c>
      <c r="D23" s="211">
        <f>+IF(ISNUMBER(VLOOKUP($B23,'Cental Budget'!$B$16:$J$96,'Public Expenditure - kons II'!D$1,FALSE)),VLOOKUP($B23,'Cental Budget'!$B$16:$J$96,'Public Expenditure - kons II'!D$1,FALSE),0)+IF(ISNUMBER(VLOOKUP('Public Expenditure - kons II'!$B23,'Local Government'!$B$16:$I$80,'Public Expenditure - kons II'!D$1,FALSE)),VLOOKUP('Public Expenditure - kons II'!$B23,'Local Government'!$B$16:$I$80,'Public Expenditure - kons II'!D$1,FALSE),0)</f>
        <v>22876442.345086303</v>
      </c>
      <c r="E23" s="102">
        <f t="shared" si="0"/>
        <v>0.650609260647113</v>
      </c>
      <c r="F23" s="211">
        <f>+IF(ISNUMBER(VLOOKUP($B23,'Cental Budget'!$B$16:$J$96,'Public Expenditure - kons II'!F$1,FALSE)),VLOOKUP($B23,'Cental Budget'!$B$16:$J$96,'Public Expenditure - kons II'!F$1,FALSE),0)+IF(ISNUMBER(VLOOKUP('Public Expenditure - kons II'!$B23,'Local Government'!$B$16:$I$80,'Public Expenditure - kons II'!F$1,FALSE)),VLOOKUP('Public Expenditure - kons II'!$B23,'Local Government'!$B$16:$I$80,'Public Expenditure - kons II'!F$1,FALSE),0)</f>
        <v>22887481.920000002</v>
      </c>
      <c r="G23" s="102">
        <f t="shared" si="1"/>
        <v>0.65092322772136846</v>
      </c>
      <c r="I23" s="81"/>
      <c r="J23" s="81"/>
      <c r="K23" s="81"/>
      <c r="L23" s="81"/>
      <c r="BX23" s="174"/>
      <c r="BY23" s="174"/>
      <c r="BZ23" s="81"/>
    </row>
    <row r="24" spans="2:78" ht="15" customHeight="1">
      <c r="B24" s="80">
        <v>7117</v>
      </c>
      <c r="C24" s="100" t="s">
        <v>11</v>
      </c>
      <c r="D24" s="211">
        <f>+IF(ISNUMBER(VLOOKUP($B24,'Cental Budget'!$B$16:$J$96,'Public Expenditure - kons II'!D$1,FALSE)),VLOOKUP($B24,'Cental Budget'!$B$16:$J$96,'Public Expenditure - kons II'!D$1,FALSE),0)+IF(ISNUMBER(VLOOKUP('Public Expenditure - kons II'!$B24,'Local Government'!$B$16:$I$80,'Public Expenditure - kons II'!D$1,FALSE)),VLOOKUP('Public Expenditure - kons II'!$B24,'Local Government'!$B$16:$I$80,'Public Expenditure - kons II'!D$1,FALSE),0)</f>
        <v>66618819.467884004</v>
      </c>
      <c r="E24" s="102">
        <f t="shared" si="0"/>
        <v>1.8946486619451666</v>
      </c>
      <c r="F24" s="211">
        <f>+IF(ISNUMBER(VLOOKUP($B24,'Cental Budget'!$B$16:$J$96,'Public Expenditure - kons II'!F$1,FALSE)),VLOOKUP($B24,'Cental Budget'!$B$16:$J$96,'Public Expenditure - kons II'!F$1,FALSE),0)+IF(ISNUMBER(VLOOKUP('Public Expenditure - kons II'!$B24,'Local Government'!$B$16:$I$80,'Public Expenditure - kons II'!F$1,FALSE)),VLOOKUP('Public Expenditure - kons II'!$B24,'Local Government'!$B$16:$I$80,'Public Expenditure - kons II'!F$1,FALSE),0)</f>
        <v>75997609.719999999</v>
      </c>
      <c r="G24" s="102">
        <f t="shared" si="1"/>
        <v>2.1613827851819551</v>
      </c>
      <c r="I24" s="81"/>
      <c r="J24" s="81"/>
      <c r="K24" s="81"/>
      <c r="L24" s="81"/>
      <c r="BX24" s="174"/>
      <c r="BY24" s="174"/>
      <c r="BZ24" s="81"/>
    </row>
    <row r="25" spans="2:78" ht="15" customHeight="1">
      <c r="B25" s="80">
        <v>7118</v>
      </c>
      <c r="C25" s="100" t="str">
        <f>IF(MasterSheet!$A$1=1,MasterSheet!C80,MasterSheet!B80)</f>
        <v>Ostali republički prihodi</v>
      </c>
      <c r="D25" s="211">
        <f>+IF(ISNUMBER(VLOOKUP($B25,'Cental Budget'!$B$16:$J$96,'Public Expenditure - kons II'!D$1,FALSE)),VLOOKUP($B25,'Cental Budget'!$B$16:$J$96,'Public Expenditure - kons II'!D$1,FALSE),0)+IF(ISNUMBER(VLOOKUP('Public Expenditure - kons II'!$B25,'Local Government'!$B$16:$I$80,'Public Expenditure - kons II'!D$1,FALSE)),VLOOKUP('Public Expenditure - kons II'!$B25,'Local Government'!$B$16:$I$80,'Public Expenditure - kons II'!D$1,FALSE),0)</f>
        <v>5720506.2800410194</v>
      </c>
      <c r="E25" s="102">
        <f t="shared" si="0"/>
        <v>0.16269200889027544</v>
      </c>
      <c r="F25" s="211">
        <f>+IF(ISNUMBER(VLOOKUP($B25,'Cental Budget'!$B$16:$J$96,'Public Expenditure - kons II'!F$1,FALSE)),VLOOKUP($B25,'Cental Budget'!$B$16:$J$96,'Public Expenditure - kons II'!F$1,FALSE),0)+IF(ISNUMBER(VLOOKUP('Public Expenditure - kons II'!$B25,'Local Government'!$B$16:$I$80,'Public Expenditure - kons II'!F$1,FALSE)),VLOOKUP('Public Expenditure - kons II'!$B25,'Local Government'!$B$16:$I$80,'Public Expenditure - kons II'!F$1,FALSE),0)</f>
        <v>7119542.1799999997</v>
      </c>
      <c r="G25" s="102">
        <f t="shared" si="1"/>
        <v>0.20248078805272202</v>
      </c>
      <c r="I25" s="81"/>
      <c r="J25" s="81"/>
      <c r="K25" s="81"/>
      <c r="L25" s="81"/>
      <c r="BX25" s="174"/>
      <c r="BY25" s="174"/>
      <c r="BZ25" s="81"/>
    </row>
    <row r="26" spans="2:78" ht="15" customHeight="1">
      <c r="B26" s="80">
        <v>712</v>
      </c>
      <c r="C26" s="94" t="str">
        <f>IF(MasterSheet!$A$1=1,MasterSheet!C81,MasterSheet!B81)</f>
        <v>Doprinosi</v>
      </c>
      <c r="D26" s="207">
        <f>SUM(D27:D30)</f>
        <v>417492172.75320089</v>
      </c>
      <c r="E26" s="98">
        <f t="shared" si="0"/>
        <v>11.873536529129922</v>
      </c>
      <c r="F26" s="207">
        <f>SUM(F27:F30)</f>
        <v>437288820.67000002</v>
      </c>
      <c r="G26" s="98">
        <f t="shared" si="1"/>
        <v>12.436555999996484</v>
      </c>
      <c r="I26" s="81"/>
      <c r="J26" s="81"/>
      <c r="K26" s="81"/>
      <c r="L26" s="81"/>
      <c r="BX26" s="174"/>
      <c r="BY26" s="174"/>
      <c r="BZ26" s="81"/>
    </row>
    <row r="27" spans="2:78" ht="15" customHeight="1">
      <c r="B27" s="80">
        <v>7121</v>
      </c>
      <c r="C27" s="100" t="str">
        <f>IF(MasterSheet!$A$1=1,MasterSheet!C82,MasterSheet!B82)</f>
        <v>Doprinosi za penzijsko i invalidsko osiguranje</v>
      </c>
      <c r="D27" s="211">
        <f>+IF(ISNUMBER(VLOOKUP($B27,'Cental Budget'!$B$16:$J$96,'Public Expenditure - kons II'!D$1,FALSE)),VLOOKUP($B27,'Cental Budget'!$B$16:$J$96,'Public Expenditure - kons II'!D$1,FALSE),0)+IF(ISNUMBER(VLOOKUP('Public Expenditure - kons II'!$B27,'Local Government'!$B$16:$I$80,'Public Expenditure - kons II'!D$1,FALSE)),VLOOKUP('Public Expenditure - kons II'!$B27,'Local Government'!$B$16:$I$80,'Public Expenditure - kons II'!D$1,FALSE),0)</f>
        <v>246405399.04978585</v>
      </c>
      <c r="E27" s="102">
        <f t="shared" si="0"/>
        <v>7.007804451275276</v>
      </c>
      <c r="F27" s="211">
        <f>+IF(ISNUMBER(VLOOKUP($B27,'Cental Budget'!$B$16:$J$96,'Public Expenditure - kons II'!F$1,FALSE)),VLOOKUP($B27,'Cental Budget'!$B$16:$J$96,'Public Expenditure - kons II'!F$1,FALSE),0)+IF(ISNUMBER(VLOOKUP('Public Expenditure - kons II'!$B27,'Local Government'!$B$16:$I$80,'Public Expenditure - kons II'!F$1,FALSE)),VLOOKUP('Public Expenditure - kons II'!$B27,'Local Government'!$B$16:$I$80,'Public Expenditure - kons II'!F$1,FALSE),0)</f>
        <v>264099239.14000005</v>
      </c>
      <c r="G27" s="102">
        <f t="shared" si="1"/>
        <v>7.511019769699784</v>
      </c>
      <c r="I27" s="81"/>
      <c r="J27" s="81"/>
      <c r="K27" s="81"/>
      <c r="L27" s="81"/>
      <c r="BX27" s="174"/>
      <c r="BY27" s="174"/>
      <c r="BZ27" s="81"/>
    </row>
    <row r="28" spans="2:78" ht="15" customHeight="1">
      <c r="B28" s="80">
        <v>7122</v>
      </c>
      <c r="C28" s="100" t="str">
        <f>IF(MasterSheet!$A$1=1,MasterSheet!C83,MasterSheet!B83)</f>
        <v>Doprinosi za zdravstveno osiguranje</v>
      </c>
      <c r="D28" s="211">
        <f>+IF(ISNUMBER(VLOOKUP($B28,'Cental Budget'!$B$16:$J$96,'Public Expenditure - kons II'!D$1,FALSE)),VLOOKUP($B28,'Cental Budget'!$B$16:$J$96,'Public Expenditure - kons II'!D$1,FALSE),0)+IF(ISNUMBER(VLOOKUP('Public Expenditure - kons II'!$B28,'Local Government'!$B$16:$I$80,'Public Expenditure - kons II'!D$1,FALSE)),VLOOKUP('Public Expenditure - kons II'!$B28,'Local Government'!$B$16:$I$80,'Public Expenditure - kons II'!D$1,FALSE),0)</f>
        <v>145455857.4454551</v>
      </c>
      <c r="E28" s="102">
        <f t="shared" si="0"/>
        <v>4.1367851889656402</v>
      </c>
      <c r="F28" s="211">
        <f>+IF(ISNUMBER(VLOOKUP($B28,'Cental Budget'!$B$16:$J$96,'Public Expenditure - kons II'!F$1,FALSE)),VLOOKUP($B28,'Cental Budget'!$B$16:$J$96,'Public Expenditure - kons II'!F$1,FALSE),0)+IF(ISNUMBER(VLOOKUP('Public Expenditure - kons II'!$B28,'Local Government'!$B$16:$I$80,'Public Expenditure - kons II'!F$1,FALSE)),VLOOKUP('Public Expenditure - kons II'!$B28,'Local Government'!$B$16:$I$80,'Public Expenditure - kons II'!F$1,FALSE),0)</f>
        <v>150309788.34999993</v>
      </c>
      <c r="G28" s="102">
        <f t="shared" si="1"/>
        <v>4.2748316714300083</v>
      </c>
      <c r="I28" s="81"/>
      <c r="J28" s="81"/>
      <c r="K28" s="81"/>
      <c r="L28" s="81"/>
      <c r="BX28" s="174"/>
      <c r="BY28" s="174"/>
      <c r="BZ28" s="81"/>
    </row>
    <row r="29" spans="2:78" ht="15" customHeight="1">
      <c r="B29" s="80">
        <v>7123</v>
      </c>
      <c r="C29" s="100" t="str">
        <f>IF(MasterSheet!$A$1=1,MasterSheet!C84,MasterSheet!B84)</f>
        <v>Doprinosi za osiguranje od nezaposlenosti</v>
      </c>
      <c r="D29" s="211">
        <f>+IF(ISNUMBER(VLOOKUP($B29,'Cental Budget'!$B$16:$J$96,'Public Expenditure - kons II'!D$1,FALSE)),VLOOKUP($B29,'Cental Budget'!$B$16:$J$96,'Public Expenditure - kons II'!D$1,FALSE),0)+IF(ISNUMBER(VLOOKUP('Public Expenditure - kons II'!$B29,'Local Government'!$B$16:$I$80,'Public Expenditure - kons II'!D$1,FALSE)),VLOOKUP('Public Expenditure - kons II'!$B29,'Local Government'!$B$16:$I$80,'Public Expenditure - kons II'!D$1,FALSE),0)</f>
        <v>12721701.738883585</v>
      </c>
      <c r="E29" s="102">
        <f t="shared" si="0"/>
        <v>0.36180699942995947</v>
      </c>
      <c r="F29" s="211">
        <f>+IF(ISNUMBER(VLOOKUP($B29,'Cental Budget'!$B$16:$J$96,'Public Expenditure - kons II'!F$1,FALSE)),VLOOKUP($B29,'Cental Budget'!$B$16:$J$96,'Public Expenditure - kons II'!F$1,FALSE),0)+IF(ISNUMBER(VLOOKUP('Public Expenditure - kons II'!$B29,'Local Government'!$B$16:$I$80,'Public Expenditure - kons II'!F$1,FALSE)),VLOOKUP('Public Expenditure - kons II'!$B29,'Local Government'!$B$16:$I$80,'Public Expenditure - kons II'!F$1,FALSE),0)</f>
        <v>12114496.520000001</v>
      </c>
      <c r="G29" s="102">
        <f t="shared" si="1"/>
        <v>0.34453799699681797</v>
      </c>
      <c r="I29" s="81"/>
      <c r="J29" s="81"/>
      <c r="K29" s="81"/>
      <c r="L29" s="81"/>
      <c r="BX29" s="174"/>
      <c r="BY29" s="174"/>
      <c r="BZ29" s="81"/>
    </row>
    <row r="30" spans="2:78" ht="15" customHeight="1">
      <c r="B30" s="80">
        <v>7124</v>
      </c>
      <c r="C30" s="100" t="str">
        <f>IF(MasterSheet!$A$1=1,MasterSheet!C85,MasterSheet!B85)</f>
        <v>Ostali doprinosi</v>
      </c>
      <c r="D30" s="211">
        <f>+IF(ISNUMBER(VLOOKUP($B30,'Cental Budget'!$B$16:$J$96,'Public Expenditure - kons II'!D$1,FALSE)),VLOOKUP($B30,'Cental Budget'!$B$16:$J$96,'Public Expenditure - kons II'!D$1,FALSE),0)+IF(ISNUMBER(VLOOKUP('Public Expenditure - kons II'!$B30,'Local Government'!$B$16:$I$80,'Public Expenditure - kons II'!D$1,FALSE)),VLOOKUP('Public Expenditure - kons II'!$B30,'Local Government'!$B$16:$I$80,'Public Expenditure - kons II'!D$1,FALSE),0)</f>
        <v>12909214.519076321</v>
      </c>
      <c r="E30" s="102">
        <f t="shared" si="0"/>
        <v>0.36713988945904585</v>
      </c>
      <c r="F30" s="211">
        <f>+IF(ISNUMBER(VLOOKUP($B30,'Cental Budget'!$B$16:$J$96,'Public Expenditure - kons II'!F$1,FALSE)),VLOOKUP($B30,'Cental Budget'!$B$16:$J$96,'Public Expenditure - kons II'!F$1,FALSE),0)+IF(ISNUMBER(VLOOKUP('Public Expenditure - kons II'!$B30,'Local Government'!$B$16:$I$80,'Public Expenditure - kons II'!F$1,FALSE)),VLOOKUP('Public Expenditure - kons II'!$B30,'Local Government'!$B$16:$I$80,'Public Expenditure - kons II'!F$1,FALSE),0)</f>
        <v>10765296.66</v>
      </c>
      <c r="G30" s="102">
        <f t="shared" si="1"/>
        <v>0.3061665618698724</v>
      </c>
      <c r="I30" s="81"/>
      <c r="J30" s="81"/>
      <c r="K30" s="81"/>
      <c r="L30" s="81"/>
      <c r="BX30" s="81"/>
      <c r="BY30" s="81"/>
      <c r="BZ30" s="81"/>
    </row>
    <row r="31" spans="2:78" ht="15" customHeight="1">
      <c r="B31" s="80">
        <v>713</v>
      </c>
      <c r="C31" s="94" t="str">
        <f>IF(MasterSheet!$A$1=1,MasterSheet!C86,MasterSheet!B86)</f>
        <v>Takse</v>
      </c>
      <c r="D31" s="207">
        <f>+IF(ISNUMBER(VLOOKUP($B31,'Cental Budget'!$B$16:$J$96,'Public Expenditure - kons II'!D$1,FALSE)),VLOOKUP($B31,'Cental Budget'!$B$16:$J$96,'Public Expenditure - kons II'!D$1,FALSE),0)+IF(ISNUMBER(VLOOKUP('Public Expenditure - kons II'!$B31,'Local Government'!$B$16:$I$80,'Public Expenditure - kons II'!D$1,FALSE)),VLOOKUP('Public Expenditure - kons II'!$B31,'Local Government'!$B$16:$I$80,'Public Expenditure - kons II'!D$1,FALSE),0)</f>
        <v>23838837.990251631</v>
      </c>
      <c r="E31" s="98">
        <f t="shared" si="0"/>
        <v>0.67797992911495297</v>
      </c>
      <c r="F31" s="207">
        <f>+IF(ISNUMBER(VLOOKUP($B31,'Cental Budget'!$B$16:$J$96,'Public Expenditure - kons II'!F$1,FALSE)),VLOOKUP($B31,'Cental Budget'!$B$16:$J$96,'Public Expenditure - kons II'!F$1,FALSE),0)+IF(ISNUMBER(VLOOKUP('Public Expenditure - kons II'!$B31,'Local Government'!$B$16:$I$80,'Public Expenditure - kons II'!F$1,FALSE)),VLOOKUP('Public Expenditure - kons II'!$B31,'Local Government'!$B$16:$I$80,'Public Expenditure - kons II'!F$1,FALSE),0)</f>
        <v>18436067</v>
      </c>
      <c r="G31" s="98">
        <f t="shared" si="1"/>
        <v>0.52432435687216938</v>
      </c>
      <c r="I31" s="81"/>
      <c r="J31" s="81"/>
      <c r="K31" s="81"/>
      <c r="L31" s="81"/>
      <c r="BX31" s="81"/>
      <c r="BY31" s="81"/>
      <c r="BZ31" s="81"/>
    </row>
    <row r="32" spans="2:78" ht="15" customHeight="1">
      <c r="B32" s="80">
        <v>714</v>
      </c>
      <c r="C32" s="94" t="str">
        <f>IF(MasterSheet!$A$1=1,MasterSheet!C91,MasterSheet!B91)</f>
        <v>Naknade</v>
      </c>
      <c r="D32" s="207">
        <f>+IF(ISNUMBER(VLOOKUP($B32,'Cental Budget'!$B$16:$J$96,'Public Expenditure - kons II'!D$1,FALSE)),VLOOKUP($B32,'Cental Budget'!$B$16:$J$96,'Public Expenditure - kons II'!D$1,FALSE),0)+IF(ISNUMBER(VLOOKUP('Public Expenditure - kons II'!$B32,'Local Government'!$B$16:$I$80,'Public Expenditure - kons II'!D$1,FALSE)),VLOOKUP('Public Expenditure - kons II'!$B32,'Local Government'!$B$16:$I$80,'Public Expenditure - kons II'!D$1,FALSE),0)</f>
        <v>68442538.596385211</v>
      </c>
      <c r="E32" s="98">
        <f t="shared" si="0"/>
        <v>1.9465154922819659</v>
      </c>
      <c r="F32" s="207">
        <f>+IF(ISNUMBER(VLOOKUP($B32,'Cental Budget'!$B$16:$J$96,'Public Expenditure - kons II'!F$1,FALSE)),VLOOKUP($B32,'Cental Budget'!$B$16:$J$96,'Public Expenditure - kons II'!F$1,FALSE),0)+IF(ISNUMBER(VLOOKUP('Public Expenditure - kons II'!$B32,'Local Government'!$B$16:$I$80,'Public Expenditure - kons II'!F$1,FALSE)),VLOOKUP('Public Expenditure - kons II'!$B32,'Local Government'!$B$16:$I$80,'Public Expenditure - kons II'!F$1,FALSE),0)</f>
        <v>83690687.739999995</v>
      </c>
      <c r="G32" s="98">
        <f t="shared" si="1"/>
        <v>2.380175013763242</v>
      </c>
      <c r="I32" s="81"/>
      <c r="J32" s="81"/>
      <c r="K32" s="81"/>
      <c r="L32" s="81"/>
      <c r="BX32" s="174"/>
      <c r="BY32" s="174"/>
      <c r="BZ32" s="174"/>
    </row>
    <row r="33" spans="1:81" ht="15" customHeight="1">
      <c r="B33" s="80">
        <v>715</v>
      </c>
      <c r="C33" s="94" t="str">
        <f>IF(MasterSheet!$A$1=1,MasterSheet!C98,MasterSheet!B98)</f>
        <v>Ostali prihodi</v>
      </c>
      <c r="D33" s="207">
        <f>+IF(ISNUMBER(VLOOKUP($B33,'Cental Budget'!$B$16:$J$96,'Public Expenditure - kons II'!D$1,FALSE)),VLOOKUP($B33,'Cental Budget'!$B$16:$J$96,'Public Expenditure - kons II'!D$1,FALSE),0)+IF(ISNUMBER(VLOOKUP('Public Expenditure - kons II'!$B33,'Local Government'!$B$16:$I$80,'Public Expenditure - kons II'!D$1,FALSE)),VLOOKUP('Public Expenditure - kons II'!$B33,'Local Government'!$B$16:$I$80,'Public Expenditure - kons II'!D$1,FALSE),0)</f>
        <v>50674920.257826455</v>
      </c>
      <c r="E33" s="98">
        <f t="shared" si="0"/>
        <v>1.4412019100241567</v>
      </c>
      <c r="F33" s="207">
        <f>+IF(ISNUMBER(VLOOKUP($B33,'Cental Budget'!$B$16:$J$96,'Public Expenditure - kons II'!F$1,FALSE)),VLOOKUP($B33,'Cental Budget'!$B$16:$J$96,'Public Expenditure - kons II'!F$1,FALSE),0)+IF(ISNUMBER(VLOOKUP('Public Expenditure - kons II'!$B33,'Local Government'!$B$16:$I$80,'Public Expenditure - kons II'!F$1,FALSE)),VLOOKUP('Public Expenditure - kons II'!$B33,'Local Government'!$B$16:$I$80,'Public Expenditure - kons II'!F$1,FALSE),0)</f>
        <v>39062592.32</v>
      </c>
      <c r="G33" s="98">
        <f t="shared" si="1"/>
        <v>1.1109456586344444</v>
      </c>
      <c r="I33" s="81"/>
      <c r="J33" s="81"/>
      <c r="K33" s="81"/>
      <c r="L33" s="81"/>
      <c r="BX33" s="81"/>
      <c r="BY33" s="81"/>
      <c r="BZ33" s="81"/>
      <c r="CA33" s="81"/>
      <c r="CB33" s="81"/>
    </row>
    <row r="34" spans="1:81">
      <c r="B34" s="80">
        <v>73</v>
      </c>
      <c r="C34" s="111" t="str">
        <f>IF(MasterSheet!$A$1=1,MasterSheet!C103,MasterSheet!B103)</f>
        <v>Primici od otplate kredita i sredstva prenijeta iz prethodne godine</v>
      </c>
      <c r="D34" s="207">
        <f>+IF(ISNUMBER(VLOOKUP($B34,'Cental Budget'!$B$16:$J$96,'Public Expenditure - kons II'!D$1,FALSE)),VLOOKUP($B34,'Cental Budget'!$B$16:$J$96,'Public Expenditure - kons II'!D$1,FALSE),0)+IF(ISNUMBER(VLOOKUP('Public Expenditure - kons II'!$B34,'Local Government'!$B$16:$I$80,'Public Expenditure - kons II'!D$1,FALSE)),VLOOKUP('Public Expenditure - kons II'!$B34,'Local Government'!$B$16:$I$80,'Public Expenditure - kons II'!D$1,FALSE),0)</f>
        <v>5073747.8792982856</v>
      </c>
      <c r="E34" s="98">
        <f t="shared" si="0"/>
        <v>0.14429810836251608</v>
      </c>
      <c r="F34" s="207">
        <f>+IF(ISNUMBER(VLOOKUP($B34,'Cental Budget'!$B$16:$J$96,'Public Expenditure - kons II'!F$1,FALSE)),VLOOKUP($B34,'Cental Budget'!$B$16:$J$96,'Public Expenditure - kons II'!F$1,FALSE),0)+IF(ISNUMBER(VLOOKUP('Public Expenditure - kons II'!$B34,'Local Government'!$B$16:$I$80,'Public Expenditure - kons II'!F$1,FALSE)),VLOOKUP('Public Expenditure - kons II'!$B34,'Local Government'!$B$16:$I$80,'Public Expenditure - kons II'!F$1,FALSE),0)</f>
        <v>8231495.4800000004</v>
      </c>
      <c r="G34" s="98">
        <f t="shared" si="1"/>
        <v>0.23410489740827964</v>
      </c>
      <c r="I34" s="81"/>
      <c r="J34" s="81"/>
      <c r="K34" s="81"/>
      <c r="L34" s="81"/>
      <c r="BW34" s="106"/>
      <c r="BX34" s="106"/>
      <c r="BY34" s="103"/>
      <c r="BZ34" s="179"/>
      <c r="CA34" s="179"/>
      <c r="CB34" s="179"/>
      <c r="CC34" s="176"/>
    </row>
    <row r="35" spans="1:81" ht="13.5" customHeight="1" thickBot="1">
      <c r="B35" s="80">
        <v>74</v>
      </c>
      <c r="C35" s="94" t="s">
        <v>123</v>
      </c>
      <c r="D35" s="207">
        <f>+IF(ISNUMBER(VLOOKUP($B35,'Cental Budget'!$B$16:$J$96,'Public Expenditure - kons II'!D$1,FALSE)),VLOOKUP($B35,'Cental Budget'!$B$16:$J$96,'Public Expenditure - kons II'!D$1,FALSE),0)+IF(ISNUMBER(VLOOKUP('Public Expenditure - kons II'!$B35,'Local Government'!$B$16:$I$80,'Public Expenditure - kons II'!D$1,FALSE)),VLOOKUP('Public Expenditure - kons II'!$B35,'Local Government'!$B$16:$I$80,'Public Expenditure - kons II'!D$1,FALSE),0)</f>
        <v>9592119.81022075</v>
      </c>
      <c r="E35" s="98">
        <f>D35/D$11*100</f>
        <v>0.27280124608653189</v>
      </c>
      <c r="F35" s="207">
        <f>+IF(ISNUMBER(VLOOKUP($B35,'Cental Budget'!$B$16:$J$96,'Public Expenditure - kons II'!F$1,FALSE)),VLOOKUP($B35,'Cental Budget'!$B$16:$J$96,'Public Expenditure - kons II'!F$1,FALSE),0)+IF(ISNUMBER(VLOOKUP('Public Expenditure - kons II'!$B35,'Local Government'!$B$16:$I$80,'Public Expenditure - kons II'!F$1,FALSE)),VLOOKUP('Public Expenditure - kons II'!$B35,'Local Government'!$B$16:$I$80,'Public Expenditure - kons II'!F$1,FALSE),0)</f>
        <v>13531669.91</v>
      </c>
      <c r="G35" s="98">
        <f>F35/F$11*100</f>
        <v>0.38484260894513111</v>
      </c>
      <c r="I35" s="81"/>
      <c r="J35" s="81"/>
      <c r="K35" s="81"/>
      <c r="L35" s="81"/>
      <c r="BX35" s="225"/>
      <c r="BY35" s="225"/>
      <c r="BZ35" s="179"/>
      <c r="CA35" s="179"/>
      <c r="CB35" s="179"/>
      <c r="CC35" s="176"/>
    </row>
    <row r="36" spans="1:81" ht="15" customHeight="1" thickTop="1" thickBot="1">
      <c r="B36" s="112"/>
      <c r="C36" s="251" t="str">
        <f>IF(MasterSheet!$A$1=1,MasterSheet!C104,MasterSheet!B104)</f>
        <v>Izdaci</v>
      </c>
      <c r="D36" s="245" t="e">
        <f>+D38+D49+D55+SUM(D58:D62)</f>
        <v>#REF!</v>
      </c>
      <c r="E36" s="246" t="e">
        <f t="shared" si="0"/>
        <v>#REF!</v>
      </c>
      <c r="F36" s="245" t="e">
        <f>+F38+F49+F55+SUM(F58:F62)</f>
        <v>#REF!</v>
      </c>
      <c r="G36" s="246" t="e">
        <f t="shared" ref="G36:G74" si="2">F36/F$11*100</f>
        <v>#REF!</v>
      </c>
      <c r="I36" s="81"/>
      <c r="J36" s="81"/>
      <c r="K36" s="81"/>
      <c r="L36" s="81"/>
      <c r="BX36" s="81"/>
      <c r="BY36" s="81"/>
      <c r="BZ36" s="179"/>
      <c r="CA36" s="179"/>
      <c r="CB36" s="179"/>
      <c r="CC36" s="176"/>
    </row>
    <row r="37" spans="1:81" ht="13.5" customHeight="1" thickTop="1" thickBot="1">
      <c r="C37" s="251" t="str">
        <f>IF(MasterSheet!$A$1=1,MasterSheet!C105,MasterSheet!B105)</f>
        <v>Tekuća budžetska potrošnja</v>
      </c>
      <c r="D37" s="245" t="e">
        <f>+D36-D58</f>
        <v>#REF!</v>
      </c>
      <c r="E37" s="246" t="e">
        <f t="shared" si="0"/>
        <v>#REF!</v>
      </c>
      <c r="F37" s="245" t="e">
        <f>+F36-F58</f>
        <v>#REF!</v>
      </c>
      <c r="G37" s="246" t="e">
        <f t="shared" si="2"/>
        <v>#REF!</v>
      </c>
      <c r="I37" s="81"/>
      <c r="J37" s="81"/>
      <c r="K37" s="81"/>
      <c r="L37" s="81"/>
      <c r="BX37" s="225"/>
      <c r="BY37" s="225"/>
      <c r="BZ37" s="179"/>
      <c r="CA37" s="179"/>
      <c r="CB37" s="179"/>
      <c r="CC37" s="176"/>
    </row>
    <row r="38" spans="1:81" ht="13.5" customHeight="1" thickTop="1">
      <c r="A38" s="80">
        <v>41</v>
      </c>
      <c r="C38" s="94" t="s">
        <v>63</v>
      </c>
      <c r="D38" s="95">
        <f>+SUM(D39:D48)</f>
        <v>696409492.52999997</v>
      </c>
      <c r="E38" s="98">
        <f t="shared" si="0"/>
        <v>19.805984611059728</v>
      </c>
      <c r="F38" s="95">
        <f>+SUM(F39:F48)</f>
        <v>722275557.99299979</v>
      </c>
      <c r="G38" s="98">
        <f t="shared" si="2"/>
        <v>20.541619176647973</v>
      </c>
      <c r="I38" s="81"/>
      <c r="J38" s="81"/>
      <c r="K38" s="81"/>
      <c r="L38" s="81"/>
      <c r="BX38" s="225"/>
      <c r="BY38" s="225"/>
      <c r="BZ38" s="179"/>
      <c r="CA38" s="179"/>
      <c r="CB38" s="179"/>
      <c r="CC38" s="176"/>
    </row>
    <row r="39" spans="1:81" ht="13.5" customHeight="1">
      <c r="B39" s="80">
        <v>411</v>
      </c>
      <c r="C39" s="94" t="s">
        <v>64</v>
      </c>
      <c r="D39" s="207">
        <f>+IF(ISNUMBER(VLOOKUP($B39,'Cental Budget'!$B$16:$J$96,'Public Expenditure - kons II'!D$1,FALSE)),VLOOKUP($B39,'Cental Budget'!$B$16:$J$96,'Public Expenditure - kons II'!D$1,FALSE),0)+IF(ISNUMBER(VLOOKUP('Public Expenditure - kons II'!$B39,'Local Government'!$B$16:$I$80,'Public Expenditure - kons II'!D$1,FALSE)),VLOOKUP('Public Expenditure - kons II'!$B39,'Local Government'!$B$16:$I$80,'Public Expenditure - kons II'!D$1,FALSE),0)</f>
        <v>421087822.08999991</v>
      </c>
      <c r="E39" s="98">
        <f t="shared" si="0"/>
        <v>11.975797305577252</v>
      </c>
      <c r="F39" s="207">
        <f>+'Cental Budget'!F52+'Local Government'!F45</f>
        <v>428791755.66999996</v>
      </c>
      <c r="G39" s="98">
        <f t="shared" si="2"/>
        <v>12.194898267822584</v>
      </c>
      <c r="I39" s="81"/>
      <c r="J39" s="81"/>
      <c r="K39" s="81"/>
      <c r="L39" s="81"/>
      <c r="BX39" s="225"/>
      <c r="BY39" s="225"/>
      <c r="BZ39" s="179"/>
      <c r="CA39" s="179"/>
      <c r="CB39" s="179"/>
      <c r="CC39" s="176"/>
    </row>
    <row r="40" spans="1:81" ht="13.5" customHeight="1">
      <c r="B40" s="80">
        <v>412</v>
      </c>
      <c r="C40" s="94" t="s">
        <v>75</v>
      </c>
      <c r="D40" s="207">
        <f>+IF(ISNUMBER(VLOOKUP($B40,'Cental Budget'!$B$16:$J$96,'Public Expenditure - kons II'!D$1,FALSE)),VLOOKUP($B40,'Cental Budget'!$B$16:$J$96,'Public Expenditure - kons II'!D$1,FALSE),0)+IF(ISNUMBER(VLOOKUP('Public Expenditure - kons II'!$B40,'Local Government'!$B$16:$I$80,'Public Expenditure - kons II'!D$1,FALSE)),VLOOKUP('Public Expenditure - kons II'!$B40,'Local Government'!$B$16:$I$80,'Public Expenditure - kons II'!D$1,FALSE),0)</f>
        <v>18325896.740000002</v>
      </c>
      <c r="E40" s="98">
        <f t="shared" si="0"/>
        <v>0.52119109907261063</v>
      </c>
      <c r="F40" s="207">
        <f>+IF(ISNUMBER(VLOOKUP($B40,'Cental Budget'!$B$16:$J$96,'Public Expenditure - kons II'!F$1,FALSE)),VLOOKUP($B40,'Cental Budget'!$B$16:$J$96,'Public Expenditure - kons II'!F$1,FALSE),0)+IF(ISNUMBER(VLOOKUP('Public Expenditure - kons II'!$B40,'Local Government'!$B$16:$I$80,'Public Expenditure - kons II'!F$1,FALSE)),VLOOKUP('Public Expenditure - kons II'!$B40,'Local Government'!$B$16:$I$80,'Public Expenditure - kons II'!F$1,FALSE),0)</f>
        <v>19792182.75</v>
      </c>
      <c r="G40" s="98">
        <f t="shared" si="2"/>
        <v>0.56289248089032196</v>
      </c>
      <c r="I40" s="81"/>
      <c r="J40" s="81"/>
      <c r="K40" s="81"/>
      <c r="L40" s="81"/>
      <c r="BX40" s="225"/>
      <c r="BY40" s="225"/>
      <c r="BZ40" s="179"/>
      <c r="CA40" s="179"/>
      <c r="CB40" s="179"/>
      <c r="CC40" s="176"/>
    </row>
    <row r="41" spans="1:81" ht="13.5" customHeight="1">
      <c r="B41" s="80">
        <v>413</v>
      </c>
      <c r="C41" s="94" t="s">
        <v>448</v>
      </c>
      <c r="D41" s="207">
        <f>+IF(ISNUMBER(VLOOKUP($B41,'Cental Budget'!$B$16:$J$96,'Public Expenditure - kons II'!D$1,FALSE)),VLOOKUP($B41,'Cental Budget'!$B$16:$J$96,'Public Expenditure - kons II'!D$1,FALSE),0)+IF(ISNUMBER(VLOOKUP('Public Expenditure - kons II'!$B41,'Local Government'!$B$16:$I$80,'Public Expenditure - kons II'!D$1,FALSE)),VLOOKUP('Public Expenditure - kons II'!$B41,'Local Government'!$B$16:$I$80,'Public Expenditure - kons II'!D$1,FALSE),0)</f>
        <v>42461501.5</v>
      </c>
      <c r="E41" s="98">
        <f t="shared" si="0"/>
        <v>1.207611117154985</v>
      </c>
      <c r="F41" s="207">
        <f>+IF(ISNUMBER(VLOOKUP($B41,'Cental Budget'!$B$16:$J$96,'Public Expenditure - kons II'!F$1,FALSE)),VLOOKUP($B41,'Cental Budget'!$B$16:$J$96,'Public Expenditure - kons II'!F$1,FALSE),0)+IF(ISNUMBER(VLOOKUP('Public Expenditure - kons II'!$B41,'Local Government'!$B$16:$I$80,'Public Expenditure - kons II'!F$1,FALSE)),VLOOKUP('Public Expenditure - kons II'!$B41,'Local Government'!$B$16:$I$80,'Public Expenditure - kons II'!F$1,FALSE),0)</f>
        <v>32280149.009999998</v>
      </c>
      <c r="G41" s="98">
        <f t="shared" si="2"/>
        <v>0.91805201019317439</v>
      </c>
      <c r="I41" s="81"/>
      <c r="J41" s="81"/>
      <c r="K41" s="81"/>
      <c r="L41" s="81"/>
      <c r="BX41" s="225"/>
      <c r="BY41" s="225"/>
      <c r="BZ41" s="179"/>
      <c r="CA41" s="179"/>
      <c r="CB41" s="179"/>
      <c r="CC41" s="176"/>
    </row>
    <row r="42" spans="1:81" ht="13.5" customHeight="1">
      <c r="B42" s="80">
        <v>414</v>
      </c>
      <c r="C42" s="94" t="s">
        <v>449</v>
      </c>
      <c r="D42" s="207">
        <f>+IF(ISNUMBER(VLOOKUP($B42,'Cental Budget'!$B$16:$J$96,'Public Expenditure - kons II'!D$1,FALSE)),VLOOKUP($B42,'Cental Budget'!$B$16:$J$96,'Public Expenditure - kons II'!D$1,FALSE),0)+IF(ISNUMBER(VLOOKUP('Public Expenditure - kons II'!$B42,'Local Government'!$B$16:$I$80,'Public Expenditure - kons II'!D$1,FALSE)),VLOOKUP('Public Expenditure - kons II'!$B42,'Local Government'!$B$16:$I$80,'Public Expenditure - kons II'!D$1,FALSE),0)</f>
        <v>55769867.960000001</v>
      </c>
      <c r="E42" s="98">
        <f t="shared" si="0"/>
        <v>1.5861029443521117</v>
      </c>
      <c r="F42" s="207">
        <f>+IF(ISNUMBER(VLOOKUP($B42,'Cental Budget'!$B$16:$J$96,'Public Expenditure - kons II'!F$1,FALSE)),VLOOKUP($B42,'Cental Budget'!$B$16:$J$96,'Public Expenditure - kons II'!F$1,FALSE),0)+IF(ISNUMBER(VLOOKUP('Public Expenditure - kons II'!$B42,'Local Government'!$B$16:$I$80,'Public Expenditure - kons II'!F$1,FALSE)),VLOOKUP('Public Expenditure - kons II'!$B42,'Local Government'!$B$16:$I$80,'Public Expenditure - kons II'!F$1,FALSE),0)</f>
        <v>68337199.803000003</v>
      </c>
      <c r="G42" s="98">
        <f t="shared" si="2"/>
        <v>1.9435196420772891</v>
      </c>
      <c r="I42" s="81"/>
      <c r="J42" s="81"/>
      <c r="K42" s="81"/>
      <c r="L42" s="81"/>
      <c r="BX42" s="225"/>
      <c r="BY42" s="225"/>
      <c r="BZ42" s="179"/>
      <c r="CA42" s="179"/>
      <c r="CB42" s="179"/>
      <c r="CC42" s="176"/>
    </row>
    <row r="43" spans="1:81" ht="13.5" customHeight="1">
      <c r="B43" s="80">
        <v>415</v>
      </c>
      <c r="C43" s="94" t="s">
        <v>450</v>
      </c>
      <c r="D43" s="207">
        <f>+IF(ISNUMBER(VLOOKUP($B43,'Cental Budget'!$B$16:$J$96,'Public Expenditure - kons II'!D$1,FALSE)),VLOOKUP($B43,'Cental Budget'!$B$16:$J$96,'Public Expenditure - kons II'!D$1,FALSE),0)+IF(ISNUMBER(VLOOKUP('Public Expenditure - kons II'!$B43,'Local Government'!$B$16:$I$80,'Public Expenditure - kons II'!D$1,FALSE)),VLOOKUP('Public Expenditure - kons II'!$B43,'Local Government'!$B$16:$I$80,'Public Expenditure - kons II'!D$1,FALSE),0)</f>
        <v>24948123.909999996</v>
      </c>
      <c r="E43" s="98">
        <f t="shared" si="0"/>
        <v>0.70952817779833077</v>
      </c>
      <c r="F43" s="207">
        <f>+IF(ISNUMBER(VLOOKUP($B43,'Cental Budget'!$B$16:$J$96,'Public Expenditure - kons II'!F$1,FALSE)),VLOOKUP($B43,'Cental Budget'!$B$16:$J$96,'Public Expenditure - kons II'!F$1,FALSE),0)+IF(ISNUMBER(VLOOKUP('Public Expenditure - kons II'!$B43,'Local Government'!$B$16:$I$80,'Public Expenditure - kons II'!F$1,FALSE)),VLOOKUP('Public Expenditure - kons II'!$B43,'Local Government'!$B$16:$I$80,'Public Expenditure - kons II'!F$1,FALSE),0)</f>
        <v>24882513.529999997</v>
      </c>
      <c r="G43" s="98">
        <f t="shared" si="2"/>
        <v>0.70766220929769363</v>
      </c>
      <c r="I43" s="81"/>
      <c r="J43" s="81"/>
      <c r="K43" s="81"/>
      <c r="L43" s="81"/>
      <c r="BX43" s="225"/>
      <c r="BY43" s="225"/>
      <c r="BZ43" s="179"/>
      <c r="CA43" s="179"/>
      <c r="CB43" s="179"/>
      <c r="CC43" s="176"/>
    </row>
    <row r="44" spans="1:81" ht="13.5" customHeight="1">
      <c r="B44" s="80">
        <v>416</v>
      </c>
      <c r="C44" s="94" t="s">
        <v>80</v>
      </c>
      <c r="D44" s="207">
        <f>+IF(ISNUMBER(VLOOKUP($B44,'Cental Budget'!$B$16:$J$96,'Public Expenditure - kons II'!D$1,FALSE)),VLOOKUP($B44,'Cental Budget'!$B$16:$J$96,'Public Expenditure - kons II'!D$1,FALSE),0)+IF(ISNUMBER(VLOOKUP('Public Expenditure - kons II'!$B44,'Local Government'!$B$16:$I$80,'Public Expenditure - kons II'!D$1,FALSE)),VLOOKUP('Public Expenditure - kons II'!$B44,'Local Government'!$B$16:$I$80,'Public Expenditure - kons II'!D$1,FALSE),0)</f>
        <v>66283129.969999999</v>
      </c>
      <c r="E44" s="98">
        <f t="shared" si="0"/>
        <v>1.885101605076325</v>
      </c>
      <c r="F44" s="207">
        <f>+IF(ISNUMBER(VLOOKUP($B44,'Cental Budget'!$B$16:$J$96,'Public Expenditure - kons II'!F$1,FALSE)),VLOOKUP($B44,'Cental Budget'!$B$16:$J$96,'Public Expenditure - kons II'!F$1,FALSE),0)+IF(ISNUMBER(VLOOKUP('Public Expenditure - kons II'!$B44,'Local Government'!$B$16:$I$80,'Public Expenditure - kons II'!F$1,FALSE)),VLOOKUP('Public Expenditure - kons II'!$B44,'Local Government'!$B$16:$I$80,'Public Expenditure - kons II'!F$1,FALSE),0)</f>
        <v>86245572.049999982</v>
      </c>
      <c r="G44" s="98">
        <f t="shared" si="2"/>
        <v>2.4528362854283716</v>
      </c>
      <c r="I44" s="81"/>
      <c r="J44" s="81"/>
      <c r="K44" s="81"/>
      <c r="L44" s="81"/>
      <c r="BX44" s="225"/>
      <c r="BY44" s="225"/>
      <c r="BZ44" s="179"/>
      <c r="CA44" s="179"/>
      <c r="CB44" s="179"/>
      <c r="CC44" s="176"/>
    </row>
    <row r="45" spans="1:81" ht="13.5" customHeight="1">
      <c r="B45" s="80">
        <v>417</v>
      </c>
      <c r="C45" s="94" t="s">
        <v>82</v>
      </c>
      <c r="D45" s="207">
        <f>+IF(ISNUMBER(VLOOKUP($B45,'Cental Budget'!$B$16:$J$96,'Public Expenditure - kons II'!D$1,FALSE)),VLOOKUP($B45,'Cental Budget'!$B$16:$J$96,'Public Expenditure - kons II'!D$1,FALSE),0)+IF(ISNUMBER(VLOOKUP('Public Expenditure - kons II'!$B45,'Local Government'!$B$16:$I$80,'Public Expenditure - kons II'!D$1,FALSE)),VLOOKUP('Public Expenditure - kons II'!$B45,'Local Government'!$B$16:$I$80,'Public Expenditure - kons II'!D$1,FALSE),0)</f>
        <v>8872061.3200000003</v>
      </c>
      <c r="E45" s="98">
        <f t="shared" si="0"/>
        <v>0.25232268063136515</v>
      </c>
      <c r="F45" s="207">
        <f>+IF(ISNUMBER(VLOOKUP($B45,'Cental Budget'!$B$16:$J$96,'Public Expenditure - kons II'!F$1,FALSE)),VLOOKUP($B45,'Cental Budget'!$B$16:$J$96,'Public Expenditure - kons II'!F$1,FALSE),0)+IF(ISNUMBER(VLOOKUP('Public Expenditure - kons II'!$B45,'Local Government'!$B$16:$I$80,'Public Expenditure - kons II'!F$1,FALSE)),VLOOKUP('Public Expenditure - kons II'!$B45,'Local Government'!$B$16:$I$80,'Public Expenditure - kons II'!F$1,FALSE),0)</f>
        <v>8501798.0199999996</v>
      </c>
      <c r="G45" s="98">
        <f t="shared" si="2"/>
        <v>0.24179233993310953</v>
      </c>
      <c r="I45" s="81"/>
      <c r="J45" s="81"/>
      <c r="K45" s="81"/>
      <c r="L45" s="81"/>
      <c r="BX45" s="225"/>
      <c r="BY45" s="225"/>
      <c r="BZ45" s="179"/>
      <c r="CA45" s="179"/>
      <c r="CB45" s="179"/>
      <c r="CC45" s="176"/>
    </row>
    <row r="46" spans="1:81" ht="13.5" customHeight="1">
      <c r="B46" s="80">
        <v>418</v>
      </c>
      <c r="C46" s="94" t="s">
        <v>84</v>
      </c>
      <c r="D46" s="207">
        <f>+IF(ISNUMBER(VLOOKUP($B46,'Cental Budget'!$B$16:$J$96,'Public Expenditure - kons II'!D$1,FALSE)),VLOOKUP($B46,'Cental Budget'!$B$16:$J$96,'Public Expenditure - kons II'!D$1,FALSE),0)+IF(ISNUMBER(VLOOKUP('Public Expenditure - kons II'!$B46,'Local Government'!$B$16:$I$80,'Public Expenditure - kons II'!D$1,FALSE)),VLOOKUP('Public Expenditure - kons II'!$B46,'Local Government'!$B$16:$I$80,'Public Expenditure - kons II'!D$1,FALSE),0)</f>
        <v>21360360.300000001</v>
      </c>
      <c r="E46" s="98">
        <f t="shared" si="0"/>
        <v>0.60749167253814607</v>
      </c>
      <c r="F46" s="207">
        <f>+IF(ISNUMBER(VLOOKUP($B46,'Cental Budget'!$B$16:$J$96,'Public Expenditure - kons II'!F$1,FALSE)),VLOOKUP($B46,'Cental Budget'!$B$16:$J$96,'Public Expenditure - kons II'!F$1,FALSE),0)+IF(ISNUMBER(VLOOKUP('Public Expenditure - kons II'!$B46,'Local Government'!$B$16:$I$80,'Public Expenditure - kons II'!F$1,FALSE)),VLOOKUP('Public Expenditure - kons II'!$B46,'Local Government'!$B$16:$I$80,'Public Expenditure - kons II'!F$1,FALSE),0)</f>
        <v>20285370.640000004</v>
      </c>
      <c r="G46" s="98">
        <f t="shared" si="2"/>
        <v>0.5769188143399343</v>
      </c>
      <c r="I46" s="81"/>
      <c r="J46" s="81"/>
      <c r="K46" s="81"/>
      <c r="L46" s="81"/>
      <c r="BX46" s="225"/>
      <c r="BY46" s="225"/>
      <c r="BZ46" s="179"/>
      <c r="CA46" s="179"/>
      <c r="CB46" s="179"/>
      <c r="CC46" s="176"/>
    </row>
    <row r="47" spans="1:81" ht="13.5" customHeight="1">
      <c r="B47" s="80">
        <v>419</v>
      </c>
      <c r="C47" s="94" t="s">
        <v>86</v>
      </c>
      <c r="D47" s="207">
        <f>+IF(ISNUMBER(VLOOKUP($B47,'Cental Budget'!$B$16:$J$96,'Public Expenditure - kons II'!D$1,FALSE)),VLOOKUP($B47,'Cental Budget'!$B$16:$J$96,'Public Expenditure - kons II'!D$1,FALSE),0)+IF(ISNUMBER(VLOOKUP('Public Expenditure - kons II'!$B47,'Local Government'!$B$16:$I$80,'Public Expenditure - kons II'!D$1,FALSE)),VLOOKUP('Public Expenditure - kons II'!$B47,'Local Government'!$B$16:$I$80,'Public Expenditure - kons II'!D$1,FALSE),0)</f>
        <v>37300728.740000002</v>
      </c>
      <c r="E47" s="98">
        <f t="shared" si="0"/>
        <v>1.0608380088586002</v>
      </c>
      <c r="F47" s="207">
        <f>+IF(ISNUMBER(VLOOKUP($B47,'Cental Budget'!$B$16:$J$96,'Public Expenditure - kons II'!F$1,FALSE)),VLOOKUP($B47,'Cental Budget'!$B$16:$J$96,'Public Expenditure - kons II'!F$1,FALSE),0)+IF(ISNUMBER(VLOOKUP('Public Expenditure - kons II'!$B47,'Local Government'!$B$16:$I$80,'Public Expenditure - kons II'!F$1,FALSE)),VLOOKUP('Public Expenditure - kons II'!$B47,'Local Government'!$B$16:$I$80,'Public Expenditure - kons II'!F$1,FALSE),0)</f>
        <v>33159016.52</v>
      </c>
      <c r="G47" s="98">
        <f t="shared" si="2"/>
        <v>0.94304712666549972</v>
      </c>
      <c r="I47" s="81"/>
      <c r="J47" s="81"/>
      <c r="K47" s="81"/>
      <c r="L47" s="81"/>
      <c r="BX47" s="225"/>
      <c r="BY47" s="225"/>
      <c r="BZ47" s="179"/>
      <c r="CA47" s="179"/>
      <c r="CB47" s="179"/>
      <c r="CC47" s="176"/>
    </row>
    <row r="48" spans="1:81" ht="13.5" customHeight="1">
      <c r="B48" s="80">
        <v>441</v>
      </c>
      <c r="C48" s="94" t="s">
        <v>130</v>
      </c>
      <c r="D48" s="207">
        <f>+IF(ISNUMBER(VLOOKUP($B48,'Cental Budget'!$B$16:$J$96,'Public Expenditure - kons II'!D$1,FALSE)),VLOOKUP($B48,'Cental Budget'!$B$16:$J$96,'Public Expenditure - kons II'!D$1,FALSE),0)+IF(ISNUMBER(VLOOKUP('Public Expenditure - kons II'!$B48,'Local Government'!$B$16:$I$80,'Public Expenditure - kons II'!D$1,FALSE)),VLOOKUP('Public Expenditure - kons II'!$B48,'Local Government'!$B$16:$I$80,'Public Expenditure - kons II'!D$1,FALSE),0)</f>
        <v>0</v>
      </c>
      <c r="E48" s="98">
        <f t="shared" si="0"/>
        <v>0</v>
      </c>
      <c r="F48" s="207">
        <f>+IF(ISNUMBER(VLOOKUP($B48,'Cental Budget'!$B$16:$J$96,'Public Expenditure - kons II'!F$1,FALSE)),VLOOKUP($B48,'Cental Budget'!$B$16:$J$96,'Public Expenditure - kons II'!F$1,FALSE),0)+IF(ISNUMBER(VLOOKUP('Public Expenditure - kons II'!$B48,'Local Government'!$B$16:$I$80,'Public Expenditure - kons II'!F$1,FALSE)),VLOOKUP('Public Expenditure - kons II'!$B48,'Local Government'!$B$16:$I$80,'Public Expenditure - kons II'!F$1,FALSE),0)</f>
        <v>0</v>
      </c>
      <c r="G48" s="98">
        <f t="shared" si="2"/>
        <v>0</v>
      </c>
      <c r="I48" s="81"/>
      <c r="J48" s="81"/>
      <c r="K48" s="81"/>
      <c r="L48" s="81"/>
      <c r="BX48" s="225"/>
      <c r="BY48" s="225"/>
      <c r="BZ48" s="179"/>
      <c r="CA48" s="179"/>
      <c r="CB48" s="179"/>
      <c r="CC48" s="176"/>
    </row>
    <row r="49" spans="1:81" ht="13.5" customHeight="1">
      <c r="A49" s="80">
        <v>42</v>
      </c>
      <c r="B49" s="80" t="s">
        <v>447</v>
      </c>
      <c r="C49" s="94" t="s">
        <v>87</v>
      </c>
      <c r="D49" s="95">
        <f>+IF(ISNUMBER(VLOOKUP($B49,'Cental Budget'!$B$16:$G$96,'Public Expenditure - kons II'!D$1,FALSE)),VLOOKUP($B49,'Cental Budget'!$B$16:$G$96,'Public Expenditure - kons II'!D$1,FALSE),0)+IF(ISNUMBER(VLOOKUP('Public Expenditure - kons II'!$B49,'Local Government'!$B$16:$G$80,'Public Expenditure - kons II'!D$1,FALSE)),VLOOKUP('Public Expenditure - kons II'!$B49,'Local Government'!$B$16:$G$80,'Public Expenditure - kons II'!D$1,FALSE),0)</f>
        <v>491133971.7324999</v>
      </c>
      <c r="E49" s="98">
        <f t="shared" si="0"/>
        <v>13.967919723155553</v>
      </c>
      <c r="F49" s="95" t="e">
        <f>+F50+F51+F52+F53+F54</f>
        <v>#REF!</v>
      </c>
      <c r="G49" s="98" t="e">
        <f t="shared" si="2"/>
        <v>#REF!</v>
      </c>
      <c r="I49" s="81"/>
      <c r="J49" s="81"/>
      <c r="K49" s="81"/>
      <c r="L49" s="81"/>
      <c r="BX49" s="225"/>
      <c r="BY49" s="225"/>
      <c r="BZ49" s="179"/>
      <c r="CA49" s="179"/>
      <c r="CB49" s="179"/>
      <c r="CC49" s="176"/>
    </row>
    <row r="50" spans="1:81" ht="13.5" customHeight="1">
      <c r="B50" s="80">
        <v>421</v>
      </c>
      <c r="C50" s="100" t="s">
        <v>89</v>
      </c>
      <c r="D50" s="211">
        <f>+IF(ISNUMBER(VLOOKUP($B50,'Cental Budget'!$B$16:$J$96,'Public Expenditure - kons II'!D$1,FALSE)),VLOOKUP($B50,'Cental Budget'!$B$16:$J$96,'Public Expenditure - kons II'!D$1,FALSE),0)+IF(ISNUMBER(VLOOKUP('Public Expenditure - kons II'!$B50,'Local Government'!$B$16:$I$80,'Public Expenditure - kons II'!D$1,FALSE)),VLOOKUP('Public Expenditure - kons II'!$B50,'Local Government'!$B$16:$I$80,'Public Expenditure - kons II'!D$1,FALSE),0)</f>
        <v>61535091.6325</v>
      </c>
      <c r="E50" s="102">
        <f t="shared" si="0"/>
        <v>1.7500667222179533</v>
      </c>
      <c r="F50" s="211">
        <f>+'Cental Budget'!F62+'Local Government'!F55</f>
        <v>61653817.389999993</v>
      </c>
      <c r="G50" s="102">
        <f t="shared" si="2"/>
        <v>1.7534432995782625</v>
      </c>
      <c r="I50" s="81"/>
      <c r="J50" s="81"/>
      <c r="K50" s="81"/>
      <c r="L50" s="81"/>
      <c r="BX50" s="225"/>
      <c r="BY50" s="225"/>
      <c r="BZ50" s="179"/>
      <c r="CA50" s="179"/>
      <c r="CB50" s="179"/>
      <c r="CC50" s="176"/>
    </row>
    <row r="51" spans="1:81" ht="13.5" customHeight="1">
      <c r="B51" s="80">
        <v>422</v>
      </c>
      <c r="C51" s="100" t="s">
        <v>91</v>
      </c>
      <c r="D51" s="211">
        <f>+IF(ISNUMBER(VLOOKUP($B51,'Cental Budget'!$B$16:$J$96,'Public Expenditure - kons II'!D$1,FALSE)),VLOOKUP($B51,'Cental Budget'!$B$16:$J$96,'Public Expenditure - kons II'!D$1,FALSE),0)+IF(ISNUMBER(VLOOKUP('Public Expenditure - kons II'!$B51,'Local Government'!$B$16:$I$80,'Public Expenditure - kons II'!D$1,FALSE)),VLOOKUP('Public Expenditure - kons II'!$B51,'Local Government'!$B$16:$I$80,'Public Expenditure - kons II'!D$1,FALSE),0)</f>
        <v>17492421.32</v>
      </c>
      <c r="E51" s="102">
        <f t="shared" si="0"/>
        <v>0.49748694006948579</v>
      </c>
      <c r="F51" s="211" t="e">
        <f>+'Cental Budget'!F63+'Local Government'!#REF!</f>
        <v>#REF!</v>
      </c>
      <c r="G51" s="102" t="e">
        <f t="shared" si="2"/>
        <v>#REF!</v>
      </c>
      <c r="I51" s="81"/>
      <c r="J51" s="81"/>
      <c r="K51" s="81"/>
      <c r="L51" s="81"/>
      <c r="BX51" s="225"/>
      <c r="BY51" s="225"/>
      <c r="BZ51" s="179"/>
      <c r="CA51" s="179"/>
      <c r="CB51" s="179"/>
      <c r="CC51" s="176"/>
    </row>
    <row r="52" spans="1:81" ht="13.5" customHeight="1">
      <c r="B52" s="80">
        <v>423</v>
      </c>
      <c r="C52" s="100" t="s">
        <v>93</v>
      </c>
      <c r="D52" s="211">
        <f>+IF(ISNUMBER(VLOOKUP($B52,'Cental Budget'!$B$16:$J$96,'Public Expenditure - kons II'!D$1,FALSE)),VLOOKUP($B52,'Cental Budget'!$B$16:$J$96,'Public Expenditure - kons II'!D$1,FALSE),0)+IF(ISNUMBER(VLOOKUP('Public Expenditure - kons II'!$B52,'Local Government'!$B$16:$I$80,'Public Expenditure - kons II'!D$1,FALSE)),VLOOKUP('Public Expenditure - kons II'!$B52,'Local Government'!$B$16:$I$80,'Public Expenditure - kons II'!D$1,FALSE),0)</f>
        <v>389594819.96999991</v>
      </c>
      <c r="E52" s="102">
        <f t="shared" si="0"/>
        <v>11.080131864431758</v>
      </c>
      <c r="F52" s="211">
        <f>+'Cental Budget'!F64</f>
        <v>387038896.73000014</v>
      </c>
      <c r="G52" s="102">
        <f t="shared" si="2"/>
        <v>11.007441045450275</v>
      </c>
      <c r="I52" s="81"/>
      <c r="J52" s="81"/>
      <c r="K52" s="81"/>
      <c r="L52" s="81"/>
      <c r="BX52" s="225"/>
      <c r="BY52" s="225"/>
      <c r="BZ52" s="179"/>
      <c r="CA52" s="179"/>
      <c r="CB52" s="179"/>
      <c r="CC52" s="176"/>
    </row>
    <row r="53" spans="1:81" ht="13.5" customHeight="1">
      <c r="B53" s="80">
        <v>424</v>
      </c>
      <c r="C53" s="100" t="s">
        <v>95</v>
      </c>
      <c r="D53" s="211">
        <f>+IF(ISNUMBER(VLOOKUP($B53,'Cental Budget'!$B$16:$J$96,'Public Expenditure - kons II'!D$1,FALSE)),VLOOKUP($B53,'Cental Budget'!$B$16:$J$96,'Public Expenditure - kons II'!D$1,FALSE),0)+IF(ISNUMBER(VLOOKUP('Public Expenditure - kons II'!$B53,'Local Government'!$B$16:$I$80,'Public Expenditure - kons II'!D$1,FALSE)),VLOOKUP('Public Expenditure - kons II'!$B53,'Local Government'!$B$16:$I$80,'Public Expenditure - kons II'!D$1,FALSE),0)</f>
        <v>14450000</v>
      </c>
      <c r="E53" s="102">
        <f t="shared" si="0"/>
        <v>0.41096004678236675</v>
      </c>
      <c r="F53" s="211">
        <f>+'Cental Budget'!F65</f>
        <v>14449999.999999998</v>
      </c>
      <c r="G53" s="102">
        <f t="shared" si="2"/>
        <v>0.41096004678236664</v>
      </c>
      <c r="I53" s="81"/>
      <c r="J53" s="81"/>
      <c r="K53" s="81"/>
      <c r="L53" s="81"/>
      <c r="BX53" s="225"/>
      <c r="BY53" s="225"/>
      <c r="BZ53" s="179"/>
      <c r="CA53" s="179"/>
      <c r="CB53" s="179"/>
      <c r="CC53" s="176"/>
    </row>
    <row r="54" spans="1:81" ht="13.5" customHeight="1">
      <c r="B54" s="80">
        <v>425</v>
      </c>
      <c r="C54" s="100" t="s">
        <v>451</v>
      </c>
      <c r="D54" s="211">
        <f>+IF(ISNUMBER(VLOOKUP($B54,'Cental Budget'!$B$16:$J$96,'Public Expenditure - kons II'!D$1,FALSE)),VLOOKUP($B54,'Cental Budget'!$B$16:$J$96,'Public Expenditure - kons II'!D$1,FALSE),0)+IF(ISNUMBER(VLOOKUP('Public Expenditure - kons II'!$B54,'Local Government'!$B$16:$I$80,'Public Expenditure - kons II'!D$1,FALSE)),VLOOKUP('Public Expenditure - kons II'!$B54,'Local Government'!$B$16:$I$80,'Public Expenditure - kons II'!D$1,FALSE),0)</f>
        <v>8061638.8099999996</v>
      </c>
      <c r="E54" s="102">
        <f t="shared" si="0"/>
        <v>0.22927414965398912</v>
      </c>
      <c r="F54" s="211">
        <f>+'Cental Budget'!F66</f>
        <v>8061542.0699999994</v>
      </c>
      <c r="G54" s="102">
        <f t="shared" si="2"/>
        <v>0.22927139835468632</v>
      </c>
      <c r="I54" s="81"/>
      <c r="J54" s="81"/>
      <c r="K54" s="81"/>
      <c r="L54" s="81"/>
      <c r="BX54" s="225"/>
      <c r="BY54" s="225"/>
      <c r="BZ54" s="179"/>
      <c r="CA54" s="179"/>
      <c r="CB54" s="179"/>
      <c r="CC54" s="176"/>
    </row>
    <row r="55" spans="1:81" ht="13.5" customHeight="1">
      <c r="A55" s="80">
        <v>43</v>
      </c>
      <c r="C55" s="94" t="s">
        <v>452</v>
      </c>
      <c r="D55" s="95" t="e">
        <f>+SUM(D56:D57)</f>
        <v>#REF!</v>
      </c>
      <c r="E55" s="98" t="e">
        <f t="shared" si="0"/>
        <v>#REF!</v>
      </c>
      <c r="F55" s="95">
        <f>+SUM(F56:F57)</f>
        <v>172650749.48999998</v>
      </c>
      <c r="G55" s="98">
        <f t="shared" si="2"/>
        <v>4.910211770755784</v>
      </c>
      <c r="I55" s="81"/>
      <c r="J55" s="81"/>
      <c r="K55" s="81"/>
      <c r="L55" s="81"/>
      <c r="BX55" s="225"/>
      <c r="BY55" s="225"/>
      <c r="BZ55" s="179"/>
      <c r="CA55" s="179"/>
      <c r="CB55" s="179"/>
      <c r="CC55" s="176"/>
    </row>
    <row r="56" spans="1:81" ht="13.5" customHeight="1">
      <c r="A56" s="80">
        <v>999</v>
      </c>
      <c r="B56" s="80">
        <v>431</v>
      </c>
      <c r="C56" s="100" t="s">
        <v>452</v>
      </c>
      <c r="D56" s="211" t="e">
        <f>+IF(ISNUMBER(VLOOKUP($B56,'Cental Budget'!$B$16:$J$96,'Public Expenditure - kons II'!D$1,FALSE)),VLOOKUP($B56,'Cental Budget'!$B$16:$J$96,'Public Expenditure - kons II'!D$1,FALSE),0)+IF(ISNUMBER(VLOOKUP('Public Expenditure - kons II'!$B56,'Local Government'!$B$16:$I$80,'Public Expenditure - kons II'!D$1,FALSE)),VLOOKUP('Public Expenditure - kons II'!$B56,'Local Government'!$B$16:$I$80,'Public Expenditure - kons II'!D$1,FALSE),0)-'Local Government'!#REF!</f>
        <v>#REF!</v>
      </c>
      <c r="E56" s="102" t="e">
        <f t="shared" si="0"/>
        <v>#REF!</v>
      </c>
      <c r="F56" s="211">
        <f>+IF(ISNUMBER(VLOOKUP($B56,'Cental Budget'!$B$16:$J$96,'Public Expenditure - kons II'!F$1,FALSE)),VLOOKUP($B56,'Cental Budget'!$B$16:$J$96,'Public Expenditure - kons II'!F$1,FALSE),0)+IF(ISNUMBER(VLOOKUP('Public Expenditure - kons II'!$B56,'Local Government'!$B$16:$I$80,'Public Expenditure - kons II'!F$1,FALSE)),VLOOKUP('Public Expenditure - kons II'!$B56,'Local Government'!$B$16:$I$80,'Public Expenditure - kons II'!F$1,FALSE),0)-'Local Government'!F79</f>
        <v>155209146.88999999</v>
      </c>
      <c r="G56" s="102">
        <f t="shared" si="2"/>
        <v>4.4141701222813579</v>
      </c>
      <c r="I56" s="81"/>
      <c r="J56" s="81"/>
      <c r="K56" s="81"/>
      <c r="L56" s="81"/>
      <c r="BX56" s="225"/>
      <c r="BY56" s="225"/>
      <c r="BZ56" s="179"/>
      <c r="CA56" s="179"/>
      <c r="CB56" s="179"/>
      <c r="CC56" s="176"/>
    </row>
    <row r="57" spans="1:81" ht="13.5" customHeight="1" thickBot="1">
      <c r="A57" s="80" t="s">
        <v>447</v>
      </c>
      <c r="B57" s="80">
        <v>432</v>
      </c>
      <c r="C57" s="100" t="s">
        <v>453</v>
      </c>
      <c r="D57" s="211">
        <f>+IF(ISNUMBER(VLOOKUP($B57,'Cental Budget'!$B$16:$J$96,'Public Expenditure - kons II'!D$1,FALSE)),VLOOKUP($B57,'Cental Budget'!$B$16:$J$96,'Public Expenditure - kons II'!D$1,FALSE),0)+IF(ISNUMBER(VLOOKUP('Public Expenditure - kons II'!$B57,'Local Government'!$B$16:$I$80,'Public Expenditure - kons II'!D$1,FALSE)),VLOOKUP('Public Expenditure - kons II'!$B57,'Local Government'!$B$16:$I$80,'Public Expenditure - kons II'!D$1,FALSE),0)</f>
        <v>454930.43</v>
      </c>
      <c r="E57" s="102">
        <f t="shared" si="0"/>
        <v>1.2938285868202228E-2</v>
      </c>
      <c r="F57" s="211">
        <f>+IF(ISNUMBER(VLOOKUP($B57,'Cental Budget'!$B$16:$J$96,'Public Expenditure - kons II'!F$1,FALSE)),VLOOKUP($B57,'Cental Budget'!$B$16:$J$96,'Public Expenditure - kons II'!F$1,FALSE),0)+IF(ISNUMBER(VLOOKUP('Public Expenditure - kons II'!$B57,'Local Government'!$B$16:$I$80,'Public Expenditure - kons II'!F$1,FALSE)),VLOOKUP('Public Expenditure - kons II'!$B57,'Local Government'!$B$16:$I$80,'Public Expenditure - kons II'!F$1,FALSE),0)</f>
        <v>17441602.600000001</v>
      </c>
      <c r="G57" s="102">
        <f t="shared" si="2"/>
        <v>0.49604164847442567</v>
      </c>
      <c r="I57" s="81"/>
      <c r="J57" s="81"/>
      <c r="K57" s="81"/>
      <c r="L57" s="81"/>
      <c r="BX57" s="225"/>
      <c r="BY57" s="225"/>
      <c r="BZ57" s="179"/>
      <c r="CA57" s="179"/>
      <c r="CB57" s="179"/>
      <c r="CC57" s="176"/>
    </row>
    <row r="58" spans="1:81" ht="13.5" customHeight="1" thickTop="1" thickBot="1">
      <c r="B58" s="80">
        <v>44</v>
      </c>
      <c r="C58" s="251" t="s">
        <v>281</v>
      </c>
      <c r="D58" s="250">
        <f>+IF(ISNUMBER(VLOOKUP($B58,'Cental Budget'!$B$16:$J$96,'Public Expenditure - kons II'!D$1,FALSE)),VLOOKUP($B58,'Cental Budget'!$B$16:$J$96,'Public Expenditure - kons II'!D$1,FALSE),0)+IF(ISNUMBER(VLOOKUP('Public Expenditure - kons II'!$B58,'Local Government'!$B$16:$I$80,'Public Expenditure - kons II'!D$1,FALSE)),VLOOKUP('Public Expenditure - kons II'!$B58,'Local Government'!$B$16:$I$80,'Public Expenditure - kons II'!D$1,FALSE),0)</f>
        <v>320567965.24000013</v>
      </c>
      <c r="E58" s="246">
        <f t="shared" si="0"/>
        <v>9.116998338543846</v>
      </c>
      <c r="F58" s="250">
        <f>+IF(ISNUMBER(VLOOKUP($B58,'Cental Budget'!$B$16:$J$96,'Public Expenditure - kons II'!F$1,FALSE)),VLOOKUP($B58,'Cental Budget'!$B$16:$J$96,'Public Expenditure - kons II'!F$1,FALSE),0)+IF(ISNUMBER(VLOOKUP('Public Expenditure - kons II'!$B58,'Local Government'!$B$16:$I$80,'Public Expenditure - kons II'!F$1,FALSE)),VLOOKUP('Public Expenditure - kons II'!$B58,'Local Government'!$B$16:$I$80,'Public Expenditure - kons II'!F$1,FALSE),0)</f>
        <v>296621432.31999999</v>
      </c>
      <c r="G58" s="246">
        <f t="shared" si="2"/>
        <v>8.4359555503723058</v>
      </c>
      <c r="I58" s="81"/>
      <c r="J58" s="81"/>
      <c r="K58" s="81"/>
      <c r="L58" s="81"/>
      <c r="BX58" s="225"/>
      <c r="BY58" s="225"/>
      <c r="BZ58" s="179"/>
      <c r="CA58" s="179"/>
      <c r="CB58" s="179"/>
      <c r="CC58" s="176"/>
    </row>
    <row r="59" spans="1:81" ht="13.5" customHeight="1" thickTop="1">
      <c r="B59" s="80">
        <v>451</v>
      </c>
      <c r="C59" s="94" t="s">
        <v>111</v>
      </c>
      <c r="D59" s="207">
        <f>+IF(ISNUMBER(VLOOKUP($B59,'Cental Budget'!$B$16:$J$96,'Public Expenditure - kons II'!D$1,FALSE)),VLOOKUP($B59,'Cental Budget'!$B$16:$J$96,'Public Expenditure - kons II'!D$1,FALSE),0)+IF(ISNUMBER(VLOOKUP('Public Expenditure - kons II'!$B59,'Local Government'!$B$16:$I$80,'Public Expenditure - kons II'!D$1,FALSE)),VLOOKUP('Public Expenditure - kons II'!$B59,'Local Government'!$B$16:$I$80,'Public Expenditure - kons II'!D$1,FALSE),0)</f>
        <v>5206408.9481499996</v>
      </c>
      <c r="E59" s="98">
        <f t="shared" si="0"/>
        <v>0.14807100795154718</v>
      </c>
      <c r="F59" s="207">
        <f>+IF(ISNUMBER(VLOOKUP($B59,'Cental Budget'!$B$16:$J$96,'Public Expenditure - kons II'!F$1,FALSE)),VLOOKUP($B59,'Cental Budget'!$B$16:$J$96,'Public Expenditure - kons II'!F$1,FALSE),0)+IF(ISNUMBER(VLOOKUP('Public Expenditure - kons II'!$B59,'Local Government'!$B$16:$I$80,'Public Expenditure - kons II'!F$1,FALSE)),VLOOKUP('Public Expenditure - kons II'!$B59,'Local Government'!$B$16:$I$80,'Public Expenditure - kons II'!F$1,FALSE),0)</f>
        <v>4699224.2699999996</v>
      </c>
      <c r="G59" s="98">
        <f t="shared" si="2"/>
        <v>0.13364660386436214</v>
      </c>
      <c r="I59" s="81"/>
      <c r="J59" s="81"/>
      <c r="K59" s="81"/>
      <c r="L59" s="81"/>
      <c r="BX59" s="225"/>
      <c r="BY59" s="225"/>
      <c r="BZ59" s="179"/>
      <c r="CA59" s="179"/>
      <c r="CB59" s="179"/>
      <c r="CC59" s="176"/>
    </row>
    <row r="60" spans="1:81" ht="13.5" customHeight="1" thickBot="1">
      <c r="B60" s="80">
        <v>47</v>
      </c>
      <c r="C60" s="94" t="s">
        <v>118</v>
      </c>
      <c r="D60" s="207">
        <f>+IF(ISNUMBER(VLOOKUP($B60,'Cental Budget'!$B$16:$J$96,'Public Expenditure - kons II'!D$1,FALSE)),VLOOKUP($B60,'Cental Budget'!$B$16:$J$96,'Public Expenditure - kons II'!D$1,FALSE),0)+IF(ISNUMBER(VLOOKUP('Public Expenditure - kons II'!$B60,'Local Government'!$B$16:$I$80,'Public Expenditure - kons II'!D$1,FALSE)),VLOOKUP('Public Expenditure - kons II'!$B60,'Local Government'!$B$16:$I$80,'Public Expenditure - kons II'!D$1,FALSE),0)</f>
        <v>20571648.990150001</v>
      </c>
      <c r="E60" s="98">
        <f t="shared" si="0"/>
        <v>0.58506061116833707</v>
      </c>
      <c r="F60" s="207">
        <f>+IF(ISNUMBER(VLOOKUP($B60,'Cental Budget'!$B$16:$J$96,'Public Expenditure - kons II'!F$1,FALSE)),VLOOKUP($B60,'Cental Budget'!$B$16:$J$96,'Public Expenditure - kons II'!F$1,FALSE),0)+IF(ISNUMBER(VLOOKUP('Public Expenditure - kons II'!$B60,'Local Government'!$B$16:$I$80,'Public Expenditure - kons II'!F$1,FALSE)),VLOOKUP('Public Expenditure - kons II'!$B60,'Local Government'!$B$16:$I$80,'Public Expenditure - kons II'!F$1,FALSE),0)</f>
        <v>18527677.710000001</v>
      </c>
      <c r="G60" s="98">
        <f t="shared" si="2"/>
        <v>0.52692977844084521</v>
      </c>
      <c r="I60" s="81"/>
      <c r="J60" s="81"/>
      <c r="K60" s="81"/>
      <c r="L60" s="81"/>
      <c r="BX60" s="225"/>
      <c r="BY60" s="225"/>
      <c r="BZ60" s="179"/>
      <c r="CA60" s="179"/>
      <c r="CB60" s="179"/>
      <c r="CC60" s="176"/>
    </row>
    <row r="61" spans="1:81" ht="13.5" customHeight="1" thickTop="1" thickBot="1">
      <c r="B61" s="80">
        <v>462</v>
      </c>
      <c r="C61" s="192" t="s">
        <v>113</v>
      </c>
      <c r="D61" s="227">
        <f>+IF(ISNUMBER(VLOOKUP($B61,'Cental Budget'!$B$16:$J$96,'Public Expenditure - kons II'!D$1,FALSE)),VLOOKUP($B61,'Cental Budget'!$B$16:$J$96,'Public Expenditure - kons II'!D$1,FALSE),0)+IF(ISNUMBER(VLOOKUP('Public Expenditure - kons II'!$B61,'Local Government'!$B$16:$I$80,'Public Expenditure - kons II'!D$1,FALSE)),VLOOKUP('Public Expenditure - kons II'!$B61,'Local Government'!$B$16:$I$80,'Public Expenditure - kons II'!D$1,FALSE),0)</f>
        <v>0</v>
      </c>
      <c r="E61" s="194">
        <f t="shared" si="0"/>
        <v>0</v>
      </c>
      <c r="F61" s="227">
        <f>+IF(ISNUMBER(VLOOKUP($B61,'Cental Budget'!$B$16:$J$96,'Public Expenditure - kons II'!F$1,FALSE)),VLOOKUP($B61,'Cental Budget'!$B$16:$J$96,'Public Expenditure - kons II'!F$1,FALSE),0)+IF(ISNUMBER(VLOOKUP('Public Expenditure - kons II'!$B61,'Local Government'!$B$16:$I$80,'Public Expenditure - kons II'!F$1,FALSE)),VLOOKUP('Public Expenditure - kons II'!$B61,'Local Government'!$B$16:$I$80,'Public Expenditure - kons II'!F$1,FALSE),0)</f>
        <v>0</v>
      </c>
      <c r="G61" s="194">
        <f t="shared" si="2"/>
        <v>0</v>
      </c>
      <c r="I61" s="81"/>
      <c r="J61" s="81"/>
      <c r="K61" s="81"/>
      <c r="L61" s="81"/>
      <c r="BX61" s="225"/>
      <c r="BY61" s="225"/>
      <c r="BZ61" s="179"/>
      <c r="CA61" s="179"/>
      <c r="CB61" s="179"/>
      <c r="CC61" s="176"/>
    </row>
    <row r="62" spans="1:81" ht="13.5" customHeight="1" thickTop="1" thickBot="1">
      <c r="B62" s="80">
        <v>990</v>
      </c>
      <c r="C62" s="191" t="s">
        <v>152</v>
      </c>
      <c r="D62" s="207">
        <f>+IF(ISNUMBER(VLOOKUP($B62,'Cental Budget'!$B$16:$J$96,'Public Expenditure - kons II'!D$1,FALSE)),VLOOKUP($B62,'Cental Budget'!$B$16:$J$96,'Public Expenditure - kons II'!D$1,FALSE),0)+IF(ISNUMBER(VLOOKUP('Public Expenditure - kons II'!$B62,'Local Government'!$B$16:$I$80,'Public Expenditure - kons II'!D$1,FALSE)),VLOOKUP('Public Expenditure - kons II'!$B62,'Local Government'!$B$16:$I$80,'Public Expenditure - kons II'!D$1,FALSE),0)</f>
        <v>0</v>
      </c>
      <c r="E62" s="98">
        <f t="shared" si="0"/>
        <v>0</v>
      </c>
      <c r="F62" s="207">
        <f>+IF(ISNUMBER(VLOOKUP($B62,'Cental Budget'!$B$16:$J$96,'Public Expenditure - kons II'!F$1,FALSE)),VLOOKUP($B62,'Cental Budget'!$B$16:$J$96,'Public Expenditure - kons II'!F$1,FALSE),0)+IF(ISNUMBER(VLOOKUP('Public Expenditure - kons II'!$B62,'Local Government'!$B$16:$I$80,'Public Expenditure - kons II'!F$1,FALSE)),VLOOKUP('Public Expenditure - kons II'!$B62,'Local Government'!$B$16:$I$80,'Public Expenditure - kons II'!F$1,FALSE),0)</f>
        <v>-37660103.760000005</v>
      </c>
      <c r="G62" s="98">
        <f t="shared" si="2"/>
        <v>-1.0710586853313764</v>
      </c>
      <c r="I62" s="81"/>
      <c r="J62" s="81"/>
      <c r="K62" s="81"/>
      <c r="L62" s="81"/>
      <c r="BX62" s="225"/>
      <c r="BY62" s="225"/>
      <c r="BZ62" s="179"/>
      <c r="CA62" s="179"/>
      <c r="CB62" s="179"/>
      <c r="CC62" s="176"/>
    </row>
    <row r="63" spans="1:81" ht="13.5" customHeight="1" thickTop="1" thickBot="1">
      <c r="C63" s="251" t="s">
        <v>132</v>
      </c>
      <c r="D63" s="245" t="e">
        <f>+D16-D36</f>
        <v>#REF!</v>
      </c>
      <c r="E63" s="246" t="e">
        <f t="shared" si="0"/>
        <v>#REF!</v>
      </c>
      <c r="F63" s="245" t="e">
        <f>+F16-F36</f>
        <v>#REF!</v>
      </c>
      <c r="G63" s="246" t="e">
        <f t="shared" si="2"/>
        <v>#REF!</v>
      </c>
      <c r="I63" s="81"/>
      <c r="J63" s="81"/>
      <c r="K63" s="81"/>
      <c r="L63" s="81"/>
      <c r="BX63" s="225"/>
      <c r="BY63" s="225"/>
      <c r="BZ63" s="179"/>
      <c r="CA63" s="179"/>
      <c r="CB63" s="179"/>
      <c r="CC63" s="176"/>
    </row>
    <row r="64" spans="1:81" ht="13.5" customHeight="1" thickTop="1" thickBot="1">
      <c r="C64" s="251" t="s">
        <v>133</v>
      </c>
      <c r="D64" s="245" t="e">
        <f>+D63+D44</f>
        <v>#REF!</v>
      </c>
      <c r="E64" s="246" t="e">
        <f t="shared" si="0"/>
        <v>#REF!</v>
      </c>
      <c r="F64" s="245" t="e">
        <f>+F63+F44</f>
        <v>#REF!</v>
      </c>
      <c r="G64" s="246" t="e">
        <f t="shared" si="2"/>
        <v>#REF!</v>
      </c>
      <c r="I64" s="81"/>
      <c r="J64" s="81"/>
      <c r="K64" s="81"/>
      <c r="L64" s="81"/>
      <c r="BX64" s="225"/>
      <c r="BY64" s="225"/>
      <c r="BZ64" s="179"/>
      <c r="CA64" s="179"/>
      <c r="CB64" s="179"/>
      <c r="CC64" s="176"/>
    </row>
    <row r="65" spans="2:81" ht="13.5" customHeight="1" thickTop="1" thickBot="1">
      <c r="C65" s="251" t="s">
        <v>0</v>
      </c>
      <c r="D65" s="245">
        <f>+SUM(D66:D68)</f>
        <v>413481004.42000002</v>
      </c>
      <c r="E65" s="246">
        <f t="shared" si="0"/>
        <v>11.759458333568388</v>
      </c>
      <c r="F65" s="245">
        <f>+SUM(F66:F68)</f>
        <v>693193659.4799999</v>
      </c>
      <c r="G65" s="246">
        <f t="shared" si="2"/>
        <v>19.714525863608358</v>
      </c>
      <c r="I65" s="81"/>
      <c r="J65" s="81"/>
      <c r="K65" s="81"/>
      <c r="L65" s="81"/>
      <c r="BX65" s="225"/>
      <c r="BY65" s="225"/>
      <c r="BZ65" s="179"/>
      <c r="CA65" s="179"/>
      <c r="CB65" s="179"/>
      <c r="CC65" s="176"/>
    </row>
    <row r="66" spans="2:81" ht="13.5" customHeight="1" thickTop="1">
      <c r="B66" s="80">
        <v>4611</v>
      </c>
      <c r="C66" s="100" t="s">
        <v>135</v>
      </c>
      <c r="D66" s="211">
        <f>+IF(ISNUMBER(VLOOKUP($B66,'Cental Budget'!$B$16:$J$96,'Public Expenditure - kons II'!D$1,FALSE)),VLOOKUP($B66,'Cental Budget'!$B$16:$J$96,'Public Expenditure - kons II'!D$1,FALSE),0)+IF(ISNUMBER(VLOOKUP('Public Expenditure - kons II'!$B66,'Local Government'!$B$16:$I$80,'Public Expenditure - kons II'!D$1,FALSE)),VLOOKUP('Public Expenditure - kons II'!$B66,'Local Government'!$B$16:$I$80,'Public Expenditure - kons II'!D$1,FALSE),0)</f>
        <v>51210121.920000002</v>
      </c>
      <c r="E66" s="102">
        <f t="shared" si="0"/>
        <v>1.4564231211054606</v>
      </c>
      <c r="F66" s="211">
        <f>+IF(ISNUMBER(VLOOKUP($B66,'Cental Budget'!$B$16:$J$96,'Public Expenditure - kons II'!F$1,FALSE)),VLOOKUP($B66,'Cental Budget'!$B$16:$J$96,'Public Expenditure - kons II'!F$1,FALSE),0)+IF(ISNUMBER(VLOOKUP('Public Expenditure - kons II'!$B66,'Local Government'!$B$16:$I$80,'Public Expenditure - kons II'!F$1,FALSE)),VLOOKUP('Public Expenditure - kons II'!$B66,'Local Government'!$B$16:$I$80,'Public Expenditure - kons II'!F$1,FALSE),0)</f>
        <v>246595858.46999997</v>
      </c>
      <c r="G66" s="102">
        <f t="shared" si="2"/>
        <v>7.0132211441639498</v>
      </c>
      <c r="I66" s="81"/>
      <c r="J66" s="81"/>
      <c r="K66" s="81"/>
      <c r="L66" s="81"/>
      <c r="BX66" s="225"/>
      <c r="BY66" s="225"/>
      <c r="BZ66" s="179"/>
      <c r="CA66" s="179"/>
      <c r="CB66" s="179"/>
      <c r="CC66" s="176"/>
    </row>
    <row r="67" spans="2:81" ht="13.5" customHeight="1">
      <c r="B67" s="80">
        <v>4612</v>
      </c>
      <c r="C67" s="100" t="s">
        <v>137</v>
      </c>
      <c r="D67" s="211">
        <f>+IF(ISNUMBER(VLOOKUP($B67,'Cental Budget'!$B$16:$J$96,'Public Expenditure - kons II'!D$1,FALSE)),VLOOKUP($B67,'Cental Budget'!$B$16:$J$96,'Public Expenditure - kons II'!D$1,FALSE),0)+IF(ISNUMBER(VLOOKUP('Public Expenditure - kons II'!$B67,'Local Government'!$B$16:$I$80,'Public Expenditure - kons II'!D$1,FALSE)),VLOOKUP('Public Expenditure - kons II'!$B67,'Local Government'!$B$16:$I$80,'Public Expenditure - kons II'!D$1,FALSE),0)</f>
        <v>322270882.5</v>
      </c>
      <c r="E67" s="102">
        <f t="shared" si="0"/>
        <v>9.1654295466293849</v>
      </c>
      <c r="F67" s="211">
        <f>+IF(ISNUMBER(VLOOKUP($B67,'Cental Budget'!$B$16:$J$96,'Public Expenditure - kons II'!F$1,FALSE)),VLOOKUP($B67,'Cental Budget'!$B$16:$J$96,'Public Expenditure - kons II'!F$1,FALSE),0)+IF(ISNUMBER(VLOOKUP('Public Expenditure - kons II'!$B67,'Local Government'!$B$16:$I$80,'Public Expenditure - kons II'!F$1,FALSE)),VLOOKUP('Public Expenditure - kons II'!$B67,'Local Government'!$B$16:$I$80,'Public Expenditure - kons II'!F$1,FALSE),0)</f>
        <v>322071153.61000001</v>
      </c>
      <c r="G67" s="102">
        <f t="shared" si="2"/>
        <v>9.1597492287070192</v>
      </c>
      <c r="I67" s="81"/>
      <c r="J67" s="81"/>
      <c r="K67" s="81"/>
      <c r="L67" s="81"/>
      <c r="BX67" s="225"/>
      <c r="BY67" s="225"/>
      <c r="BZ67" s="179"/>
      <c r="CA67" s="179"/>
      <c r="CB67" s="179"/>
      <c r="CC67" s="176"/>
    </row>
    <row r="68" spans="2:81" ht="13.5" customHeight="1" thickBot="1">
      <c r="B68" s="80">
        <v>4630</v>
      </c>
      <c r="C68" s="100" t="s">
        <v>116</v>
      </c>
      <c r="D68" s="211">
        <f>+IF(ISNUMBER(VLOOKUP($B68,'Cental Budget'!$B$16:$J$96,'Public Expenditure - kons II'!D$1,FALSE)),VLOOKUP($B68,'Cental Budget'!$B$16:$J$96,'Public Expenditure - kons II'!D$1,FALSE),0)+IF(ISNUMBER(VLOOKUP('Public Expenditure - kons II'!$B68,'Local Government'!$B$16:$I$80,'Public Expenditure - kons II'!D$1,FALSE)),VLOOKUP('Public Expenditure - kons II'!$B68,'Local Government'!$B$16:$I$80,'Public Expenditure - kons II'!D$1,FALSE),0)</f>
        <v>40000000</v>
      </c>
      <c r="E68" s="102">
        <f t="shared" si="0"/>
        <v>1.1376056658335412</v>
      </c>
      <c r="F68" s="211">
        <f>+IF(ISNUMBER(VLOOKUP($B68,'Cental Budget'!$B$16:$J$96,'Public Expenditure - kons II'!F$1,FALSE)),VLOOKUP($B68,'Cental Budget'!$B$16:$J$96,'Public Expenditure - kons II'!F$1,FALSE),0)+IF(ISNUMBER(VLOOKUP('Public Expenditure - kons II'!$B68,'Local Government'!$B$16:$I$80,'Public Expenditure - kons II'!F$1,FALSE)),VLOOKUP('Public Expenditure - kons II'!$B68,'Local Government'!$B$16:$I$80,'Public Expenditure - kons II'!F$1,FALSE),0)</f>
        <v>124526647.40000001</v>
      </c>
      <c r="G68" s="102">
        <f t="shared" si="2"/>
        <v>3.5415554907373901</v>
      </c>
      <c r="I68" s="81"/>
      <c r="J68" s="81"/>
      <c r="K68" s="81"/>
      <c r="L68" s="81"/>
      <c r="BX68" s="225"/>
      <c r="BY68" s="225"/>
      <c r="BZ68" s="179"/>
      <c r="CA68" s="179"/>
      <c r="CB68" s="179"/>
      <c r="CC68" s="176"/>
    </row>
    <row r="69" spans="2:81" ht="13.5" customHeight="1" thickTop="1" thickBot="1">
      <c r="C69" s="251" t="s">
        <v>141</v>
      </c>
      <c r="D69" s="245" t="e">
        <f>+D63-D65</f>
        <v>#REF!</v>
      </c>
      <c r="E69" s="246" t="e">
        <f t="shared" si="0"/>
        <v>#REF!</v>
      </c>
      <c r="F69" s="245" t="e">
        <f>+F63-F65</f>
        <v>#REF!</v>
      </c>
      <c r="G69" s="246" t="e">
        <f t="shared" si="2"/>
        <v>#REF!</v>
      </c>
      <c r="I69" s="81"/>
      <c r="J69" s="81"/>
      <c r="K69" s="81"/>
      <c r="L69" s="81"/>
      <c r="BX69" s="225"/>
      <c r="BY69" s="225"/>
      <c r="BZ69" s="179"/>
      <c r="CA69" s="179"/>
      <c r="CB69" s="179"/>
      <c r="CC69" s="176"/>
    </row>
    <row r="70" spans="2:81" ht="13.5" customHeight="1" thickTop="1" thickBot="1">
      <c r="C70" s="251" t="s">
        <v>121</v>
      </c>
      <c r="D70" s="245" t="e">
        <f>+SUM(D71:D74)</f>
        <v>#REF!</v>
      </c>
      <c r="E70" s="246" t="e">
        <f t="shared" si="0"/>
        <v>#REF!</v>
      </c>
      <c r="F70" s="245" t="e">
        <f>+SUM(F71:F74)</f>
        <v>#REF!</v>
      </c>
      <c r="G70" s="246" t="e">
        <f t="shared" si="2"/>
        <v>#REF!</v>
      </c>
      <c r="I70" s="81"/>
      <c r="J70" s="81"/>
      <c r="K70" s="81"/>
      <c r="L70" s="81"/>
      <c r="BX70" s="225"/>
      <c r="BY70" s="225"/>
      <c r="BZ70" s="179"/>
      <c r="CA70" s="179"/>
      <c r="CB70" s="179"/>
      <c r="CC70" s="176"/>
    </row>
    <row r="71" spans="2:81" ht="13.5" customHeight="1" thickTop="1">
      <c r="B71" s="80">
        <v>7511</v>
      </c>
      <c r="C71" s="100" t="s">
        <v>144</v>
      </c>
      <c r="D71" s="211">
        <f>+IF(ISNUMBER(VLOOKUP($B71,'Cental Budget'!$B$16:$J$96,'Public Expenditure - kons II'!D$1,FALSE)),VLOOKUP($B71,'Cental Budget'!$B$16:$J$96,'Public Expenditure - kons II'!D$1,FALSE),0)+IF(ISNUMBER(VLOOKUP('Public Expenditure - kons II'!$B71,'Local Government'!$B$16:$I$80,'Public Expenditure - kons II'!D$1,FALSE)),VLOOKUP('Public Expenditure - kons II'!$B71,'Local Government'!$B$16:$I$80,'Public Expenditure - kons II'!D$1,FALSE),0)</f>
        <v>6000000</v>
      </c>
      <c r="E71" s="102">
        <f t="shared" si="0"/>
        <v>0.17064084987503117</v>
      </c>
      <c r="F71" s="211">
        <f>+IF(ISNUMBER(VLOOKUP($B71,'Cental Budget'!$B$16:$J$96,'Public Expenditure - kons II'!F$1,FALSE)),VLOOKUP($B71,'Cental Budget'!$B$16:$J$96,'Public Expenditure - kons II'!F$1,FALSE),0)+IF(ISNUMBER(VLOOKUP('Public Expenditure - kons II'!$B71,'Local Government'!$B$16:$I$80,'Public Expenditure - kons II'!F$1,FALSE)),VLOOKUP('Public Expenditure - kons II'!$B71,'Local Government'!$B$16:$I$80,'Public Expenditure - kons II'!F$1,FALSE),0)</f>
        <v>219053094.57000002</v>
      </c>
      <c r="G71" s="102">
        <f t="shared" si="2"/>
        <v>6.2299010375300634</v>
      </c>
      <c r="I71" s="81"/>
      <c r="J71" s="81"/>
      <c r="K71" s="81"/>
      <c r="L71" s="81"/>
      <c r="BX71" s="225"/>
      <c r="BY71" s="225"/>
      <c r="BZ71" s="179"/>
      <c r="CA71" s="179"/>
      <c r="CB71" s="179"/>
      <c r="CC71" s="176"/>
    </row>
    <row r="72" spans="2:81" ht="13.5" customHeight="1">
      <c r="B72" s="80">
        <v>7512</v>
      </c>
      <c r="C72" s="100" t="s">
        <v>122</v>
      </c>
      <c r="D72" s="211">
        <f>+IF(ISNUMBER(VLOOKUP($B72,'Cental Budget'!$B$16:$J$96,'Public Expenditure - kons II'!D$1,FALSE)),VLOOKUP($B72,'Cental Budget'!$B$16:$J$96,'Public Expenditure - kons II'!D$1,FALSE),0)+IF(ISNUMBER(VLOOKUP('Public Expenditure - kons II'!$B72,'Local Government'!$B$16:$I$80,'Public Expenditure - kons II'!D$1,FALSE)),VLOOKUP('Public Expenditure - kons II'!$B72,'Local Government'!$B$16:$I$80,'Public Expenditure - kons II'!D$1,FALSE),0)</f>
        <v>634081638.83661723</v>
      </c>
      <c r="E72" s="102">
        <f t="shared" si="0"/>
        <v>18.033371623538823</v>
      </c>
      <c r="F72" s="211">
        <f>+IF(ISNUMBER(VLOOKUP($B72,'Cental Budget'!$B$16:$J$96,'Public Expenditure - kons II'!F$1,FALSE)),VLOOKUP($B72,'Cental Budget'!$B$16:$J$96,'Public Expenditure - kons II'!F$1,FALSE),0)+IF(ISNUMBER(VLOOKUP('Public Expenditure - kons II'!$B72,'Local Government'!$B$16:$I$80,'Public Expenditure - kons II'!F$1,FALSE)),VLOOKUP('Public Expenditure - kons II'!$B72,'Local Government'!$B$16:$I$80,'Public Expenditure - kons II'!F$1,FALSE),0)</f>
        <v>660712170.42999995</v>
      </c>
      <c r="G72" s="102">
        <f t="shared" si="2"/>
        <v>18.790747714158606</v>
      </c>
      <c r="I72" s="81"/>
      <c r="J72" s="81"/>
      <c r="K72" s="81"/>
      <c r="L72" s="81"/>
      <c r="BX72" s="225"/>
      <c r="BY72" s="225"/>
      <c r="BZ72" s="179"/>
      <c r="CA72" s="179"/>
      <c r="CB72" s="179"/>
      <c r="CC72" s="176"/>
    </row>
    <row r="73" spans="2:81" ht="13.5" customHeight="1" thickBot="1">
      <c r="B73" s="80">
        <v>72</v>
      </c>
      <c r="C73" s="114" t="s">
        <v>329</v>
      </c>
      <c r="D73" s="211">
        <f>+IF(ISNUMBER(VLOOKUP($B73,'Cental Budget'!$B$16:$J$96,'Public Expenditure - kons II'!D$1,FALSE)),VLOOKUP($B73,'Cental Budget'!$B$16:$J$96,'Public Expenditure - kons II'!D$1,FALSE),0)+IF(ISNUMBER(VLOOKUP('Public Expenditure - kons II'!$B73,'Local Government'!$B$16:$I$80,'Public Expenditure - kons II'!D$1,FALSE)),VLOOKUP('Public Expenditure - kons II'!$B73,'Local Government'!$B$16:$I$80,'Public Expenditure - kons II'!D$1,FALSE),0)</f>
        <v>2000000</v>
      </c>
      <c r="E73" s="116">
        <f t="shared" si="0"/>
        <v>5.6880283291677061E-2</v>
      </c>
      <c r="F73" s="211">
        <f>+IF(ISNUMBER(VLOOKUP($B73,'Cental Budget'!$B$16:$J$96,'Public Expenditure - kons II'!F$1,FALSE)),VLOOKUP($B73,'Cental Budget'!$B$16:$J$96,'Public Expenditure - kons II'!F$1,FALSE),0)+IF(ISNUMBER(VLOOKUP('Public Expenditure - kons II'!$B73,'Local Government'!$B$16:$I$80,'Public Expenditure - kons II'!F$1,FALSE)),VLOOKUP('Public Expenditure - kons II'!$B73,'Local Government'!$B$16:$I$80,'Public Expenditure - kons II'!F$1,FALSE),0)</f>
        <v>9675228.1400000006</v>
      </c>
      <c r="G73" s="116">
        <f t="shared" si="2"/>
        <v>0.27516485875740287</v>
      </c>
      <c r="I73" s="81"/>
      <c r="J73" s="81"/>
      <c r="K73" s="81"/>
      <c r="L73" s="81"/>
      <c r="BX73" s="225"/>
      <c r="BY73" s="225"/>
      <c r="BZ73" s="179"/>
      <c r="CA73" s="179"/>
      <c r="CB73" s="179"/>
      <c r="CC73" s="176"/>
    </row>
    <row r="74" spans="2:81" ht="13.5" customHeight="1" thickTop="1" thickBot="1">
      <c r="C74" s="192" t="s">
        <v>125</v>
      </c>
      <c r="D74" s="193" t="e">
        <f>-D69-SUM(D71:D73)</f>
        <v>#REF!</v>
      </c>
      <c r="E74" s="194" t="e">
        <f t="shared" si="0"/>
        <v>#REF!</v>
      </c>
      <c r="F74" s="193" t="e">
        <f>-F69-SUM(F71:F73)</f>
        <v>#REF!</v>
      </c>
      <c r="G74" s="194" t="e">
        <f t="shared" si="2"/>
        <v>#REF!</v>
      </c>
      <c r="I74" s="81"/>
      <c r="J74" s="81"/>
      <c r="K74" s="81"/>
      <c r="L74" s="81"/>
      <c r="BX74" s="225"/>
      <c r="BY74" s="225"/>
      <c r="BZ74" s="179"/>
      <c r="CA74" s="179"/>
      <c r="CB74" s="179"/>
      <c r="CC74" s="176"/>
    </row>
    <row r="75" spans="2:81" ht="13.5" thickTop="1">
      <c r="C75" s="119" t="str">
        <f>IF(MasterSheet!$A$1=1,MasterSheet!C151,MasterSheet!B151)</f>
        <v>Izvor: Ministarstvo finansija Crne Gore</v>
      </c>
      <c r="I75" s="81"/>
      <c r="J75" s="81"/>
      <c r="K75" s="81"/>
      <c r="L75" s="81"/>
    </row>
  </sheetData>
  <sheetProtection formatCells="0" formatColumns="0" formatRows="0" sort="0" autoFilter="0"/>
  <mergeCells count="5">
    <mergeCell ref="D11:E11"/>
    <mergeCell ref="F11:G11"/>
    <mergeCell ref="F14:G14"/>
    <mergeCell ref="C14:C15"/>
    <mergeCell ref="D14:E14"/>
  </mergeCells>
  <printOptions horizontalCentered="1" verticalCentered="1"/>
  <pageMargins left="0" right="0" top="0.19685039370078741" bottom="0.19685039370078741" header="0" footer="0"/>
  <pageSetup paperSize="9" scale="1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1019175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5"/>
  <sheetViews>
    <sheetView topLeftCell="A9" workbookViewId="0">
      <selection activeCell="C21" sqref="C21"/>
    </sheetView>
  </sheetViews>
  <sheetFormatPr defaultRowHeight="12.75"/>
  <cols>
    <col min="2" max="2" width="42.7109375" customWidth="1"/>
    <col min="3" max="3" width="17.7109375" bestFit="1" customWidth="1"/>
  </cols>
  <sheetData>
    <row r="1" spans="2:3" ht="13.5" thickBot="1"/>
    <row r="2" spans="2:3" ht="16.5" thickBot="1">
      <c r="B2" s="382" t="s">
        <v>501</v>
      </c>
      <c r="C2" s="383" t="s">
        <v>502</v>
      </c>
    </row>
    <row r="3" spans="2:3" ht="16.5" thickBot="1">
      <c r="B3" s="384" t="s">
        <v>418</v>
      </c>
      <c r="C3" s="385">
        <v>1353669813.1500001</v>
      </c>
    </row>
    <row r="4" spans="2:3" ht="15.75" thickBot="1">
      <c r="B4" s="386" t="s">
        <v>2</v>
      </c>
      <c r="C4" s="387">
        <v>833203582.51999998</v>
      </c>
    </row>
    <row r="5" spans="2:3" ht="15.75" thickBot="1">
      <c r="B5" s="386" t="s">
        <v>19</v>
      </c>
      <c r="C5" s="387">
        <v>444303244.55000001</v>
      </c>
    </row>
    <row r="6" spans="2:3" ht="15.75" thickBot="1">
      <c r="B6" s="386" t="s">
        <v>29</v>
      </c>
      <c r="C6" s="387">
        <v>15038439.810000001</v>
      </c>
    </row>
    <row r="7" spans="2:3" ht="15.75" thickBot="1">
      <c r="B7" s="386" t="s">
        <v>39</v>
      </c>
      <c r="C7" s="387">
        <v>17342019.190000001</v>
      </c>
    </row>
    <row r="8" spans="2:3" ht="15.75" thickBot="1">
      <c r="B8" s="386" t="s">
        <v>53</v>
      </c>
      <c r="C8" s="387">
        <v>29705548.170000002</v>
      </c>
    </row>
    <row r="9" spans="2:3" ht="15.75" thickBot="1">
      <c r="B9" s="386" t="s">
        <v>503</v>
      </c>
      <c r="C9" s="387">
        <v>8522051.1899999995</v>
      </c>
    </row>
    <row r="10" spans="2:3" ht="16.5" thickBot="1">
      <c r="B10" s="384" t="s">
        <v>504</v>
      </c>
      <c r="C10" s="385">
        <v>5554927.7199999997</v>
      </c>
    </row>
    <row r="11" spans="2:3" ht="16.5" thickBot="1">
      <c r="B11" s="384" t="s">
        <v>505</v>
      </c>
      <c r="C11" s="388">
        <v>1456693340.74</v>
      </c>
    </row>
    <row r="12" spans="2:3" ht="15.75" thickBot="1">
      <c r="B12" s="386" t="s">
        <v>506</v>
      </c>
      <c r="C12" s="389">
        <v>1381540966.4100001</v>
      </c>
    </row>
    <row r="13" spans="2:3" ht="15.75" thickBot="1">
      <c r="B13" s="386" t="s">
        <v>131</v>
      </c>
      <c r="C13" s="389">
        <v>75152374.329999998</v>
      </c>
    </row>
    <row r="14" spans="2:3" ht="16.5" thickBot="1">
      <c r="B14" s="384" t="s">
        <v>507</v>
      </c>
      <c r="C14" s="388">
        <v>-103023527.59</v>
      </c>
    </row>
    <row r="15" spans="2:3" ht="32.25" thickBot="1">
      <c r="B15" s="384" t="s">
        <v>508</v>
      </c>
      <c r="C15" s="388">
        <v>-107114801.75</v>
      </c>
    </row>
    <row r="16" spans="2:3" ht="32.25" thickBot="1">
      <c r="B16" s="384" t="s">
        <v>509</v>
      </c>
      <c r="C16" s="388">
        <v>-31598406.34</v>
      </c>
    </row>
    <row r="17" spans="2:3" ht="16.5" thickBot="1">
      <c r="B17" s="384" t="s">
        <v>424</v>
      </c>
      <c r="C17" s="385">
        <v>434061211.94</v>
      </c>
    </row>
    <row r="18" spans="2:3" ht="15.75" thickBot="1">
      <c r="B18" s="386" t="s">
        <v>158</v>
      </c>
      <c r="C18" s="389">
        <v>239006096.46000001</v>
      </c>
    </row>
    <row r="19" spans="2:3" ht="15.75" thickBot="1">
      <c r="B19" s="386" t="s">
        <v>159</v>
      </c>
      <c r="C19" s="387">
        <v>195055115.47999999</v>
      </c>
    </row>
    <row r="20" spans="2:3" ht="16.5" thickBot="1">
      <c r="B20" s="384" t="s">
        <v>510</v>
      </c>
      <c r="C20" s="385">
        <v>5356215.67</v>
      </c>
    </row>
    <row r="21" spans="2:3" ht="16.5" thickBot="1">
      <c r="B21" s="384" t="s">
        <v>425</v>
      </c>
      <c r="C21" s="385">
        <f>+C17-C15+C20</f>
        <v>546532229.36000001</v>
      </c>
    </row>
    <row r="22" spans="2:3" ht="16.5" thickBot="1">
      <c r="B22" s="384" t="s">
        <v>426</v>
      </c>
      <c r="C22" s="385">
        <v>546532229.36000001</v>
      </c>
    </row>
    <row r="23" spans="2:3" ht="30.75" thickBot="1">
      <c r="B23" s="386" t="s">
        <v>511</v>
      </c>
      <c r="C23" s="387">
        <v>535749125.5</v>
      </c>
    </row>
    <row r="24" spans="2:3" ht="15.75" thickBot="1">
      <c r="B24" s="386" t="s">
        <v>124</v>
      </c>
      <c r="C24" s="387">
        <v>6691829.7000000002</v>
      </c>
    </row>
    <row r="25" spans="2:3" ht="30.75" thickBot="1">
      <c r="B25" s="386" t="s">
        <v>512</v>
      </c>
      <c r="C25" s="387">
        <v>4091274.16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B81"/>
  <sheetViews>
    <sheetView zoomScale="85" zoomScaleNormal="85" workbookViewId="0">
      <selection activeCell="W35" sqref="W35"/>
    </sheetView>
  </sheetViews>
  <sheetFormatPr defaultColWidth="9.28515625" defaultRowHeight="12.75"/>
  <cols>
    <col min="1" max="2" width="9.28515625" style="80" customWidth="1"/>
    <col min="3" max="3" width="55.7109375" style="80" bestFit="1" customWidth="1"/>
    <col min="4" max="9" width="7.7109375" style="80" customWidth="1"/>
    <col min="10" max="10" width="28.42578125" style="80" customWidth="1"/>
    <col min="11" max="11" width="13.42578125" style="80" customWidth="1"/>
    <col min="12" max="12" width="13.28515625" style="80" bestFit="1" customWidth="1"/>
    <col min="13" max="72" width="9.28515625" style="80" customWidth="1"/>
    <col min="73" max="73" width="9.28515625" style="80"/>
    <col min="74" max="74" width="15.42578125" style="80" customWidth="1"/>
    <col min="75" max="75" width="12.7109375" style="80" customWidth="1"/>
    <col min="76" max="76" width="11.7109375" style="80" customWidth="1"/>
    <col min="77" max="16384" width="9.28515625" style="80"/>
  </cols>
  <sheetData>
    <row r="1" spans="2:72" s="163" customFormat="1" ht="15" customHeight="1">
      <c r="C1" s="161"/>
      <c r="D1" s="120">
        <v>3</v>
      </c>
      <c r="E1" s="120">
        <v>4</v>
      </c>
      <c r="F1" s="120">
        <v>5</v>
      </c>
      <c r="G1" s="120">
        <v>6</v>
      </c>
      <c r="H1" s="120"/>
      <c r="I1" s="120"/>
      <c r="J1" s="107">
        <v>41645483</v>
      </c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</row>
    <row r="2" spans="2:72" ht="15" hidden="1" customHeight="1">
      <c r="C2" s="81"/>
      <c r="D2" s="135"/>
      <c r="E2" s="145">
        <v>2014</v>
      </c>
      <c r="F2" s="146">
        <v>2017</v>
      </c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</row>
    <row r="3" spans="2:72" ht="15" hidden="1" customHeight="1">
      <c r="C3" s="81"/>
      <c r="D3" s="137"/>
      <c r="E3" s="138">
        <v>5.4037200000000007</v>
      </c>
      <c r="F3" s="139">
        <v>6.0799999999999965</v>
      </c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</row>
    <row r="4" spans="2:72" ht="15" hidden="1" customHeight="1">
      <c r="C4" s="81"/>
      <c r="D4" s="128"/>
      <c r="E4" s="125">
        <v>3.54</v>
      </c>
      <c r="F4" s="126">
        <v>4</v>
      </c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</row>
    <row r="5" spans="2:72" ht="15" hidden="1" customHeight="1">
      <c r="C5" s="81"/>
      <c r="D5" s="141"/>
      <c r="E5" s="142">
        <v>1.8</v>
      </c>
      <c r="F5" s="157">
        <v>2</v>
      </c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</row>
    <row r="6" spans="2:72" ht="15" hidden="1" customHeight="1">
      <c r="C6" s="81"/>
      <c r="D6" s="144"/>
      <c r="E6" s="156">
        <v>2.3E-2</v>
      </c>
      <c r="F6" s="156">
        <v>5.1999999999999998E-2</v>
      </c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</row>
    <row r="7" spans="2:72" ht="15" hidden="1" customHeight="1">
      <c r="C7" s="81"/>
      <c r="D7" s="130"/>
      <c r="E7" s="130"/>
      <c r="F7" s="13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</row>
    <row r="8" spans="2:72" ht="15" hidden="1" customHeight="1">
      <c r="C8" s="81"/>
      <c r="D8" s="124"/>
      <c r="E8" s="147">
        <f>+F16/D16*100-100</f>
        <v>2.960481522645324</v>
      </c>
      <c r="F8" s="153" t="e">
        <f>+#REF!/#REF!*100-100</f>
        <v>#REF!</v>
      </c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</row>
    <row r="9" spans="2:72" ht="15" hidden="1" customHeight="1">
      <c r="C9" s="81"/>
      <c r="D9" s="133"/>
      <c r="E9" s="148" t="e">
        <f>+F16/#REF!*100-100</f>
        <v>#REF!</v>
      </c>
      <c r="F9" s="154" t="e">
        <f>+#REF!/#REF!*100-100</f>
        <v>#REF!</v>
      </c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</row>
    <row r="10" spans="2:72" ht="15" customHeight="1" thickBot="1">
      <c r="C10" s="81"/>
      <c r="D10" s="82"/>
      <c r="E10" s="82"/>
      <c r="F10" s="82"/>
      <c r="G10" s="82"/>
      <c r="H10" s="82"/>
      <c r="I10" s="82"/>
      <c r="J10" s="81"/>
      <c r="K10" s="81" t="s">
        <v>493</v>
      </c>
      <c r="L10" s="81" t="s">
        <v>494</v>
      </c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</row>
    <row r="11" spans="2:72" ht="18.75" customHeight="1" thickTop="1" thickBot="1">
      <c r="C11" s="372" t="str">
        <f>IF(MasterSheet!$A$1=1,MasterSheet!B67,MasterSheet!B66)</f>
        <v>BDP (u mil. €)</v>
      </c>
      <c r="D11" s="499">
        <f>+'Cental Budget (3)'!D11:E11</f>
        <v>3424888000</v>
      </c>
      <c r="E11" s="499"/>
      <c r="F11" s="499">
        <f>+'Cental Budget (3)'!F11:G11</f>
        <v>3424888000</v>
      </c>
      <c r="G11" s="499"/>
      <c r="H11" s="499">
        <f>+'Cental Budget (3)'!H11:I11</f>
        <v>3424888000</v>
      </c>
      <c r="I11" s="499"/>
      <c r="J11" s="81" t="s">
        <v>495</v>
      </c>
      <c r="K11" s="190">
        <f>+D16</f>
        <v>1467679888.0798159</v>
      </c>
      <c r="L11" s="190">
        <f>+F16</f>
        <v>1511130279.9780002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</row>
    <row r="12" spans="2:72" ht="19.5" customHeight="1" thickTop="1">
      <c r="C12" s="247"/>
      <c r="D12" s="83"/>
      <c r="E12" s="83"/>
      <c r="F12" s="82"/>
      <c r="G12" s="82"/>
      <c r="H12" s="82"/>
      <c r="I12" s="82"/>
      <c r="J12" s="81" t="s">
        <v>62</v>
      </c>
      <c r="K12" s="190">
        <f>+D36</f>
        <v>1514939702.1541493</v>
      </c>
      <c r="L12" s="190">
        <f>+F36</f>
        <v>1625643126.053</v>
      </c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</row>
    <row r="13" spans="2:72" ht="17.25" customHeight="1" thickBot="1">
      <c r="B13" s="85"/>
      <c r="C13" s="248"/>
      <c r="D13" s="235"/>
      <c r="E13" s="235"/>
      <c r="F13" s="235"/>
      <c r="G13" s="235"/>
      <c r="H13" s="352"/>
      <c r="I13" s="352"/>
      <c r="J13" s="81" t="s">
        <v>496</v>
      </c>
      <c r="K13" s="190">
        <f>+D62</f>
        <v>-47259814.074333429</v>
      </c>
      <c r="L13" s="190">
        <f>+F62</f>
        <v>-114512846.07499981</v>
      </c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</row>
    <row r="14" spans="2:72" ht="15.75" customHeight="1" thickTop="1">
      <c r="B14" s="87"/>
      <c r="C14" s="500" t="s">
        <v>235</v>
      </c>
      <c r="D14" s="502" t="s">
        <v>393</v>
      </c>
      <c r="E14" s="503"/>
      <c r="F14" s="502" t="s">
        <v>487</v>
      </c>
      <c r="G14" s="503"/>
      <c r="H14" s="502" t="s">
        <v>492</v>
      </c>
      <c r="I14" s="503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</row>
    <row r="15" spans="2:72" ht="15" customHeight="1" thickBot="1">
      <c r="C15" s="501" t="str">
        <f>IF(MasterSheet!$A$1=1,MasterSheet!B71,MasterSheet!B70)</f>
        <v>Budžet Crne Gore</v>
      </c>
      <c r="D15" s="243" t="s">
        <v>263</v>
      </c>
      <c r="E15" s="244" t="s">
        <v>150</v>
      </c>
      <c r="F15" s="243" t="s">
        <v>263</v>
      </c>
      <c r="G15" s="244" t="s">
        <v>150</v>
      </c>
      <c r="H15" s="243" t="s">
        <v>263</v>
      </c>
      <c r="I15" s="244" t="s">
        <v>150</v>
      </c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</row>
    <row r="16" spans="2:72" ht="15" customHeight="1" thickTop="1" thickBot="1">
      <c r="C16" s="251" t="str">
        <f>IF(MasterSheet!$A$1=1,MasterSheet!C72,MasterSheet!B72)</f>
        <v>Izvorni prihodi</v>
      </c>
      <c r="D16" s="249">
        <f>D17+D26+SUM(D31:D35)</f>
        <v>1467679888.0798159</v>
      </c>
      <c r="E16" s="246">
        <f t="shared" ref="E16:E79" si="0">D16/D$11*100</f>
        <v>42.85336887161904</v>
      </c>
      <c r="F16" s="249">
        <f>F17+F26+SUM(F31:F35)</f>
        <v>1511130279.9780002</v>
      </c>
      <c r="G16" s="246">
        <f t="shared" ref="G16:G34" si="1">F16/F$11*100</f>
        <v>44.122034938894359</v>
      </c>
      <c r="H16" s="249">
        <f>+F16-D16</f>
        <v>43450391.898184299</v>
      </c>
      <c r="I16" s="246">
        <f t="shared" ref="I16:I34" si="2">H16/H$11*100</f>
        <v>1.2686660672753183</v>
      </c>
      <c r="J16" s="190">
        <f>+'Cental Budget (3)'!F16+'Local Government'!F16-'Public Expenditure (2)'!F16</f>
        <v>0</v>
      </c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</row>
    <row r="17" spans="2:77" ht="15" customHeight="1" thickTop="1">
      <c r="B17" s="80">
        <v>711</v>
      </c>
      <c r="C17" s="94" t="str">
        <f>IF(MasterSheet!$A$1=1,MasterSheet!C73,MasterSheet!B73)</f>
        <v>Porezi</v>
      </c>
      <c r="D17" s="207">
        <f>SUM(D18:D25)</f>
        <v>910844694.79903471</v>
      </c>
      <c r="E17" s="96">
        <f t="shared" si="0"/>
        <v>26.594875359399627</v>
      </c>
      <c r="F17" s="207">
        <f>SUM(F18:F25)</f>
        <v>953239049.93800008</v>
      </c>
      <c r="G17" s="96">
        <f t="shared" si="1"/>
        <v>27.832707228323965</v>
      </c>
      <c r="H17" s="207">
        <f t="shared" ref="H17:H79" si="3">+F17-D17</f>
        <v>42394355.138965368</v>
      </c>
      <c r="I17" s="371">
        <f t="shared" si="2"/>
        <v>1.2378318689243377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</row>
    <row r="18" spans="2:77" ht="15" customHeight="1">
      <c r="B18" s="80">
        <v>7111</v>
      </c>
      <c r="C18" s="100" t="str">
        <f>IF(MasterSheet!$A$1=1,MasterSheet!C74,MasterSheet!B74)</f>
        <v>Porez na dohodak fizičkih lica</v>
      </c>
      <c r="D18" s="211">
        <f>+IF(ISNUMBER(VLOOKUP($B18,'Cental Budget (3)'!$B$16:$J$96,'Public Expenditure (2)'!D$1,FALSE)),VLOOKUP($B18,'Cental Budget (3)'!$B$16:$J$96,'Public Expenditure (2)'!D$1,FALSE),0)+IF(ISNUMBER(VLOOKUP('Public Expenditure (2)'!$B18,'Local Government'!$B$16:$I$80,'Public Expenditure (2)'!D$1,FALSE)),VLOOKUP('Public Expenditure (2)'!$B18,'Local Government'!$B$16:$I$80,'Public Expenditure (2)'!D$1,FALSE),0)</f>
        <v>128008628.58611491</v>
      </c>
      <c r="E18" s="102">
        <f t="shared" si="0"/>
        <v>3.7376004291560752</v>
      </c>
      <c r="F18" s="211">
        <f>+IF(ISNUMBER(VLOOKUP($B18,'Cental Budget (3)'!$B$16:$J$96,'Public Expenditure (2)'!F$1,FALSE)),VLOOKUP($B18,'Cental Budget (3)'!$B$16:$J$96,'Public Expenditure (2)'!F$1,FALSE),0)+IF(ISNUMBER(VLOOKUP('Public Expenditure (2)'!$B18,'Local Government'!$B$16:$I$80,'Public Expenditure (2)'!F$1,FALSE)),VLOOKUP('Public Expenditure (2)'!$B18,'Local Government'!$B$16:$I$80,'Public Expenditure (2)'!F$1,FALSE),0)</f>
        <v>135367421.25999999</v>
      </c>
      <c r="G18" s="102">
        <f t="shared" si="1"/>
        <v>3.9524627158610728</v>
      </c>
      <c r="H18" s="211">
        <f t="shared" si="3"/>
        <v>7358792.6738850772</v>
      </c>
      <c r="I18" s="102">
        <f t="shared" si="2"/>
        <v>0.21486228670499816</v>
      </c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</row>
    <row r="19" spans="2:77" ht="15" customHeight="1">
      <c r="B19" s="80">
        <v>7112</v>
      </c>
      <c r="C19" s="100" t="str">
        <f>IF(MasterSheet!$A$1=1,MasterSheet!C75,MasterSheet!B75)</f>
        <v>Porez na dobit pravnih lica</v>
      </c>
      <c r="D19" s="211">
        <f>+IF(ISNUMBER(VLOOKUP($B19,'Cental Budget (3)'!$B$16:$J$96,'Public Expenditure (2)'!D$1,FALSE)),VLOOKUP($B19,'Cental Budget (3)'!$B$16:$J$96,'Public Expenditure (2)'!D$1,FALSE),0)+IF(ISNUMBER(VLOOKUP('Public Expenditure (2)'!$B19,'Local Government'!$B$16:$I$80,'Public Expenditure (2)'!D$1,FALSE)),VLOOKUP('Public Expenditure (2)'!$B19,'Local Government'!$B$16:$I$80,'Public Expenditure (2)'!D$1,FALSE),0)</f>
        <v>44395641.531501003</v>
      </c>
      <c r="E19" s="102">
        <f t="shared" si="0"/>
        <v>1.2962654992367926</v>
      </c>
      <c r="F19" s="211">
        <f>+IF(ISNUMBER(VLOOKUP($B19,'Cental Budget (3)'!$B$16:$J$96,'Public Expenditure (2)'!F$1,FALSE)),VLOOKUP($B19,'Cental Budget (3)'!$B$16:$J$96,'Public Expenditure (2)'!F$1,FALSE),0)+IF(ISNUMBER(VLOOKUP('Public Expenditure (2)'!$B19,'Local Government'!$B$16:$I$80,'Public Expenditure (2)'!F$1,FALSE)),VLOOKUP('Public Expenditure (2)'!$B19,'Local Government'!$B$16:$I$80,'Public Expenditure (2)'!F$1,FALSE),0)</f>
        <v>45020371.5</v>
      </c>
      <c r="G19" s="102">
        <f t="shared" si="1"/>
        <v>1.3145063867781954</v>
      </c>
      <c r="H19" s="211">
        <f t="shared" si="3"/>
        <v>624729.96849899739</v>
      </c>
      <c r="I19" s="102">
        <f t="shared" si="2"/>
        <v>1.8240887541402739E-2</v>
      </c>
      <c r="J19" s="171"/>
      <c r="K19" s="171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3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V19" s="81"/>
    </row>
    <row r="20" spans="2:77" ht="15" customHeight="1">
      <c r="B20" s="80">
        <v>7113</v>
      </c>
      <c r="C20" s="100" t="str">
        <f>IF(MasterSheet!$A$1=1,MasterSheet!C76,MasterSheet!B76)</f>
        <v>Porez na promet nepokretnosti</v>
      </c>
      <c r="D20" s="211">
        <f>+IF(ISNUMBER(VLOOKUP($B20,'Cental Budget (3)'!$B$16:$J$96,'Public Expenditure (2)'!D$1,FALSE)),VLOOKUP($B20,'Cental Budget (3)'!$B$16:$J$96,'Public Expenditure (2)'!D$1,FALSE),0)+IF(ISNUMBER(VLOOKUP('Public Expenditure (2)'!$B20,'Local Government'!$B$16:$I$80,'Public Expenditure (2)'!D$1,FALSE)),VLOOKUP('Public Expenditure (2)'!$B20,'Local Government'!$B$16:$I$80,'Public Expenditure (2)'!D$1,FALSE),0)</f>
        <v>15944536.67289204</v>
      </c>
      <c r="E20" s="102">
        <f t="shared" si="0"/>
        <v>0.46554914125343777</v>
      </c>
      <c r="F20" s="211">
        <f>+IF(ISNUMBER(VLOOKUP($B20,'Cental Budget (3)'!$B$16:$J$96,'Public Expenditure (2)'!F$1,FALSE)),VLOOKUP($B20,'Cental Budget (3)'!$B$16:$J$96,'Public Expenditure (2)'!F$1,FALSE),0)+IF(ISNUMBER(VLOOKUP('Public Expenditure (2)'!$B20,'Local Government'!$B$16:$I$80,'Public Expenditure (2)'!F$1,FALSE)),VLOOKUP('Public Expenditure (2)'!$B20,'Local Government'!$B$16:$I$80,'Public Expenditure (2)'!F$1,FALSE),0)</f>
        <v>14555657.988000002</v>
      </c>
      <c r="G20" s="102">
        <f t="shared" si="1"/>
        <v>0.42499661267755329</v>
      </c>
      <c r="H20" s="211">
        <f t="shared" si="3"/>
        <v>-1388878.6848920379</v>
      </c>
      <c r="I20" s="102">
        <f t="shared" si="2"/>
        <v>-4.0552528575884463E-2</v>
      </c>
      <c r="J20" s="171"/>
      <c r="K20" s="171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3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  <c r="BG20" s="173"/>
      <c r="BH20" s="173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</row>
    <row r="21" spans="2:77" ht="15" customHeight="1">
      <c r="B21" s="80">
        <v>7114</v>
      </c>
      <c r="C21" s="100" t="str">
        <f>IF(MasterSheet!$A$1=1,MasterSheet!C77,MasterSheet!B77)</f>
        <v>Porez na dodatu vrijednost</v>
      </c>
      <c r="D21" s="211">
        <f>+IF(ISNUMBER(VLOOKUP($B21,'Cental Budget (3)'!$B$16:$J$96,'Public Expenditure (2)'!D$1,FALSE)),VLOOKUP($B21,'Cental Budget (3)'!$B$16:$J$96,'Public Expenditure (2)'!D$1,FALSE),0)+IF(ISNUMBER(VLOOKUP('Public Expenditure (2)'!$B21,'Local Government'!$B$16:$I$80,'Public Expenditure (2)'!D$1,FALSE)),VLOOKUP('Public Expenditure (2)'!$B21,'Local Government'!$B$16:$I$80,'Public Expenditure (2)'!D$1,FALSE),0)</f>
        <v>455945630.52919102</v>
      </c>
      <c r="E21" s="102">
        <f t="shared" si="0"/>
        <v>13.312716518881523</v>
      </c>
      <c r="F21" s="211">
        <f>+IF(ISNUMBER(VLOOKUP($B21,'Cental Budget (3)'!$B$16:$J$96,'Public Expenditure (2)'!F$1,FALSE)),VLOOKUP($B21,'Cental Budget (3)'!$B$16:$J$96,'Public Expenditure (2)'!F$1,FALSE),0)+IF(ISNUMBER(VLOOKUP('Public Expenditure (2)'!$B21,'Local Government'!$B$16:$I$80,'Public Expenditure (2)'!F$1,FALSE)),VLOOKUP('Public Expenditure (2)'!$B21,'Local Government'!$B$16:$I$80,'Public Expenditure (2)'!F$1,FALSE),0)</f>
        <v>497589192.80000001</v>
      </c>
      <c r="G21" s="102">
        <f t="shared" si="1"/>
        <v>14.528626711296837</v>
      </c>
      <c r="H21" s="211">
        <f t="shared" si="3"/>
        <v>41643562.270808995</v>
      </c>
      <c r="I21" s="102">
        <f t="shared" si="2"/>
        <v>1.2159101924153137</v>
      </c>
      <c r="K21" s="370">
        <f>+F21/D21*100-100</f>
        <v>9.1334491400818081</v>
      </c>
    </row>
    <row r="22" spans="2:77" ht="15" customHeight="1">
      <c r="B22" s="80">
        <v>7115</v>
      </c>
      <c r="C22" s="100" t="str">
        <f>IF(MasterSheet!$A$1=1,MasterSheet!C78,MasterSheet!B78)</f>
        <v>Akcize</v>
      </c>
      <c r="D22" s="211">
        <f>+IF(ISNUMBER(VLOOKUP($B22,'Cental Budget (3)'!$B$16:$J$96,'Public Expenditure (2)'!D$1,FALSE)),VLOOKUP($B22,'Cental Budget (3)'!$B$16:$J$96,'Public Expenditure (2)'!D$1,FALSE),0)+IF(ISNUMBER(VLOOKUP('Public Expenditure (2)'!$B22,'Local Government'!$B$16:$I$80,'Public Expenditure (2)'!D$1,FALSE)),VLOOKUP('Public Expenditure (2)'!$B22,'Local Government'!$B$16:$I$80,'Public Expenditure (2)'!D$1,FALSE),0)</f>
        <v>171111988.52539012</v>
      </c>
      <c r="E22" s="102">
        <f t="shared" si="0"/>
        <v>4.9961338451181501</v>
      </c>
      <c r="F22" s="211">
        <f>+IF(ISNUMBER(VLOOKUP($B22,'Cental Budget (3)'!$B$16:$J$96,'Public Expenditure (2)'!F$1,FALSE)),VLOOKUP($B22,'Cental Budget (3)'!$B$16:$J$96,'Public Expenditure (2)'!F$1,FALSE),0)+IF(ISNUMBER(VLOOKUP('Public Expenditure (2)'!$B22,'Local Government'!$B$16:$I$80,'Public Expenditure (2)'!F$1,FALSE)),VLOOKUP('Public Expenditure (2)'!$B22,'Local Government'!$B$16:$I$80,'Public Expenditure (2)'!F$1,FALSE),0)</f>
        <v>156466946.75</v>
      </c>
      <c r="G22" s="102">
        <f t="shared" si="1"/>
        <v>4.5685274014799901</v>
      </c>
      <c r="H22" s="211">
        <f t="shared" si="3"/>
        <v>-14645041.775390118</v>
      </c>
      <c r="I22" s="102">
        <f t="shared" si="2"/>
        <v>-0.42760644363816042</v>
      </c>
      <c r="J22" s="81"/>
      <c r="K22" s="370">
        <f>+F22/D22*100-100</f>
        <v>-8.5587467608776251</v>
      </c>
    </row>
    <row r="23" spans="2:77" ht="15" customHeight="1">
      <c r="B23" s="80">
        <v>7116</v>
      </c>
      <c r="C23" s="100" t="str">
        <f>IF(MasterSheet!$A$1=1,MasterSheet!C79,MasterSheet!B79)</f>
        <v>Porez na međunarodnu trgovinu i transakcije</v>
      </c>
      <c r="D23" s="211">
        <f>+IF(ISNUMBER(VLOOKUP($B23,'Cental Budget (3)'!$B$16:$J$96,'Public Expenditure (2)'!D$1,FALSE)),VLOOKUP($B23,'Cental Budget (3)'!$B$16:$J$96,'Public Expenditure (2)'!D$1,FALSE),0)+IF(ISNUMBER(VLOOKUP('Public Expenditure (2)'!$B23,'Local Government'!$B$16:$I$80,'Public Expenditure (2)'!D$1,FALSE)),VLOOKUP('Public Expenditure (2)'!$B23,'Local Government'!$B$16:$I$80,'Public Expenditure (2)'!D$1,FALSE),0)</f>
        <v>23735353.696558259</v>
      </c>
      <c r="E23" s="102">
        <f t="shared" si="0"/>
        <v>0.69302569008266135</v>
      </c>
      <c r="F23" s="211">
        <f>+IF(ISNUMBER(VLOOKUP($B23,'Cental Budget (3)'!$B$16:$J$96,'Public Expenditure (2)'!F$1,FALSE)),VLOOKUP($B23,'Cental Budget (3)'!$B$16:$J$96,'Public Expenditure (2)'!F$1,FALSE),0)+IF(ISNUMBER(VLOOKUP('Public Expenditure (2)'!$B23,'Local Government'!$B$16:$I$80,'Public Expenditure (2)'!F$1,FALSE)),VLOOKUP('Public Expenditure (2)'!$B23,'Local Government'!$B$16:$I$80,'Public Expenditure (2)'!F$1,FALSE),0)</f>
        <v>22270229.460000001</v>
      </c>
      <c r="G23" s="102">
        <f t="shared" si="1"/>
        <v>0.65024694121384408</v>
      </c>
      <c r="H23" s="211">
        <f t="shared" si="3"/>
        <v>-1465124.2365582585</v>
      </c>
      <c r="I23" s="102">
        <f t="shared" si="2"/>
        <v>-4.2778748868817273E-2</v>
      </c>
      <c r="J23" s="81"/>
      <c r="K23" s="81"/>
      <c r="BW23" s="174"/>
      <c r="BX23" s="174"/>
      <c r="BY23" s="81"/>
    </row>
    <row r="24" spans="2:77" ht="15" customHeight="1">
      <c r="B24" s="80">
        <v>7117</v>
      </c>
      <c r="C24" s="100" t="s">
        <v>11</v>
      </c>
      <c r="D24" s="211">
        <f>+IF(ISNUMBER(VLOOKUP($B24,'Cental Budget (3)'!$B$16:$J$96,'Public Expenditure (2)'!D$1,FALSE)),VLOOKUP($B24,'Cental Budget (3)'!$B$16:$J$96,'Public Expenditure (2)'!D$1,FALSE),0)+IF(ISNUMBER(VLOOKUP('Public Expenditure (2)'!$B24,'Local Government'!$B$16:$I$80,'Public Expenditure (2)'!D$1,FALSE)),VLOOKUP('Public Expenditure (2)'!$B24,'Local Government'!$B$16:$I$80,'Public Expenditure (2)'!D$1,FALSE),0)</f>
        <v>66618819.467884004</v>
      </c>
      <c r="E24" s="102">
        <f t="shared" si="0"/>
        <v>1.9451386284130752</v>
      </c>
      <c r="F24" s="211">
        <f>+IF(ISNUMBER(VLOOKUP($B24,'Cental Budget (3)'!$B$16:$J$96,'Public Expenditure (2)'!F$1,FALSE)),VLOOKUP($B24,'Cental Budget (3)'!$B$16:$J$96,'Public Expenditure (2)'!F$1,FALSE),0)+IF(ISNUMBER(VLOOKUP('Public Expenditure (2)'!$B24,'Local Government'!$B$16:$I$80,'Public Expenditure (2)'!F$1,FALSE)),VLOOKUP('Public Expenditure (2)'!$B24,'Local Government'!$B$16:$I$80,'Public Expenditure (2)'!F$1,FALSE),0)</f>
        <v>75997609.719999999</v>
      </c>
      <c r="G24" s="102">
        <f t="shared" si="1"/>
        <v>2.2189808752870168</v>
      </c>
      <c r="H24" s="211">
        <f t="shared" si="3"/>
        <v>9378790.2521159947</v>
      </c>
      <c r="I24" s="102">
        <f t="shared" si="2"/>
        <v>0.27384224687394143</v>
      </c>
      <c r="J24" s="81"/>
      <c r="K24" s="370">
        <f>+F24/D24*100-100</f>
        <v>14.078289478902235</v>
      </c>
      <c r="BW24" s="174"/>
      <c r="BX24" s="174"/>
      <c r="BY24" s="81"/>
    </row>
    <row r="25" spans="2:77" ht="15" customHeight="1">
      <c r="B25" s="80">
        <v>7118</v>
      </c>
      <c r="C25" s="100" t="str">
        <f>IF(MasterSheet!$A$1=1,MasterSheet!C80,MasterSheet!B80)</f>
        <v>Ostali republički prihodi</v>
      </c>
      <c r="D25" s="211">
        <f>+IF(ISNUMBER(VLOOKUP($B25,'Cental Budget (3)'!$B$16:$J$96,'Public Expenditure (2)'!D$1,FALSE)),VLOOKUP($B25,'Cental Budget (3)'!$B$16:$J$96,'Public Expenditure (2)'!D$1,FALSE),0)+IF(ISNUMBER(VLOOKUP('Public Expenditure (2)'!$B25,'Local Government'!$B$16:$I$80,'Public Expenditure (2)'!D$1,FALSE)),VLOOKUP('Public Expenditure (2)'!$B25,'Local Government'!$B$16:$I$80,'Public Expenditure (2)'!D$1,FALSE),0)</f>
        <v>5084095.7895035082</v>
      </c>
      <c r="E25" s="102">
        <f t="shared" si="0"/>
        <v>0.14844560725791642</v>
      </c>
      <c r="F25" s="211">
        <f>+IF(ISNUMBER(VLOOKUP($B25,'Cental Budget (3)'!$B$16:$J$96,'Public Expenditure (2)'!F$1,FALSE)),VLOOKUP($B25,'Cental Budget (3)'!$B$16:$J$96,'Public Expenditure (2)'!F$1,FALSE),0)+IF(ISNUMBER(VLOOKUP('Public Expenditure (2)'!$B25,'Local Government'!$B$16:$I$80,'Public Expenditure (2)'!F$1,FALSE)),VLOOKUP('Public Expenditure (2)'!$B25,'Local Government'!$B$16:$I$80,'Public Expenditure (2)'!F$1,FALSE),0)</f>
        <v>5971620.4600000009</v>
      </c>
      <c r="G25" s="102">
        <f t="shared" si="1"/>
        <v>0.17435958372945337</v>
      </c>
      <c r="H25" s="211">
        <f t="shared" si="3"/>
        <v>887524.67049649265</v>
      </c>
      <c r="I25" s="102">
        <f t="shared" si="2"/>
        <v>2.5913976471536957E-2</v>
      </c>
      <c r="J25" s="81"/>
      <c r="K25" s="81"/>
      <c r="BW25" s="174"/>
      <c r="BX25" s="174"/>
      <c r="BY25" s="81"/>
    </row>
    <row r="26" spans="2:77" ht="15" customHeight="1">
      <c r="B26" s="80">
        <v>712</v>
      </c>
      <c r="C26" s="94" t="str">
        <f>IF(MasterSheet!$A$1=1,MasterSheet!C81,MasterSheet!B81)</f>
        <v>Doprinosi</v>
      </c>
      <c r="D26" s="207">
        <f>SUM(D27:D30)</f>
        <v>397823173.70918262</v>
      </c>
      <c r="E26" s="98">
        <f t="shared" si="0"/>
        <v>11.615654985190249</v>
      </c>
      <c r="F26" s="207">
        <f>SUM(F27:F30)-J1</f>
        <v>402657761.55000001</v>
      </c>
      <c r="G26" s="98">
        <f t="shared" si="1"/>
        <v>11.756815450607435</v>
      </c>
      <c r="H26" s="207">
        <f t="shared" si="3"/>
        <v>4834587.8408173919</v>
      </c>
      <c r="I26" s="98">
        <f t="shared" si="2"/>
        <v>0.14116046541718713</v>
      </c>
      <c r="J26" s="81"/>
      <c r="K26" s="370">
        <f>+F26/D26*100-100</f>
        <v>1.2152604876536373</v>
      </c>
      <c r="BW26" s="174"/>
      <c r="BX26" s="174"/>
      <c r="BY26" s="81"/>
    </row>
    <row r="27" spans="2:77" ht="15" hidden="1" customHeight="1">
      <c r="B27" s="80">
        <v>7121</v>
      </c>
      <c r="C27" s="100" t="str">
        <f>IF(MasterSheet!$A$1=1,MasterSheet!C82,MasterSheet!B82)</f>
        <v>Doprinosi za penzijsko i invalidsko osiguranje</v>
      </c>
      <c r="D27" s="211">
        <f>+IF(ISNUMBER(VLOOKUP($B27,'Cental Budget (3)'!$B$16:$J$96,'Public Expenditure (2)'!D$1,FALSE)),VLOOKUP($B27,'Cental Budget (3)'!$B$16:$J$96,'Public Expenditure (2)'!D$1,FALSE),0)+IF(ISNUMBER(VLOOKUP('Public Expenditure (2)'!$B27,'Local Government'!$B$16:$I$80,'Public Expenditure (2)'!D$1,FALSE)),VLOOKUP('Public Expenditure (2)'!$B27,'Local Government'!$B$16:$I$80,'Public Expenditure (2)'!D$1,FALSE),0)</f>
        <v>234882396.70208701</v>
      </c>
      <c r="E27" s="102">
        <f t="shared" si="0"/>
        <v>6.8581044607031529</v>
      </c>
      <c r="F27" s="211">
        <f>+IF(ISNUMBER(VLOOKUP($B27,'Cental Budget (3)'!$B$16:$J$96,'Public Expenditure (2)'!F$1,FALSE)),VLOOKUP($B27,'Cental Budget (3)'!$B$16:$J$96,'Public Expenditure (2)'!F$1,FALSE),0)+IF(ISNUMBER(VLOOKUP('Public Expenditure (2)'!$B27,'Local Government'!$B$16:$I$80,'Public Expenditure (2)'!F$1,FALSE)),VLOOKUP('Public Expenditure (2)'!$B27,'Local Government'!$B$16:$I$80,'Public Expenditure (2)'!F$1,FALSE),0)</f>
        <v>270120228.04000002</v>
      </c>
      <c r="G27" s="102">
        <f t="shared" si="1"/>
        <v>7.8869798965688815</v>
      </c>
      <c r="H27" s="211">
        <f t="shared" si="3"/>
        <v>35237831.337913007</v>
      </c>
      <c r="I27" s="102">
        <f t="shared" si="2"/>
        <v>1.0288754358657277</v>
      </c>
      <c r="J27" s="81"/>
      <c r="K27" s="81"/>
      <c r="BW27" s="174"/>
      <c r="BX27" s="174"/>
      <c r="BY27" s="81"/>
    </row>
    <row r="28" spans="2:77" ht="15" hidden="1" customHeight="1">
      <c r="B28" s="80">
        <v>7122</v>
      </c>
      <c r="C28" s="100" t="str">
        <f>IF(MasterSheet!$A$1=1,MasterSheet!C83,MasterSheet!B83)</f>
        <v>Doprinosi za zdravstveno osiguranje</v>
      </c>
      <c r="D28" s="211">
        <f>+IF(ISNUMBER(VLOOKUP($B28,'Cental Budget (3)'!$B$16:$J$96,'Public Expenditure (2)'!D$1,FALSE)),VLOOKUP($B28,'Cental Budget (3)'!$B$16:$J$96,'Public Expenditure (2)'!D$1,FALSE),0)+IF(ISNUMBER(VLOOKUP('Public Expenditure (2)'!$B28,'Local Government'!$B$16:$I$80,'Public Expenditure (2)'!D$1,FALSE)),VLOOKUP('Public Expenditure (2)'!$B28,'Local Government'!$B$16:$I$80,'Public Expenditure (2)'!D$1,FALSE),0)</f>
        <v>138667298.82084399</v>
      </c>
      <c r="E28" s="102">
        <f t="shared" si="0"/>
        <v>4.0488126566721006</v>
      </c>
      <c r="F28" s="211">
        <f>+IF(ISNUMBER(VLOOKUP($B28,'Cental Budget (3)'!$B$16:$J$96,'Public Expenditure (2)'!F$1,FALSE)),VLOOKUP($B28,'Cental Budget (3)'!$B$16:$J$96,'Public Expenditure (2)'!F$1,FALSE),0)+IF(ISNUMBER(VLOOKUP('Public Expenditure (2)'!$B28,'Local Government'!$B$16:$I$80,'Public Expenditure (2)'!F$1,FALSE)),VLOOKUP('Public Expenditure (2)'!$B28,'Local Government'!$B$16:$I$80,'Public Expenditure (2)'!F$1,FALSE),0)</f>
        <v>151034703.57999998</v>
      </c>
      <c r="G28" s="102">
        <f t="shared" si="1"/>
        <v>4.4099165747901825</v>
      </c>
      <c r="H28" s="211">
        <f t="shared" si="3"/>
        <v>12367404.759155989</v>
      </c>
      <c r="I28" s="102">
        <f t="shared" si="2"/>
        <v>0.36110391811808118</v>
      </c>
      <c r="J28" s="81"/>
      <c r="K28" s="81"/>
      <c r="BW28" s="174"/>
      <c r="BX28" s="174"/>
      <c r="BY28" s="81"/>
    </row>
    <row r="29" spans="2:77" ht="15" hidden="1" customHeight="1">
      <c r="B29" s="80">
        <v>7123</v>
      </c>
      <c r="C29" s="100" t="str">
        <f>IF(MasterSheet!$A$1=1,MasterSheet!C84,MasterSheet!B84)</f>
        <v>Doprinosi za osiguranje od nezaposlenosti</v>
      </c>
      <c r="D29" s="211">
        <f>+IF(ISNUMBER(VLOOKUP($B29,'Cental Budget (3)'!$B$16:$J$96,'Public Expenditure (2)'!D$1,FALSE)),VLOOKUP($B29,'Cental Budget (3)'!$B$16:$J$96,'Public Expenditure (2)'!D$1,FALSE),0)+IF(ISNUMBER(VLOOKUP('Public Expenditure (2)'!$B29,'Local Government'!$B$16:$I$80,'Public Expenditure (2)'!D$1,FALSE)),VLOOKUP('Public Expenditure (2)'!$B29,'Local Government'!$B$16:$I$80,'Public Expenditure (2)'!D$1,FALSE),0)</f>
        <v>11617385.520490499</v>
      </c>
      <c r="E29" s="102">
        <f t="shared" si="0"/>
        <v>0.33920483007007818</v>
      </c>
      <c r="F29" s="211">
        <f>+IF(ISNUMBER(VLOOKUP($B29,'Cental Budget (3)'!$B$16:$J$96,'Public Expenditure (2)'!F$1,FALSE)),VLOOKUP($B29,'Cental Budget (3)'!$B$16:$J$96,'Public Expenditure (2)'!F$1,FALSE),0)+IF(ISNUMBER(VLOOKUP('Public Expenditure (2)'!$B29,'Local Government'!$B$16:$I$80,'Public Expenditure (2)'!F$1,FALSE)),VLOOKUP('Public Expenditure (2)'!$B29,'Local Government'!$B$16:$I$80,'Public Expenditure (2)'!F$1,FALSE),0)</f>
        <v>12160117.389999999</v>
      </c>
      <c r="G29" s="102">
        <f t="shared" si="1"/>
        <v>0.35505153423995173</v>
      </c>
      <c r="H29" s="211">
        <f t="shared" si="3"/>
        <v>542731.86950949952</v>
      </c>
      <c r="I29" s="102">
        <f t="shared" si="2"/>
        <v>1.584670416987357E-2</v>
      </c>
      <c r="J29" s="81"/>
      <c r="K29" s="81"/>
      <c r="BW29" s="174"/>
      <c r="BX29" s="174"/>
      <c r="BY29" s="81"/>
    </row>
    <row r="30" spans="2:77" ht="15" hidden="1" customHeight="1">
      <c r="B30" s="80">
        <v>7124</v>
      </c>
      <c r="C30" s="100" t="str">
        <f>IF(MasterSheet!$A$1=1,MasterSheet!C85,MasterSheet!B85)</f>
        <v>Ostali doprinosi</v>
      </c>
      <c r="D30" s="211">
        <f>+IF(ISNUMBER(VLOOKUP($B30,'Cental Budget (3)'!$B$16:$J$96,'Public Expenditure (2)'!D$1,FALSE)),VLOOKUP($B30,'Cental Budget (3)'!$B$16:$J$96,'Public Expenditure (2)'!D$1,FALSE),0)+IF(ISNUMBER(VLOOKUP('Public Expenditure (2)'!$B30,'Local Government'!$B$16:$I$80,'Public Expenditure (2)'!D$1,FALSE)),VLOOKUP('Public Expenditure (2)'!$B30,'Local Government'!$B$16:$I$80,'Public Expenditure (2)'!D$1,FALSE),0)</f>
        <v>12656092.6657611</v>
      </c>
      <c r="E30" s="102">
        <f t="shared" si="0"/>
        <v>0.36953303774491608</v>
      </c>
      <c r="F30" s="211">
        <f>+IF(ISNUMBER(VLOOKUP($B30,'Cental Budget (3)'!$B$16:$J$96,'Public Expenditure (2)'!F$1,FALSE)),VLOOKUP($B30,'Cental Budget (3)'!$B$16:$J$96,'Public Expenditure (2)'!F$1,FALSE),0)+IF(ISNUMBER(VLOOKUP('Public Expenditure (2)'!$B30,'Local Government'!$B$16:$I$80,'Public Expenditure (2)'!F$1,FALSE)),VLOOKUP('Public Expenditure (2)'!$B30,'Local Government'!$B$16:$I$80,'Public Expenditure (2)'!F$1,FALSE),0)</f>
        <v>10988195.539999999</v>
      </c>
      <c r="G30" s="102">
        <f t="shared" si="1"/>
        <v>0.32083371894205004</v>
      </c>
      <c r="H30" s="211">
        <f t="shared" si="3"/>
        <v>-1667897.125761101</v>
      </c>
      <c r="I30" s="102">
        <f t="shared" si="2"/>
        <v>-4.8699318802865994E-2</v>
      </c>
      <c r="J30" s="81"/>
      <c r="K30" s="81"/>
      <c r="BW30" s="81"/>
      <c r="BX30" s="81"/>
      <c r="BY30" s="81"/>
    </row>
    <row r="31" spans="2:77" ht="15" customHeight="1">
      <c r="B31" s="80">
        <v>713</v>
      </c>
      <c r="C31" s="94" t="str">
        <f>IF(MasterSheet!$A$1=1,MasterSheet!C86,MasterSheet!B86)</f>
        <v>Takse</v>
      </c>
      <c r="D31" s="207">
        <f>+IF(ISNUMBER(VLOOKUP($B31,'Cental Budget (3)'!$B$16:$J$96,'Public Expenditure (2)'!D$1,FALSE)),VLOOKUP($B31,'Cental Budget (3)'!$B$16:$J$96,'Public Expenditure (2)'!D$1,FALSE),0)+IF(ISNUMBER(VLOOKUP('Public Expenditure (2)'!$B31,'Local Government'!$B$16:$I$80,'Public Expenditure (2)'!D$1,FALSE)),VLOOKUP('Public Expenditure (2)'!$B31,'Local Government'!$B$16:$I$80,'Public Expenditure (2)'!D$1,FALSE),0)</f>
        <v>27858998.523880638</v>
      </c>
      <c r="E31" s="98">
        <f t="shared" si="0"/>
        <v>0.81342801644551987</v>
      </c>
      <c r="F31" s="207">
        <f>+IF(ISNUMBER(VLOOKUP($B31,'Cental Budget (3)'!$B$16:$J$96,'Public Expenditure (2)'!F$1,FALSE)),VLOOKUP($B31,'Cental Budget (3)'!$B$16:$J$96,'Public Expenditure (2)'!F$1,FALSE),0)+IF(ISNUMBER(VLOOKUP('Public Expenditure (2)'!$B31,'Local Government'!$B$16:$I$80,'Public Expenditure (2)'!F$1,FALSE)),VLOOKUP('Public Expenditure (2)'!$B31,'Local Government'!$B$16:$I$80,'Public Expenditure (2)'!F$1,FALSE),0)</f>
        <v>20320093.119999997</v>
      </c>
      <c r="G31" s="98">
        <f t="shared" si="1"/>
        <v>0.59330679193013025</v>
      </c>
      <c r="H31" s="207">
        <f t="shared" si="3"/>
        <v>-7538905.4038806409</v>
      </c>
      <c r="I31" s="98">
        <f t="shared" si="2"/>
        <v>-0.22012122451538974</v>
      </c>
      <c r="J31" s="81"/>
      <c r="K31" s="81"/>
      <c r="BW31" s="81"/>
      <c r="BX31" s="81"/>
      <c r="BY31" s="81"/>
    </row>
    <row r="32" spans="2:77" ht="15" customHeight="1">
      <c r="B32" s="80">
        <v>714</v>
      </c>
      <c r="C32" s="94" t="str">
        <f>IF(MasterSheet!$A$1=1,MasterSheet!C91,MasterSheet!B91)</f>
        <v>Naknade</v>
      </c>
      <c r="D32" s="207">
        <f>+IF(ISNUMBER(VLOOKUP($B32,'Cental Budget (3)'!$B$16:$J$96,'Public Expenditure (2)'!D$1,FALSE)),VLOOKUP($B32,'Cental Budget (3)'!$B$16:$J$96,'Public Expenditure (2)'!D$1,FALSE),0)+IF(ISNUMBER(VLOOKUP('Public Expenditure (2)'!$B32,'Local Government'!$B$16:$I$80,'Public Expenditure (2)'!D$1,FALSE)),VLOOKUP('Public Expenditure (2)'!$B32,'Local Government'!$B$16:$I$80,'Public Expenditure (2)'!D$1,FALSE),0)</f>
        <v>67988053.721019775</v>
      </c>
      <c r="E32" s="98">
        <f t="shared" si="0"/>
        <v>1.985117578181236</v>
      </c>
      <c r="F32" s="207">
        <f>+IF(ISNUMBER(VLOOKUP($B32,'Cental Budget (3)'!$B$16:$J$96,'Public Expenditure (2)'!F$1,FALSE)),VLOOKUP($B32,'Cental Budget (3)'!$B$16:$J$96,'Public Expenditure (2)'!F$1,FALSE),0)+IF(ISNUMBER(VLOOKUP('Public Expenditure (2)'!$B32,'Local Government'!$B$16:$I$80,'Public Expenditure (2)'!F$1,FALSE)),VLOOKUP('Public Expenditure (2)'!$B32,'Local Government'!$B$16:$I$80,'Public Expenditure (2)'!F$1,FALSE),0)</f>
        <v>71402705.629999995</v>
      </c>
      <c r="G32" s="98">
        <f t="shared" si="1"/>
        <v>2.0848187044364663</v>
      </c>
      <c r="H32" s="207">
        <f t="shared" si="3"/>
        <v>3414651.9089802206</v>
      </c>
      <c r="I32" s="98">
        <f t="shared" si="2"/>
        <v>9.9701126255229963E-2</v>
      </c>
      <c r="J32" s="81"/>
      <c r="K32" s="370">
        <f>+F32/D32*100-100</f>
        <v>5.022429268223803</v>
      </c>
      <c r="BW32" s="174"/>
      <c r="BX32" s="174"/>
      <c r="BY32" s="174"/>
    </row>
    <row r="33" spans="1:80" ht="15" customHeight="1">
      <c r="B33" s="80">
        <v>715</v>
      </c>
      <c r="C33" s="94" t="str">
        <f>IF(MasterSheet!$A$1=1,MasterSheet!C98,MasterSheet!B98)</f>
        <v>Ostali prihodi</v>
      </c>
      <c r="D33" s="207">
        <f>+IF(ISNUMBER(VLOOKUP($B33,'Cental Budget (3)'!$B$16:$J$96,'Public Expenditure (2)'!D$1,FALSE)),VLOOKUP($B33,'Cental Budget (3)'!$B$16:$J$96,'Public Expenditure (2)'!D$1,FALSE),0)+IF(ISNUMBER(VLOOKUP('Public Expenditure (2)'!$B33,'Local Government'!$B$16:$I$80,'Public Expenditure (2)'!D$1,FALSE)),VLOOKUP('Public Expenditure (2)'!$B33,'Local Government'!$B$16:$I$80,'Public Expenditure (2)'!D$1,FALSE),0)</f>
        <v>45118704.83953169</v>
      </c>
      <c r="E33" s="98">
        <f t="shared" si="0"/>
        <v>1.3173775270762631</v>
      </c>
      <c r="F33" s="207">
        <f>+IF(ISNUMBER(VLOOKUP($B33,'Cental Budget (3)'!$B$16:$J$96,'Public Expenditure (2)'!F$1,FALSE)),VLOOKUP($B33,'Cental Budget (3)'!$B$16:$J$96,'Public Expenditure (2)'!F$1,FALSE),0)+IF(ISNUMBER(VLOOKUP('Public Expenditure (2)'!$B33,'Local Government'!$B$16:$I$80,'Public Expenditure (2)'!F$1,FALSE)),VLOOKUP('Public Expenditure (2)'!$B33,'Local Government'!$B$16:$I$80,'Public Expenditure (2)'!F$1,FALSE),0)</f>
        <v>42198377.210000001</v>
      </c>
      <c r="G33" s="98">
        <f t="shared" si="1"/>
        <v>1.2321096984777311</v>
      </c>
      <c r="H33" s="207">
        <f t="shared" si="3"/>
        <v>-2920327.629531689</v>
      </c>
      <c r="I33" s="98">
        <f t="shared" si="2"/>
        <v>-8.5267828598531964E-2</v>
      </c>
      <c r="J33" s="81"/>
      <c r="K33" s="81"/>
      <c r="BW33" s="81"/>
      <c r="BX33" s="81"/>
      <c r="BY33" s="81"/>
      <c r="BZ33" s="81"/>
      <c r="CA33" s="81"/>
    </row>
    <row r="34" spans="1:80">
      <c r="B34" s="80">
        <v>73</v>
      </c>
      <c r="C34" s="111" t="str">
        <f>IF(MasterSheet!$A$1=1,MasterSheet!C103,MasterSheet!B103)</f>
        <v>Primici od otplate kredita i sredstva prenijeta iz prethodne godine</v>
      </c>
      <c r="D34" s="207">
        <f>+IF(ISNUMBER(VLOOKUP($B34,'Cental Budget (3)'!$B$16:$J$96,'Public Expenditure (2)'!D$1,FALSE)),VLOOKUP($B34,'Cental Budget (3)'!$B$16:$J$96,'Public Expenditure (2)'!D$1,FALSE),0)+IF(ISNUMBER(VLOOKUP('Public Expenditure (2)'!$B34,'Local Government'!$B$16:$I$80,'Public Expenditure (2)'!D$1,FALSE)),VLOOKUP('Public Expenditure (2)'!$B34,'Local Government'!$B$16:$I$80,'Public Expenditure (2)'!D$1,FALSE),0)</f>
        <v>7046262.4871663069</v>
      </c>
      <c r="E34" s="98">
        <f t="shared" si="0"/>
        <v>0.20573701934680222</v>
      </c>
      <c r="F34" s="207">
        <f>+IF(ISNUMBER(VLOOKUP($B34,'Cental Budget (3)'!$B$16:$J$96,'Public Expenditure (2)'!F$1,FALSE)),VLOOKUP($B34,'Cental Budget (3)'!$B$16:$J$96,'Public Expenditure (2)'!F$1,FALSE),0)+IF(ISNUMBER(VLOOKUP('Public Expenditure (2)'!$B34,'Local Government'!$B$16:$I$80,'Public Expenditure (2)'!F$1,FALSE)),VLOOKUP('Public Expenditure (2)'!$B34,'Local Government'!$B$16:$I$80,'Public Expenditure (2)'!F$1,FALSE),0)</f>
        <v>8823758.7999999989</v>
      </c>
      <c r="G34" s="98">
        <f t="shared" si="1"/>
        <v>0.25763641905954293</v>
      </c>
      <c r="H34" s="207">
        <f t="shared" si="3"/>
        <v>1777496.3128336919</v>
      </c>
      <c r="I34" s="98">
        <f t="shared" si="2"/>
        <v>5.189939971274074E-2</v>
      </c>
      <c r="J34" s="81"/>
      <c r="K34" s="81"/>
      <c r="BV34" s="106"/>
      <c r="BW34" s="106"/>
      <c r="BX34" s="103"/>
      <c r="BY34" s="179"/>
      <c r="BZ34" s="179"/>
      <c r="CA34" s="179"/>
      <c r="CB34" s="176"/>
    </row>
    <row r="35" spans="1:80" ht="13.5" customHeight="1" thickBot="1">
      <c r="B35" s="80">
        <v>74</v>
      </c>
      <c r="C35" s="94" t="s">
        <v>123</v>
      </c>
      <c r="D35" s="207">
        <f>+IF(ISNUMBER(VLOOKUP($B35,'Cental Budget (3)'!$B$16:$J$96,'Public Expenditure (2)'!D$1,FALSE)),VLOOKUP($B35,'Cental Budget (3)'!$B$16:$J$96,'Public Expenditure (2)'!D$1,FALSE),0)+IF(ISNUMBER(VLOOKUP('Public Expenditure (2)'!$B35,'Local Government'!$B$16:$I$80,'Public Expenditure (2)'!D$1,FALSE)),VLOOKUP('Public Expenditure (2)'!$B35,'Local Government'!$B$16:$I$80,'Public Expenditure (2)'!D$1,FALSE),0)</f>
        <v>11000000</v>
      </c>
      <c r="E35" s="98">
        <f>D35/D$11*100</f>
        <v>0.32117838597933712</v>
      </c>
      <c r="F35" s="207">
        <f>+IF(ISNUMBER(VLOOKUP($B35,'Cental Budget (3)'!$B$16:$J$96,'Public Expenditure (2)'!F$1,FALSE)),VLOOKUP($B35,'Cental Budget (3)'!$B$16:$J$96,'Public Expenditure (2)'!F$1,FALSE),0)+IF(ISNUMBER(VLOOKUP('Public Expenditure (2)'!$B35,'Local Government'!$B$16:$I$80,'Public Expenditure (2)'!F$1,FALSE)),VLOOKUP('Public Expenditure (2)'!$B35,'Local Government'!$B$16:$I$80,'Public Expenditure (2)'!F$1,FALSE),0)</f>
        <v>12488533.73</v>
      </c>
      <c r="G35" s="98">
        <f>F35/F$11*100</f>
        <v>0.36464064605908281</v>
      </c>
      <c r="H35" s="207">
        <f t="shared" si="3"/>
        <v>1488533.7300000004</v>
      </c>
      <c r="I35" s="98">
        <f>H35/H$11*100</f>
        <v>4.3462260079745685E-2</v>
      </c>
      <c r="J35" s="81"/>
      <c r="K35" s="370">
        <f>+F35/D35*100-100</f>
        <v>13.532124818181828</v>
      </c>
      <c r="BW35" s="225"/>
      <c r="BX35" s="225"/>
      <c r="BY35" s="179"/>
      <c r="BZ35" s="179"/>
      <c r="CA35" s="179"/>
      <c r="CB35" s="176"/>
    </row>
    <row r="36" spans="1:80" ht="15" customHeight="1" thickTop="1" thickBot="1">
      <c r="B36" s="112"/>
      <c r="C36" s="251" t="str">
        <f>IF(MasterSheet!$A$1=1,MasterSheet!C104,MasterSheet!B104)</f>
        <v>Izdaci</v>
      </c>
      <c r="D36" s="245">
        <f>+D38+D48+D54+D57+SUM(D58:D61)</f>
        <v>1514939702.1541493</v>
      </c>
      <c r="E36" s="246">
        <f t="shared" si="0"/>
        <v>44.233262581262487</v>
      </c>
      <c r="F36" s="245">
        <f>+F38+F48+F54+F57+SUM(F58:F61)</f>
        <v>1625643126.053</v>
      </c>
      <c r="G36" s="246">
        <f t="shared" ref="G36:G65" si="4">F36/F$11*100</f>
        <v>47.465585036736968</v>
      </c>
      <c r="H36" s="245">
        <f t="shared" si="3"/>
        <v>110703423.89885068</v>
      </c>
      <c r="I36" s="246">
        <f t="shared" ref="I36:I76" si="5">H36/H$11*100</f>
        <v>3.2323224554744763</v>
      </c>
      <c r="J36" s="103">
        <f>+'Cental Budget (3)'!F49+'Local Government'!F42-'Public Expenditure (2)'!F36</f>
        <v>0</v>
      </c>
      <c r="K36" s="370">
        <f t="shared" ref="K36:K45" si="6">+F36/D36*100-100</f>
        <v>7.3074475334851599</v>
      </c>
      <c r="BW36" s="81"/>
      <c r="BX36" s="81"/>
      <c r="BY36" s="179"/>
      <c r="BZ36" s="179"/>
      <c r="CA36" s="179"/>
      <c r="CB36" s="176"/>
    </row>
    <row r="37" spans="1:80" ht="13.5" customHeight="1" thickTop="1" thickBot="1">
      <c r="C37" s="251" t="str">
        <f>IF(MasterSheet!$A$1=1,MasterSheet!C105,MasterSheet!B105)</f>
        <v>Tekuća budžetska potrošnja</v>
      </c>
      <c r="D37" s="245">
        <f>+D36-D57</f>
        <v>1379620225.2041492</v>
      </c>
      <c r="E37" s="246">
        <f t="shared" si="0"/>
        <v>40.282199745047116</v>
      </c>
      <c r="F37" s="245">
        <f>+F36-F57+'Cental Budget (3)'!F72</f>
        <v>1517784446.1330001</v>
      </c>
      <c r="G37" s="246">
        <f t="shared" si="4"/>
        <v>44.316323515776283</v>
      </c>
      <c r="H37" s="245">
        <f t="shared" si="3"/>
        <v>138164220.92885089</v>
      </c>
      <c r="I37" s="246">
        <f t="shared" si="5"/>
        <v>4.0341237707291704</v>
      </c>
      <c r="J37" s="103">
        <f>+'Cental Budget (3)'!F50+'Local Government'!F43-'Public Expenditure (2)'!F37</f>
        <v>0</v>
      </c>
      <c r="K37" s="370">
        <f t="shared" si="6"/>
        <v>10.014656091926028</v>
      </c>
      <c r="BW37" s="225"/>
      <c r="BX37" s="225"/>
      <c r="BY37" s="179"/>
      <c r="BZ37" s="179"/>
      <c r="CA37" s="179"/>
      <c r="CB37" s="176"/>
    </row>
    <row r="38" spans="1:80" ht="13.5" customHeight="1" thickTop="1">
      <c r="A38" s="80">
        <v>41</v>
      </c>
      <c r="C38" s="94" t="s">
        <v>63</v>
      </c>
      <c r="D38" s="95">
        <f>+SUM(D39:D47)</f>
        <v>687000912.37</v>
      </c>
      <c r="E38" s="98">
        <f t="shared" si="0"/>
        <v>20.059076745575329</v>
      </c>
      <c r="F38" s="95">
        <f>+SUM(F39:F47)</f>
        <v>674485260.07300007</v>
      </c>
      <c r="G38" s="98">
        <f t="shared" si="4"/>
        <v>19.693644290645416</v>
      </c>
      <c r="H38" s="95">
        <f t="shared" si="3"/>
        <v>-12515652.296999931</v>
      </c>
      <c r="I38" s="98">
        <f t="shared" si="5"/>
        <v>-0.365432454929911</v>
      </c>
      <c r="J38" s="103">
        <f>+'Cental Budget (3)'!F51+'Local Government'!F44-'Public Expenditure (2)'!F38</f>
        <v>0</v>
      </c>
      <c r="K38" s="370">
        <f t="shared" si="6"/>
        <v>-1.8217810299296104</v>
      </c>
      <c r="BW38" s="225"/>
      <c r="BX38" s="225"/>
      <c r="BY38" s="179"/>
      <c r="BZ38" s="179"/>
      <c r="CA38" s="179"/>
      <c r="CB38" s="176"/>
    </row>
    <row r="39" spans="1:80" ht="13.5" customHeight="1">
      <c r="B39" s="80">
        <v>411</v>
      </c>
      <c r="C39" s="94" t="s">
        <v>64</v>
      </c>
      <c r="D39" s="207">
        <f>+IF(ISNUMBER(VLOOKUP($B39,'Cental Budget (3)'!$B$16:$J$96,'Public Expenditure (2)'!D$1,FALSE)),VLOOKUP($B39,'Cental Budget (3)'!$B$16:$J$96,'Public Expenditure (2)'!D$1,FALSE),0)+IF(ISNUMBER(VLOOKUP('Public Expenditure (2)'!$B39,'Local Government'!$B$16:$I$80,'Public Expenditure (2)'!D$1,FALSE)),VLOOKUP('Public Expenditure (2)'!$B39,'Local Government'!$B$16:$I$80,'Public Expenditure (2)'!D$1,FALSE),0)</f>
        <v>426889107.96000004</v>
      </c>
      <c r="E39" s="98">
        <f t="shared" si="0"/>
        <v>12.464323153341073</v>
      </c>
      <c r="F39" s="207">
        <f>+'Cental Budget (3)'!F52+'Local Government'!F45</f>
        <v>392311748.24000001</v>
      </c>
      <c r="G39" s="98">
        <f t="shared" si="4"/>
        <v>11.454732190950478</v>
      </c>
      <c r="H39" s="207">
        <f t="shared" si="3"/>
        <v>-34577359.720000029</v>
      </c>
      <c r="I39" s="98">
        <f t="shared" si="5"/>
        <v>-1.0095909623905959</v>
      </c>
      <c r="J39" s="190">
        <f>+'Cental Budget (3)'!F52+'Local Government'!F45-'Public Expenditure (2)'!F39</f>
        <v>0</v>
      </c>
      <c r="K39" s="370">
        <f t="shared" si="6"/>
        <v>-8.0998458558094626</v>
      </c>
      <c r="BW39" s="225"/>
      <c r="BX39" s="225"/>
      <c r="BY39" s="179"/>
      <c r="BZ39" s="179"/>
      <c r="CA39" s="179"/>
      <c r="CB39" s="176"/>
    </row>
    <row r="40" spans="1:80" ht="13.5" customHeight="1">
      <c r="B40" s="80">
        <v>412</v>
      </c>
      <c r="C40" s="94" t="s">
        <v>75</v>
      </c>
      <c r="D40" s="207">
        <f>+IF(ISNUMBER(VLOOKUP($B40,'Cental Budget (3)'!$B$16:$J$96,'Public Expenditure (2)'!D$1,FALSE)),VLOOKUP($B40,'Cental Budget (3)'!$B$16:$J$96,'Public Expenditure (2)'!D$1,FALSE),0)+IF(ISNUMBER(VLOOKUP('Public Expenditure (2)'!$B40,'Local Government'!$B$16:$I$80,'Public Expenditure (2)'!D$1,FALSE)),VLOOKUP('Public Expenditure (2)'!$B40,'Local Government'!$B$16:$I$80,'Public Expenditure (2)'!D$1,FALSE),0)</f>
        <v>16186903.860000001</v>
      </c>
      <c r="E40" s="98">
        <f t="shared" si="0"/>
        <v>0.47262578688704565</v>
      </c>
      <c r="F40" s="207">
        <f>+IF(ISNUMBER(VLOOKUP($B40,'Cental Budget (3)'!$B$16:$J$96,'Public Expenditure (2)'!F$1,FALSE)),VLOOKUP($B40,'Cental Budget (3)'!$B$16:$J$96,'Public Expenditure (2)'!F$1,FALSE),0)+IF(ISNUMBER(VLOOKUP('Public Expenditure (2)'!$B40,'Local Government'!$B$16:$I$80,'Public Expenditure (2)'!F$1,FALSE)),VLOOKUP('Public Expenditure (2)'!$B40,'Local Government'!$B$16:$I$80,'Public Expenditure (2)'!F$1,FALSE),0)</f>
        <v>17009497.039999999</v>
      </c>
      <c r="G40" s="98">
        <f t="shared" si="4"/>
        <v>0.49664389142068294</v>
      </c>
      <c r="H40" s="207">
        <f t="shared" si="3"/>
        <v>822593.17999999784</v>
      </c>
      <c r="I40" s="98">
        <f t="shared" si="5"/>
        <v>2.401810453363724E-2</v>
      </c>
      <c r="J40" s="190">
        <f>+'Cental Budget (3)'!F53+'Local Government'!F46-'Public Expenditure (2)'!F40</f>
        <v>0</v>
      </c>
      <c r="K40" s="370">
        <f t="shared" si="6"/>
        <v>5.0818438604107286</v>
      </c>
      <c r="BW40" s="225"/>
      <c r="BX40" s="225"/>
      <c r="BY40" s="179"/>
      <c r="BZ40" s="179"/>
      <c r="CA40" s="179"/>
      <c r="CB40" s="176"/>
    </row>
    <row r="41" spans="1:80" ht="13.5" customHeight="1">
      <c r="B41" s="80">
        <v>413</v>
      </c>
      <c r="C41" s="94" t="s">
        <v>448</v>
      </c>
      <c r="D41" s="207">
        <f>+IF(ISNUMBER(VLOOKUP($B41,'Cental Budget (3)'!$B$16:$J$96,'Public Expenditure (2)'!D$1,FALSE)),VLOOKUP($B41,'Cental Budget (3)'!$B$16:$J$96,'Public Expenditure (2)'!D$1,FALSE),0)+IF(ISNUMBER(VLOOKUP('Public Expenditure (2)'!$B41,'Local Government'!$B$16:$I$80,'Public Expenditure (2)'!D$1,FALSE)),VLOOKUP('Public Expenditure (2)'!$B41,'Local Government'!$B$16:$I$80,'Public Expenditure (2)'!D$1,FALSE),0)</f>
        <v>45474472.189999998</v>
      </c>
      <c r="E41" s="98">
        <f t="shared" si="0"/>
        <v>1.3277652346587683</v>
      </c>
      <c r="F41" s="207">
        <f>+IF(ISNUMBER(VLOOKUP($B41,'Cental Budget (3)'!$B$16:$J$96,'Public Expenditure (2)'!F$1,FALSE)),VLOOKUP($B41,'Cental Budget (3)'!$B$16:$J$96,'Public Expenditure (2)'!F$1,FALSE),0)+IF(ISNUMBER(VLOOKUP('Public Expenditure (2)'!$B41,'Local Government'!$B$16:$I$80,'Public Expenditure (2)'!F$1,FALSE)),VLOOKUP('Public Expenditure (2)'!$B41,'Local Government'!$B$16:$I$80,'Public Expenditure (2)'!F$1,FALSE),0)</f>
        <v>35259122.359999999</v>
      </c>
      <c r="G41" s="98">
        <f t="shared" si="4"/>
        <v>1.0294970918757052</v>
      </c>
      <c r="H41" s="207">
        <f t="shared" si="3"/>
        <v>-10215349.829999998</v>
      </c>
      <c r="I41" s="98">
        <f t="shared" si="5"/>
        <v>-0.29826814278306318</v>
      </c>
      <c r="J41" s="190">
        <f>+'Cental Budget (3)'!F54+'Local Government'!F47-'Public Expenditure (2)'!F41</f>
        <v>0</v>
      </c>
      <c r="K41" s="370">
        <f t="shared" si="6"/>
        <v>-22.463921708246659</v>
      </c>
      <c r="BW41" s="225"/>
      <c r="BX41" s="225"/>
      <c r="BY41" s="179"/>
      <c r="BZ41" s="179"/>
      <c r="CA41" s="179"/>
      <c r="CB41" s="176"/>
    </row>
    <row r="42" spans="1:80" ht="13.5" customHeight="1">
      <c r="B42" s="80">
        <v>414</v>
      </c>
      <c r="C42" s="94" t="s">
        <v>449</v>
      </c>
      <c r="D42" s="207">
        <f>+IF(ISNUMBER(VLOOKUP($B42,'Cental Budget (3)'!$B$16:$J$96,'Public Expenditure (2)'!D$1,FALSE)),VLOOKUP($B42,'Cental Budget (3)'!$B$16:$J$96,'Public Expenditure (2)'!D$1,FALSE),0)+IF(ISNUMBER(VLOOKUP('Public Expenditure (2)'!$B42,'Local Government'!$B$16:$I$80,'Public Expenditure (2)'!D$1,FALSE)),VLOOKUP('Public Expenditure (2)'!$B42,'Local Government'!$B$16:$I$80,'Public Expenditure (2)'!D$1,FALSE),0)</f>
        <v>52197897.32</v>
      </c>
      <c r="E42" s="98">
        <f t="shared" si="0"/>
        <v>1.5240760375229789</v>
      </c>
      <c r="F42" s="207">
        <f>+IF(ISNUMBER(VLOOKUP($B42,'Cental Budget (3)'!$B$16:$J$96,'Public Expenditure (2)'!F$1,FALSE)),VLOOKUP($B42,'Cental Budget (3)'!$B$16:$J$96,'Public Expenditure (2)'!F$1,FALSE),0)+IF(ISNUMBER(VLOOKUP('Public Expenditure (2)'!$B42,'Local Government'!$B$16:$I$80,'Public Expenditure (2)'!F$1,FALSE)),VLOOKUP('Public Expenditure (2)'!$B42,'Local Government'!$B$16:$I$80,'Public Expenditure (2)'!F$1,FALSE),0)</f>
        <v>63980598.913000003</v>
      </c>
      <c r="G42" s="98">
        <f t="shared" si="4"/>
        <v>1.8681077720789703</v>
      </c>
      <c r="H42" s="207">
        <f t="shared" si="3"/>
        <v>11782701.593000002</v>
      </c>
      <c r="I42" s="98">
        <f t="shared" si="5"/>
        <v>0.3440317345559914</v>
      </c>
      <c r="J42" s="190">
        <f>+'Cental Budget (3)'!F55+'Local Government'!F48-'Public Expenditure (2)'!F42</f>
        <v>0</v>
      </c>
      <c r="K42" s="370">
        <f t="shared" si="6"/>
        <v>22.573134547481828</v>
      </c>
      <c r="BW42" s="225"/>
      <c r="BX42" s="225"/>
      <c r="BY42" s="179"/>
      <c r="BZ42" s="179"/>
      <c r="CA42" s="179"/>
      <c r="CB42" s="176"/>
    </row>
    <row r="43" spans="1:80" ht="21.75" customHeight="1">
      <c r="B43" s="80">
        <v>415</v>
      </c>
      <c r="C43" s="94" t="s">
        <v>450</v>
      </c>
      <c r="D43" s="207">
        <f>+IF(ISNUMBER(VLOOKUP($B43,'Cental Budget (3)'!$B$16:$J$96,'Public Expenditure (2)'!D$1,FALSE)),VLOOKUP($B43,'Cental Budget (3)'!$B$16:$J$96,'Public Expenditure (2)'!D$1,FALSE),0)+IF(ISNUMBER(VLOOKUP('Public Expenditure (2)'!$B43,'Local Government'!$B$16:$I$80,'Public Expenditure (2)'!D$1,FALSE)),VLOOKUP('Public Expenditure (2)'!$B43,'Local Government'!$B$16:$I$80,'Public Expenditure (2)'!D$1,FALSE),0)</f>
        <v>25507716.120000005</v>
      </c>
      <c r="E43" s="98">
        <f t="shared" si="0"/>
        <v>0.74477519031279282</v>
      </c>
      <c r="F43" s="207">
        <f>+IF(ISNUMBER(VLOOKUP($B43,'Cental Budget (3)'!$B$16:$J$96,'Public Expenditure (2)'!F$1,FALSE)),VLOOKUP($B43,'Cental Budget (3)'!$B$16:$J$96,'Public Expenditure (2)'!F$1,FALSE),0)+IF(ISNUMBER(VLOOKUP('Public Expenditure (2)'!$B43,'Local Government'!$B$16:$I$80,'Public Expenditure (2)'!F$1,FALSE)),VLOOKUP('Public Expenditure (2)'!$B43,'Local Government'!$B$16:$I$80,'Public Expenditure (2)'!F$1,FALSE),0)</f>
        <v>26035003.659999996</v>
      </c>
      <c r="G43" s="98">
        <f t="shared" si="4"/>
        <v>0.7601709504077212</v>
      </c>
      <c r="H43" s="207">
        <f t="shared" si="3"/>
        <v>527287.53999999166</v>
      </c>
      <c r="I43" s="98">
        <f t="shared" si="5"/>
        <v>1.5395760094928407E-2</v>
      </c>
      <c r="J43" s="190">
        <f>+'Cental Budget (3)'!F56+'Local Government'!F49-'Public Expenditure (2)'!F43</f>
        <v>0</v>
      </c>
      <c r="K43" s="370">
        <f t="shared" si="6"/>
        <v>2.0671687638336209</v>
      </c>
      <c r="BW43" s="225"/>
      <c r="BX43" s="225"/>
      <c r="BY43" s="179"/>
      <c r="BZ43" s="179"/>
      <c r="CA43" s="179"/>
      <c r="CB43" s="176"/>
    </row>
    <row r="44" spans="1:80" ht="13.5" customHeight="1">
      <c r="B44" s="80">
        <v>416</v>
      </c>
      <c r="C44" s="94" t="s">
        <v>80</v>
      </c>
      <c r="D44" s="207">
        <f>+IF(ISNUMBER(VLOOKUP($B44,'Cental Budget (3)'!$B$16:$J$96,'Public Expenditure (2)'!D$1,FALSE)),VLOOKUP($B44,'Cental Budget (3)'!$B$16:$J$96,'Public Expenditure (2)'!D$1,FALSE),0)+IF(ISNUMBER(VLOOKUP('Public Expenditure (2)'!$B44,'Local Government'!$B$16:$I$80,'Public Expenditure (2)'!D$1,FALSE)),VLOOKUP('Public Expenditure (2)'!$B44,'Local Government'!$B$16:$I$80,'Public Expenditure (2)'!D$1,FALSE),0)</f>
        <v>58599837.340000004</v>
      </c>
      <c r="E44" s="98">
        <f t="shared" si="0"/>
        <v>1.7110001068648086</v>
      </c>
      <c r="F44" s="207">
        <f>+IF(ISNUMBER(VLOOKUP($B44,'Cental Budget (3)'!$B$16:$J$96,'Public Expenditure (2)'!F$1,FALSE)),VLOOKUP($B44,'Cental Budget (3)'!$B$16:$J$96,'Public Expenditure (2)'!F$1,FALSE),0)+IF(ISNUMBER(VLOOKUP('Public Expenditure (2)'!$B44,'Local Government'!$B$16:$I$80,'Public Expenditure (2)'!F$1,FALSE)),VLOOKUP('Public Expenditure (2)'!$B44,'Local Government'!$B$16:$I$80,'Public Expenditure (2)'!F$1,FALSE),0)</f>
        <v>79959217.709999993</v>
      </c>
      <c r="G44" s="98">
        <f t="shared" si="4"/>
        <v>2.3346520443880205</v>
      </c>
      <c r="H44" s="207">
        <f t="shared" si="3"/>
        <v>21359380.36999999</v>
      </c>
      <c r="I44" s="98">
        <f t="shared" si="5"/>
        <v>0.62365193752321213</v>
      </c>
      <c r="J44" s="190">
        <f>+'Cental Budget (3)'!F57+'Local Government'!F50-'Public Expenditure (2)'!F44</f>
        <v>0</v>
      </c>
      <c r="K44" s="370">
        <f t="shared" si="6"/>
        <v>36.449555731821391</v>
      </c>
      <c r="BW44" s="225"/>
      <c r="BX44" s="225"/>
      <c r="BY44" s="179"/>
      <c r="BZ44" s="179"/>
      <c r="CA44" s="179"/>
      <c r="CB44" s="176"/>
    </row>
    <row r="45" spans="1:80" ht="13.5" customHeight="1">
      <c r="B45" s="80">
        <v>417</v>
      </c>
      <c r="C45" s="94" t="s">
        <v>82</v>
      </c>
      <c r="D45" s="207">
        <f>+IF(ISNUMBER(VLOOKUP($B45,'Cental Budget (3)'!$B$16:$J$96,'Public Expenditure (2)'!D$1,FALSE)),VLOOKUP($B45,'Cental Budget (3)'!$B$16:$J$96,'Public Expenditure (2)'!D$1,FALSE),0)+IF(ISNUMBER(VLOOKUP('Public Expenditure (2)'!$B45,'Local Government'!$B$16:$I$80,'Public Expenditure (2)'!D$1,FALSE)),VLOOKUP('Public Expenditure (2)'!$B45,'Local Government'!$B$16:$I$80,'Public Expenditure (2)'!D$1,FALSE),0)</f>
        <v>8669160.4900000002</v>
      </c>
      <c r="E45" s="98">
        <f t="shared" si="0"/>
        <v>0.25312245217945811</v>
      </c>
      <c r="F45" s="207">
        <f>+IF(ISNUMBER(VLOOKUP($B45,'Cental Budget (3)'!$B$16:$J$96,'Public Expenditure (2)'!F$1,FALSE)),VLOOKUP($B45,'Cental Budget (3)'!$B$16:$J$96,'Public Expenditure (2)'!F$1,FALSE),0)+IF(ISNUMBER(VLOOKUP('Public Expenditure (2)'!$B45,'Local Government'!$B$16:$I$80,'Public Expenditure (2)'!F$1,FALSE)),VLOOKUP('Public Expenditure (2)'!$B45,'Local Government'!$B$16:$I$80,'Public Expenditure (2)'!F$1,FALSE),0)</f>
        <v>8616157.7199999988</v>
      </c>
      <c r="G45" s="98">
        <f t="shared" si="4"/>
        <v>0.25157487544118229</v>
      </c>
      <c r="H45" s="207">
        <f t="shared" si="3"/>
        <v>-53002.770000001416</v>
      </c>
      <c r="I45" s="98">
        <f t="shared" si="5"/>
        <v>-1.5475767382758623E-3</v>
      </c>
      <c r="J45" s="190">
        <f>+'Cental Budget (3)'!F58+'Local Government'!F51-'Public Expenditure (2)'!F45</f>
        <v>0</v>
      </c>
      <c r="K45" s="370">
        <f t="shared" si="6"/>
        <v>-0.61139449501645515</v>
      </c>
      <c r="BW45" s="225"/>
      <c r="BX45" s="225"/>
      <c r="BY45" s="179"/>
      <c r="BZ45" s="179"/>
      <c r="CA45" s="179"/>
      <c r="CB45" s="176"/>
    </row>
    <row r="46" spans="1:80" ht="13.5" customHeight="1">
      <c r="B46" s="80">
        <v>418</v>
      </c>
      <c r="C46" s="94" t="s">
        <v>84</v>
      </c>
      <c r="D46" s="207">
        <f>+IF(ISNUMBER(VLOOKUP($B46,'Cental Budget (3)'!$B$16:$J$96,'Public Expenditure (2)'!D$1,FALSE)),VLOOKUP($B46,'Cental Budget (3)'!$B$16:$J$96,'Public Expenditure (2)'!D$1,FALSE),0)+IF(ISNUMBER(VLOOKUP('Public Expenditure (2)'!$B46,'Local Government'!$B$16:$I$80,'Public Expenditure (2)'!D$1,FALSE)),VLOOKUP('Public Expenditure (2)'!$B46,'Local Government'!$B$16:$I$80,'Public Expenditure (2)'!D$1,FALSE),0)</f>
        <v>19841589.549999997</v>
      </c>
      <c r="E46" s="98">
        <f t="shared" si="0"/>
        <v>0.57933542790304371</v>
      </c>
      <c r="F46" s="207">
        <f>+IF(ISNUMBER(VLOOKUP($B46,'Cental Budget (3)'!$B$16:$J$96,'Public Expenditure (2)'!F$1,FALSE)),VLOOKUP($B46,'Cental Budget (3)'!$B$16:$J$96,'Public Expenditure (2)'!F$1,FALSE),0)+IF(ISNUMBER(VLOOKUP('Public Expenditure (2)'!$B46,'Local Government'!$B$16:$I$80,'Public Expenditure (2)'!F$1,FALSE)),VLOOKUP('Public Expenditure (2)'!$B46,'Local Government'!$B$16:$I$80,'Public Expenditure (2)'!F$1,FALSE),0)</f>
        <v>19094187.149999999</v>
      </c>
      <c r="G46" s="98">
        <f t="shared" si="4"/>
        <v>0.55751274640221804</v>
      </c>
      <c r="H46" s="207">
        <f t="shared" si="3"/>
        <v>-747402.39999999851</v>
      </c>
      <c r="I46" s="98">
        <f t="shared" si="5"/>
        <v>-2.1822681500825676E-2</v>
      </c>
      <c r="J46" s="190">
        <f>+'Cental Budget (3)'!F59+'Local Government'!F52-'Public Expenditure (2)'!F46</f>
        <v>0</v>
      </c>
      <c r="K46" s="370"/>
      <c r="BW46" s="225"/>
      <c r="BX46" s="225"/>
      <c r="BY46" s="179"/>
      <c r="BZ46" s="179"/>
      <c r="CA46" s="179"/>
      <c r="CB46" s="176"/>
    </row>
    <row r="47" spans="1:80" ht="13.5" customHeight="1">
      <c r="B47" s="80">
        <v>419</v>
      </c>
      <c r="C47" s="94" t="s">
        <v>86</v>
      </c>
      <c r="D47" s="207">
        <f>+IF(ISNUMBER(VLOOKUP($B47,'Cental Budget (3)'!$B$16:$J$96,'Public Expenditure (2)'!D$1,FALSE)),VLOOKUP($B47,'Cental Budget (3)'!$B$16:$J$96,'Public Expenditure (2)'!D$1,FALSE),0)+IF(ISNUMBER(VLOOKUP('Public Expenditure (2)'!$B47,'Local Government'!$B$16:$I$80,'Public Expenditure (2)'!D$1,FALSE)),VLOOKUP('Public Expenditure (2)'!$B47,'Local Government'!$B$16:$I$80,'Public Expenditure (2)'!D$1,FALSE),0)</f>
        <v>33634227.539999999</v>
      </c>
      <c r="E47" s="98">
        <f t="shared" si="0"/>
        <v>0.98205335590536103</v>
      </c>
      <c r="F47" s="207">
        <f>+IF(ISNUMBER(VLOOKUP($B47,'Cental Budget (3)'!$B$16:$J$96,'Public Expenditure (2)'!F$1,FALSE)),VLOOKUP($B47,'Cental Budget (3)'!$B$16:$J$96,'Public Expenditure (2)'!F$1,FALSE),0)+IF(ISNUMBER(VLOOKUP('Public Expenditure (2)'!$B47,'Local Government'!$B$16:$I$80,'Public Expenditure (2)'!F$1,FALSE)),VLOOKUP('Public Expenditure (2)'!$B47,'Local Government'!$B$16:$I$80,'Public Expenditure (2)'!F$1,FALSE),0)</f>
        <v>32219727.279999997</v>
      </c>
      <c r="G47" s="98">
        <f t="shared" si="4"/>
        <v>0.94075272768043783</v>
      </c>
      <c r="H47" s="207">
        <f t="shared" si="3"/>
        <v>-1414500.2600000016</v>
      </c>
      <c r="I47" s="98">
        <f t="shared" si="5"/>
        <v>-4.1300628224923024E-2</v>
      </c>
      <c r="J47" s="190">
        <f>+'Cental Budget (3)'!F60+'Local Government'!F53-'Public Expenditure (2)'!F47</f>
        <v>0</v>
      </c>
      <c r="K47" s="370"/>
      <c r="BW47" s="225"/>
      <c r="BX47" s="225"/>
      <c r="BY47" s="179"/>
      <c r="BZ47" s="179"/>
      <c r="CA47" s="179"/>
      <c r="CB47" s="176"/>
    </row>
    <row r="48" spans="1:80" ht="13.5" customHeight="1">
      <c r="A48" s="80">
        <v>42</v>
      </c>
      <c r="B48" s="80" t="s">
        <v>447</v>
      </c>
      <c r="C48" s="94" t="s">
        <v>87</v>
      </c>
      <c r="D48" s="95">
        <f>+IF(ISNUMBER(VLOOKUP($B48,'Cental Budget (3)'!$B$16:$G$96,'Public Expenditure (2)'!D$1,FALSE)),VLOOKUP($B48,'Cental Budget (3)'!$B$16:$G$96,'Public Expenditure (2)'!D$1,FALSE),0)+IF(ISNUMBER(VLOOKUP('Public Expenditure (2)'!$B48,'Local Government'!$B$16:$G$80,'Public Expenditure (2)'!D$1,FALSE)),VLOOKUP('Public Expenditure (2)'!$B48,'Local Government'!$B$16:$G$80,'Public Expenditure (2)'!D$1,FALSE),0)</f>
        <v>497498851.23250002</v>
      </c>
      <c r="E48" s="98">
        <f t="shared" si="0"/>
        <v>14.525988915038972</v>
      </c>
      <c r="F48" s="95">
        <f>+IF(ISNUMBER(VLOOKUP($B48,'Cental Budget (3)'!$B$16:$G$96,'Public Expenditure (2)'!F$1,FALSE)),VLOOKUP($B48,'Cental Budget (3)'!$B$16:$G$96,'Public Expenditure (2)'!F$1,FALSE),0)+IF(ISNUMBER(VLOOKUP('Public Expenditure (2)'!$B48,'Local Government'!$B$16:$G$80,'Public Expenditure (2)'!F$1,FALSE)),VLOOKUP('Public Expenditure (2)'!$B48,'Local Government'!$B$16:$G$80,'Public Expenditure (2)'!F$1,FALSE),0)</f>
        <v>492965722.86000007</v>
      </c>
      <c r="G48" s="98">
        <f t="shared" si="4"/>
        <v>14.393630473755639</v>
      </c>
      <c r="H48" s="95">
        <f t="shared" si="3"/>
        <v>-4533128.3724999428</v>
      </c>
      <c r="I48" s="98">
        <f t="shared" si="5"/>
        <v>-0.13235844128333371</v>
      </c>
      <c r="J48" s="190">
        <f>+'Cental Budget (3)'!F61+'Local Government'!F54-'Public Expenditure (2)'!F48</f>
        <v>0</v>
      </c>
      <c r="K48" s="370"/>
      <c r="BW48" s="225"/>
      <c r="BX48" s="225"/>
      <c r="BY48" s="179"/>
      <c r="BZ48" s="179"/>
      <c r="CA48" s="179"/>
      <c r="CB48" s="176"/>
    </row>
    <row r="49" spans="1:80" ht="13.5" customHeight="1">
      <c r="B49" s="80">
        <v>421</v>
      </c>
      <c r="C49" s="100" t="s">
        <v>89</v>
      </c>
      <c r="D49" s="211">
        <f>+IF(ISNUMBER(VLOOKUP($B49,'Cental Budget (3)'!$B$16:$J$96,'Public Expenditure (2)'!D$1,FALSE)),VLOOKUP($B49,'Cental Budget (3)'!$B$16:$J$96,'Public Expenditure (2)'!D$1,FALSE),0)+IF(ISNUMBER(VLOOKUP('Public Expenditure (2)'!$B49,'Local Government'!$B$16:$I$80,'Public Expenditure (2)'!D$1,FALSE)),VLOOKUP('Public Expenditure (2)'!$B49,'Local Government'!$B$16:$I$80,'Public Expenditure (2)'!D$1,FALSE),0)</f>
        <v>62490861.432500005</v>
      </c>
      <c r="E49" s="102">
        <f t="shared" si="0"/>
        <v>1.8246103648498873</v>
      </c>
      <c r="F49" s="211">
        <f>+'Cental Budget (3)'!F62+'Local Government'!F55</f>
        <v>62682626.760000005</v>
      </c>
      <c r="G49" s="102">
        <f t="shared" si="4"/>
        <v>1.8302095356110917</v>
      </c>
      <c r="H49" s="211">
        <f t="shared" si="3"/>
        <v>191765.3275000006</v>
      </c>
      <c r="I49" s="102">
        <f t="shared" si="5"/>
        <v>5.5991707612044715E-3</v>
      </c>
      <c r="J49" s="190">
        <f>+'Cental Budget (3)'!F62+'Local Government'!F55-'Public Expenditure (2)'!F49</f>
        <v>0</v>
      </c>
      <c r="K49" s="370"/>
      <c r="BW49" s="225"/>
      <c r="BX49" s="225"/>
      <c r="BY49" s="179"/>
      <c r="BZ49" s="179"/>
      <c r="CA49" s="179"/>
      <c r="CB49" s="176"/>
    </row>
    <row r="50" spans="1:80" ht="13.5" customHeight="1">
      <c r="B50" s="80">
        <v>422</v>
      </c>
      <c r="C50" s="100" t="s">
        <v>91</v>
      </c>
      <c r="D50" s="211">
        <f>+IF(ISNUMBER(VLOOKUP($B50,'Cental Budget (3)'!$B$16:$J$96,'Public Expenditure (2)'!D$1,FALSE)),VLOOKUP($B50,'Cental Budget (3)'!$B$16:$J$96,'Public Expenditure (2)'!D$1,FALSE),0)+IF(ISNUMBER(VLOOKUP('Public Expenditure (2)'!$B50,'Local Government'!$B$16:$I$80,'Public Expenditure (2)'!D$1,FALSE)),VLOOKUP('Public Expenditure (2)'!$B50,'Local Government'!$B$16:$I$80,'Public Expenditure (2)'!D$1,FALSE),0)</f>
        <v>24315045.490000002</v>
      </c>
      <c r="E50" s="102">
        <f t="shared" si="0"/>
        <v>0.7099515514083965</v>
      </c>
      <c r="F50" s="211">
        <f>+'Cental Budget (3)'!F63</f>
        <v>22587777.399999999</v>
      </c>
      <c r="G50" s="102">
        <f t="shared" si="4"/>
        <v>0.65951871710841348</v>
      </c>
      <c r="H50" s="211">
        <f t="shared" si="3"/>
        <v>-1727268.0900000036</v>
      </c>
      <c r="I50" s="102">
        <f t="shared" si="5"/>
        <v>-5.0432834299983055E-2</v>
      </c>
      <c r="J50" s="190">
        <f>+'Cental Budget (3)'!F63-'Public Expenditure (2)'!F50</f>
        <v>0</v>
      </c>
      <c r="K50" s="370"/>
      <c r="BW50" s="225"/>
      <c r="BX50" s="225"/>
      <c r="BY50" s="179"/>
      <c r="BZ50" s="179"/>
      <c r="CA50" s="179"/>
      <c r="CB50" s="176"/>
    </row>
    <row r="51" spans="1:80" ht="13.5" customHeight="1">
      <c r="B51" s="80">
        <v>423</v>
      </c>
      <c r="C51" s="100" t="s">
        <v>93</v>
      </c>
      <c r="D51" s="211">
        <f>+IF(ISNUMBER(VLOOKUP($B51,'Cental Budget (3)'!$B$16:$J$96,'Public Expenditure (2)'!D$1,FALSE)),VLOOKUP($B51,'Cental Budget (3)'!$B$16:$J$96,'Public Expenditure (2)'!D$1,FALSE),0)+IF(ISNUMBER(VLOOKUP('Public Expenditure (2)'!$B51,'Local Government'!$B$16:$I$80,'Public Expenditure (2)'!D$1,FALSE)),VLOOKUP('Public Expenditure (2)'!$B51,'Local Government'!$B$16:$I$80,'Public Expenditure (2)'!D$1,FALSE),0)</f>
        <v>387382775.06999999</v>
      </c>
      <c r="E51" s="102">
        <f t="shared" si="0"/>
        <v>11.310815859379927</v>
      </c>
      <c r="F51" s="211">
        <f>+'Cental Budget (3)'!F64</f>
        <v>384390842.85000002</v>
      </c>
      <c r="G51" s="102">
        <f t="shared" si="4"/>
        <v>11.223457317436367</v>
      </c>
      <c r="H51" s="211">
        <f t="shared" si="3"/>
        <v>-2991932.219999969</v>
      </c>
      <c r="I51" s="102">
        <f t="shared" si="5"/>
        <v>-8.7358541943560464E-2</v>
      </c>
      <c r="J51" s="190">
        <f>+'Cental Budget (3)'!F64-'Public Expenditure (2)'!F51</f>
        <v>0</v>
      </c>
      <c r="K51" s="370"/>
      <c r="BW51" s="225"/>
      <c r="BX51" s="225"/>
      <c r="BY51" s="179"/>
      <c r="BZ51" s="179"/>
      <c r="CA51" s="179"/>
      <c r="CB51" s="176"/>
    </row>
    <row r="52" spans="1:80" ht="13.5" customHeight="1">
      <c r="B52" s="80">
        <v>424</v>
      </c>
      <c r="C52" s="100" t="s">
        <v>95</v>
      </c>
      <c r="D52" s="211">
        <f>+IF(ISNUMBER(VLOOKUP($B52,'Cental Budget (3)'!$B$16:$J$96,'Public Expenditure (2)'!D$1,FALSE)),VLOOKUP($B52,'Cental Budget (3)'!$B$16:$J$96,'Public Expenditure (2)'!D$1,FALSE),0)+IF(ISNUMBER(VLOOKUP('Public Expenditure (2)'!$B52,'Local Government'!$B$16:$I$80,'Public Expenditure (2)'!D$1,FALSE)),VLOOKUP('Public Expenditure (2)'!$B52,'Local Government'!$B$16:$I$80,'Public Expenditure (2)'!D$1,FALSE),0)</f>
        <v>15215169.24</v>
      </c>
      <c r="E52" s="102">
        <f t="shared" si="0"/>
        <v>0.44425304535505983</v>
      </c>
      <c r="F52" s="211">
        <f>+'Cental Budget (3)'!F65</f>
        <v>15215135.74</v>
      </c>
      <c r="G52" s="102">
        <f t="shared" si="4"/>
        <v>0.44425206722088434</v>
      </c>
      <c r="H52" s="211">
        <f t="shared" si="3"/>
        <v>-33.5</v>
      </c>
      <c r="I52" s="102">
        <f t="shared" si="5"/>
        <v>-9.7813417548252671E-7</v>
      </c>
      <c r="J52" s="190">
        <f>+'Cental Budget (3)'!F65-'Public Expenditure (2)'!F52</f>
        <v>0</v>
      </c>
      <c r="K52" s="370"/>
      <c r="M52" s="80">
        <v>48</v>
      </c>
      <c r="BW52" s="225"/>
      <c r="BX52" s="225"/>
      <c r="BY52" s="179"/>
      <c r="BZ52" s="179"/>
      <c r="CA52" s="179"/>
      <c r="CB52" s="176"/>
    </row>
    <row r="53" spans="1:80" ht="13.5" customHeight="1">
      <c r="B53" s="80">
        <v>425</v>
      </c>
      <c r="C53" s="100" t="s">
        <v>451</v>
      </c>
      <c r="D53" s="211">
        <f>+IF(ISNUMBER(VLOOKUP($B53,'Cental Budget (3)'!$B$16:$J$96,'Public Expenditure (2)'!D$1,FALSE)),VLOOKUP($B53,'Cental Budget (3)'!$B$16:$J$96,'Public Expenditure (2)'!D$1,FALSE),0)+IF(ISNUMBER(VLOOKUP('Public Expenditure (2)'!$B53,'Local Government'!$B$16:$I$80,'Public Expenditure (2)'!D$1,FALSE)),VLOOKUP('Public Expenditure (2)'!$B53,'Local Government'!$B$16:$I$80,'Public Expenditure (2)'!D$1,FALSE),0)</f>
        <v>8095000</v>
      </c>
      <c r="E53" s="102">
        <f t="shared" si="0"/>
        <v>0.2363580940457031</v>
      </c>
      <c r="F53" s="211">
        <f>+'Cental Budget (3)'!F66</f>
        <v>8089340.1100000003</v>
      </c>
      <c r="G53" s="102">
        <f t="shared" si="4"/>
        <v>0.23619283637888308</v>
      </c>
      <c r="H53" s="211">
        <f t="shared" si="3"/>
        <v>-5659.8899999996647</v>
      </c>
      <c r="I53" s="102">
        <f t="shared" si="5"/>
        <v>-1.6525766682004388E-4</v>
      </c>
      <c r="J53" s="190">
        <f>+'Cental Budget (3)'!F66-'Public Expenditure (2)'!F53</f>
        <v>0</v>
      </c>
      <c r="K53" s="370"/>
      <c r="M53" s="80">
        <v>17.5</v>
      </c>
      <c r="BW53" s="225"/>
      <c r="BX53" s="225"/>
      <c r="BY53" s="179"/>
      <c r="BZ53" s="179"/>
      <c r="CA53" s="179"/>
      <c r="CB53" s="176"/>
    </row>
    <row r="54" spans="1:80" ht="13.5" customHeight="1">
      <c r="A54" s="80">
        <v>43</v>
      </c>
      <c r="C54" s="94" t="s">
        <v>452</v>
      </c>
      <c r="D54" s="95">
        <f>+SUM(D55:D56)</f>
        <v>132526446.50334941</v>
      </c>
      <c r="E54" s="98">
        <f t="shared" si="0"/>
        <v>3.8695118352293392</v>
      </c>
      <c r="F54" s="95">
        <f>+SUM(F55:F56)</f>
        <v>136863388.78999999</v>
      </c>
      <c r="G54" s="98">
        <f t="shared" si="4"/>
        <v>3.9961420282940634</v>
      </c>
      <c r="H54" s="95">
        <f t="shared" si="3"/>
        <v>4336942.2866505831</v>
      </c>
      <c r="I54" s="98">
        <f t="shared" si="5"/>
        <v>0.12663019306472456</v>
      </c>
      <c r="J54" s="190"/>
      <c r="K54" s="370"/>
      <c r="M54" s="80">
        <v>17.5</v>
      </c>
      <c r="BW54" s="225"/>
      <c r="BX54" s="225"/>
      <c r="BY54" s="179"/>
      <c r="BZ54" s="179"/>
      <c r="CA54" s="179"/>
      <c r="CB54" s="176"/>
    </row>
    <row r="55" spans="1:80" ht="13.5" customHeight="1">
      <c r="B55" s="80">
        <v>431</v>
      </c>
      <c r="C55" s="100" t="s">
        <v>452</v>
      </c>
      <c r="D55" s="211">
        <f>+IF(ISNUMBER(VLOOKUP($B55,'Cental Budget (3)'!$B$16:$J$96,'Public Expenditure (2)'!D$1,FALSE)),VLOOKUP($B55,'Cental Budget (3)'!$B$16:$J$96,'Public Expenditure (2)'!D$1,FALSE),0)+IF(ISNUMBER(VLOOKUP('Public Expenditure (2)'!$B55,'Local Government'!$B$16:$I$80,'Public Expenditure (2)'!D$1,FALSE)),VLOOKUP('Public Expenditure (2)'!$B55,'Local Government'!$B$16:$I$80,'Public Expenditure (2)'!D$1,FALSE),0)</f>
        <v>130304802.0233494</v>
      </c>
      <c r="E55" s="102">
        <f t="shared" si="0"/>
        <v>3.8046441817469474</v>
      </c>
      <c r="F55" s="211">
        <f>+IF(ISNUMBER(VLOOKUP($B55,'Cental Budget (3)'!$B$16:$J$96,'Public Expenditure (2)'!F$1,FALSE)),VLOOKUP($B55,'Cental Budget (3)'!$B$16:$J$96,'Public Expenditure (2)'!F$1,FALSE),0)+IF(ISNUMBER(VLOOKUP('Public Expenditure (2)'!$B55,'Local Government'!$B$16:$I$80,'Public Expenditure (2)'!F$1,FALSE)),VLOOKUP('Public Expenditure (2)'!$B55,'Local Government'!$B$16:$I$80,'Public Expenditure (2)'!F$1,FALSE),0)</f>
        <v>117689952.44</v>
      </c>
      <c r="G55" s="102">
        <f t="shared" si="4"/>
        <v>3.4363153609694685</v>
      </c>
      <c r="H55" s="211">
        <f t="shared" si="3"/>
        <v>-12614849.583349407</v>
      </c>
      <c r="I55" s="102">
        <f t="shared" si="5"/>
        <v>-0.36832882077747964</v>
      </c>
      <c r="J55" s="190"/>
      <c r="K55" s="370"/>
      <c r="M55" s="80">
        <v>17.5</v>
      </c>
      <c r="BW55" s="225"/>
      <c r="BX55" s="225"/>
      <c r="BY55" s="179"/>
      <c r="BZ55" s="179"/>
      <c r="CA55" s="179"/>
      <c r="CB55" s="176"/>
    </row>
    <row r="56" spans="1:80" ht="13.5" customHeight="1" thickBot="1">
      <c r="A56" s="80" t="s">
        <v>447</v>
      </c>
      <c r="B56" s="80">
        <v>432</v>
      </c>
      <c r="C56" s="100" t="s">
        <v>453</v>
      </c>
      <c r="D56" s="211">
        <f>+IF(ISNUMBER(VLOOKUP($B56,'Cental Budget (3)'!$B$16:$J$96,'Public Expenditure (2)'!D$1,FALSE)),VLOOKUP($B56,'Cental Budget (3)'!$B$16:$J$96,'Public Expenditure (2)'!D$1,FALSE),0)+IF(ISNUMBER(VLOOKUP('Public Expenditure (2)'!$B56,'Local Government'!$B$16:$I$80,'Public Expenditure (2)'!D$1,FALSE)),VLOOKUP('Public Expenditure (2)'!$B56,'Local Government'!$B$16:$I$80,'Public Expenditure (2)'!D$1,FALSE),0)</f>
        <v>2221644.48</v>
      </c>
      <c r="E56" s="102">
        <f t="shared" si="0"/>
        <v>6.4867653482391249E-2</v>
      </c>
      <c r="F56" s="211">
        <f>+IF(ISNUMBER(VLOOKUP($B56,'Cental Budget (3)'!$B$16:$J$96,'Public Expenditure (2)'!F$1,FALSE)),VLOOKUP($B56,'Cental Budget (3)'!$B$16:$J$96,'Public Expenditure (2)'!F$1,FALSE),0)+IF(ISNUMBER(VLOOKUP('Public Expenditure (2)'!$B56,'Local Government'!$B$16:$I$80,'Public Expenditure (2)'!F$1,FALSE)),VLOOKUP('Public Expenditure (2)'!$B56,'Local Government'!$B$16:$I$80,'Public Expenditure (2)'!F$1,FALSE),0)</f>
        <v>19173436.350000001</v>
      </c>
      <c r="G56" s="102">
        <f t="shared" si="4"/>
        <v>0.55982666732459574</v>
      </c>
      <c r="H56" s="211">
        <f t="shared" si="3"/>
        <v>16951791.870000001</v>
      </c>
      <c r="I56" s="102">
        <f t="shared" si="5"/>
        <v>0.49495901384220448</v>
      </c>
      <c r="J56" s="190"/>
      <c r="K56" s="370"/>
      <c r="M56" s="80">
        <f>SUM(M52:M55)</f>
        <v>100.5</v>
      </c>
      <c r="BW56" s="225"/>
      <c r="BX56" s="225"/>
      <c r="BY56" s="179"/>
      <c r="BZ56" s="179"/>
      <c r="CA56" s="179"/>
      <c r="CB56" s="176"/>
    </row>
    <row r="57" spans="1:80" ht="13.5" customHeight="1" thickTop="1" thickBot="1">
      <c r="B57" s="80">
        <v>44</v>
      </c>
      <c r="C57" s="192" t="s">
        <v>488</v>
      </c>
      <c r="D57" s="358">
        <f>+IF(ISNUMBER(VLOOKUP($B57,'Cental Budget (3)'!$B$16:$J$96,'Public Expenditure (2)'!D$1,FALSE)),VLOOKUP($B57,'Cental Budget (3)'!$B$16:$J$96,'Public Expenditure (2)'!D$1,FALSE),0)+IF(ISNUMBER(VLOOKUP('Public Expenditure (2)'!$B57,'Local Government'!$B$16:$I$80,'Public Expenditure (2)'!D$1,FALSE)),VLOOKUP('Public Expenditure (2)'!$B57,'Local Government'!$B$16:$I$80,'Public Expenditure (2)'!D$1,FALSE),0)</f>
        <v>135319476.94999999</v>
      </c>
      <c r="E57" s="359">
        <f t="shared" si="0"/>
        <v>3.9510628362153737</v>
      </c>
      <c r="F57" s="358">
        <f>+IF(ISNUMBER(VLOOKUP($B57,'Cental Budget (3)'!$B$16:$J$96,'Public Expenditure (2)'!F$1,FALSE)),VLOOKUP($B57,'Cental Budget (3)'!$B$16:$J$96,'Public Expenditure (2)'!F$1,FALSE),0)+IF(ISNUMBER(VLOOKUP('Public Expenditure (2)'!$B57,'Local Government'!$B$16:$I$80,'Public Expenditure (2)'!F$1,FALSE)),VLOOKUP('Public Expenditure (2)'!$B57,'Local Government'!$B$16:$I$80,'Public Expenditure (2)'!F$1,FALSE),0)</f>
        <v>174104993.13999999</v>
      </c>
      <c r="G57" s="194">
        <f t="shared" si="4"/>
        <v>5.0835236988771602</v>
      </c>
      <c r="H57" s="358">
        <f t="shared" si="3"/>
        <v>38785516.189999998</v>
      </c>
      <c r="I57" s="194">
        <f t="shared" si="5"/>
        <v>1.1324608626617862</v>
      </c>
      <c r="J57" s="190"/>
      <c r="K57" s="370"/>
      <c r="BW57" s="225"/>
      <c r="BX57" s="225"/>
      <c r="BY57" s="179"/>
      <c r="BZ57" s="179"/>
      <c r="CA57" s="179"/>
      <c r="CB57" s="176"/>
    </row>
    <row r="58" spans="1:80" ht="13.5" customHeight="1" thickTop="1">
      <c r="B58" s="80">
        <v>451</v>
      </c>
      <c r="C58" s="94" t="s">
        <v>111</v>
      </c>
      <c r="D58" s="207">
        <f>+IF(ISNUMBER(VLOOKUP($B58,'Cental Budget (3)'!$B$16:$J$96,'Public Expenditure (2)'!D$1,FALSE)),VLOOKUP($B58,'Cental Budget (3)'!$B$16:$J$96,'Public Expenditure (2)'!D$1,FALSE),0)+IF(ISNUMBER(VLOOKUP('Public Expenditure (2)'!$B58,'Local Government'!$B$16:$I$80,'Public Expenditure (2)'!D$1,FALSE)),VLOOKUP('Public Expenditure (2)'!$B58,'Local Government'!$B$16:$I$80,'Public Expenditure (2)'!D$1,FALSE),0)</f>
        <v>4699908.9481499996</v>
      </c>
      <c r="E58" s="98">
        <f t="shared" si="0"/>
        <v>0.1372281063833328</v>
      </c>
      <c r="F58" s="207">
        <f>+IF(ISNUMBER(VLOOKUP($B58,'Cental Budget (3)'!$B$16:$J$96,'Public Expenditure (2)'!F$1,FALSE)),VLOOKUP($B58,'Cental Budget (3)'!$B$16:$J$96,'Public Expenditure (2)'!F$1,FALSE),0)+IF(ISNUMBER(VLOOKUP('Public Expenditure (2)'!$B58,'Local Government'!$B$16:$I$80,'Public Expenditure (2)'!F$1,FALSE)),VLOOKUP('Public Expenditure (2)'!$B58,'Local Government'!$B$16:$I$80,'Public Expenditure (2)'!F$1,FALSE),0)</f>
        <v>4208293.92</v>
      </c>
      <c r="G58" s="98">
        <f t="shared" si="4"/>
        <v>0.12287391354111434</v>
      </c>
      <c r="H58" s="207">
        <f t="shared" si="3"/>
        <v>-491615.02814999968</v>
      </c>
      <c r="I58" s="98">
        <f t="shared" si="5"/>
        <v>-1.4354192842218479E-2</v>
      </c>
      <c r="J58" s="190"/>
      <c r="K58" s="370"/>
      <c r="BW58" s="225"/>
      <c r="BX58" s="225"/>
      <c r="BY58" s="179"/>
      <c r="BZ58" s="179"/>
      <c r="CA58" s="179"/>
      <c r="CB58" s="176"/>
    </row>
    <row r="59" spans="1:80" ht="13.5" customHeight="1" thickBot="1">
      <c r="B59" s="80">
        <v>47</v>
      </c>
      <c r="C59" s="94" t="s">
        <v>118</v>
      </c>
      <c r="D59" s="207">
        <f>+IF(ISNUMBER(VLOOKUP($B59,'Cental Budget (3)'!$B$16:$J$96,'Public Expenditure (2)'!D$1,FALSE)),VLOOKUP($B59,'Cental Budget (3)'!$B$16:$J$96,'Public Expenditure (2)'!D$1,FALSE),0)+IF(ISNUMBER(VLOOKUP('Public Expenditure (2)'!$B59,'Local Government'!$B$16:$I$80,'Public Expenditure (2)'!D$1,FALSE)),VLOOKUP('Public Expenditure (2)'!$B59,'Local Government'!$B$16:$I$80,'Public Expenditure (2)'!D$1,FALSE),0)</f>
        <v>17894106.150150001</v>
      </c>
      <c r="E59" s="98">
        <f t="shared" si="0"/>
        <v>0.52247273925891891</v>
      </c>
      <c r="F59" s="207">
        <f>+IF(ISNUMBER(VLOOKUP($B59,'Cental Budget (3)'!$B$16:$J$96,'Public Expenditure (2)'!F$1,FALSE)),VLOOKUP($B59,'Cental Budget (3)'!$B$16:$J$96,'Public Expenditure (2)'!F$1,FALSE),0)+IF(ISNUMBER(VLOOKUP('Public Expenditure (2)'!$B59,'Local Government'!$B$16:$I$80,'Public Expenditure (2)'!F$1,FALSE)),VLOOKUP('Public Expenditure (2)'!$B59,'Local Government'!$B$16:$I$80,'Public Expenditure (2)'!F$1,FALSE),0)</f>
        <v>15416526.4</v>
      </c>
      <c r="G59" s="98">
        <f t="shared" si="4"/>
        <v>0.45013227877816736</v>
      </c>
      <c r="H59" s="207">
        <f t="shared" si="3"/>
        <v>-2477579.7501500007</v>
      </c>
      <c r="I59" s="98">
        <f t="shared" si="5"/>
        <v>-7.2340460480751503E-2</v>
      </c>
      <c r="J59" s="190"/>
      <c r="K59" s="370"/>
      <c r="BW59" s="225"/>
      <c r="BX59" s="225"/>
      <c r="BY59" s="179"/>
      <c r="BZ59" s="179"/>
      <c r="CA59" s="179"/>
      <c r="CB59" s="176"/>
    </row>
    <row r="60" spans="1:80" ht="13.5" customHeight="1" thickTop="1" thickBot="1">
      <c r="B60" s="80">
        <v>462</v>
      </c>
      <c r="C60" s="192" t="s">
        <v>113</v>
      </c>
      <c r="D60" s="227">
        <f>+IF(ISNUMBER(VLOOKUP($B60,'Cental Budget (3)'!$B$16:$J$96,'Public Expenditure (2)'!D$1,FALSE)),VLOOKUP($B60,'Cental Budget (3)'!$B$16:$J$96,'Public Expenditure (2)'!D$1,FALSE),0)+IF(ISNUMBER(VLOOKUP('Public Expenditure (2)'!$B60,'Local Government'!$B$16:$I$80,'Public Expenditure (2)'!D$1,FALSE)),VLOOKUP('Public Expenditure (2)'!$B60,'Local Government'!$B$16:$I$80,'Public Expenditure (2)'!D$1,FALSE),0)</f>
        <v>0</v>
      </c>
      <c r="E60" s="194">
        <f t="shared" si="0"/>
        <v>0</v>
      </c>
      <c r="F60" s="227">
        <f>+IF(ISNUMBER(VLOOKUP($B60,'Cental Budget (3)'!$B$16:$J$96,'Public Expenditure (2)'!F$1,FALSE)),VLOOKUP($B60,'Cental Budget (3)'!$B$16:$J$96,'Public Expenditure (2)'!F$1,FALSE),0)+IF(ISNUMBER(VLOOKUP('Public Expenditure (2)'!$B60,'Local Government'!$B$16:$I$80,'Public Expenditure (2)'!F$1,FALSE)),VLOOKUP('Public Expenditure (2)'!$B60,'Local Government'!$B$16:$I$80,'Public Expenditure (2)'!F$1,FALSE),0)</f>
        <v>15258930.949999999</v>
      </c>
      <c r="G60" s="194">
        <f t="shared" si="4"/>
        <v>0.4455308012991957</v>
      </c>
      <c r="H60" s="227">
        <f t="shared" si="3"/>
        <v>15258930.949999999</v>
      </c>
      <c r="I60" s="194">
        <f t="shared" si="5"/>
        <v>0.4455308012991957</v>
      </c>
      <c r="J60" s="190"/>
      <c r="K60" s="370"/>
      <c r="BW60" s="225"/>
      <c r="BX60" s="225"/>
      <c r="BY60" s="179"/>
      <c r="BZ60" s="179"/>
      <c r="CA60" s="179"/>
      <c r="CB60" s="176"/>
    </row>
    <row r="61" spans="1:80" ht="13.5" customHeight="1" thickTop="1" thickBot="1">
      <c r="B61" s="80">
        <v>4630</v>
      </c>
      <c r="C61" s="100" t="s">
        <v>116</v>
      </c>
      <c r="D61" s="211">
        <f>+IF(ISNUMBER(VLOOKUP($B61,'Cental Budget (3)'!$B$16:$J$96,'Public Expenditure (2)'!D$1,FALSE)),VLOOKUP($B61,'Cental Budget (3)'!$B$16:$J$96,'Public Expenditure (2)'!D$1,FALSE),0)+IF(ISNUMBER(VLOOKUP('Public Expenditure (2)'!$B61,'Local Government'!$B$16:$I$80,'Public Expenditure (2)'!D$1,FALSE)),VLOOKUP('Public Expenditure (2)'!$B61,'Local Government'!$B$16:$I$80,'Public Expenditure (2)'!D$1,FALSE),0)</f>
        <v>40000000</v>
      </c>
      <c r="E61" s="102">
        <f t="shared" si="0"/>
        <v>1.167921403561226</v>
      </c>
      <c r="F61" s="211">
        <f>+IF(ISNUMBER(VLOOKUP($B61,'Cental Budget (3)'!$B$16:$J$96,'Public Expenditure (2)'!F$1,FALSE)),VLOOKUP($B61,'Cental Budget (3)'!$B$16:$J$96,'Public Expenditure (2)'!F$1,FALSE),0)+IF(ISNUMBER(VLOOKUP('Public Expenditure (2)'!$B61,'Local Government'!$B$16:$I$80,'Public Expenditure (2)'!F$1,FALSE)),VLOOKUP('Public Expenditure (2)'!$B61,'Local Government'!$B$16:$I$80,'Public Expenditure (2)'!F$1,FALSE),0)</f>
        <v>112340009.92</v>
      </c>
      <c r="G61" s="102">
        <f t="shared" si="4"/>
        <v>3.280107551546211</v>
      </c>
      <c r="H61" s="211">
        <f t="shared" si="3"/>
        <v>72340009.920000002</v>
      </c>
      <c r="I61" s="102">
        <f t="shared" si="5"/>
        <v>2.1121861479849855</v>
      </c>
      <c r="J61" s="190"/>
      <c r="K61" s="370"/>
      <c r="BW61" s="225"/>
      <c r="BX61" s="225"/>
      <c r="BY61" s="179"/>
      <c r="BZ61" s="179"/>
      <c r="CA61" s="179"/>
      <c r="CB61" s="176"/>
    </row>
    <row r="62" spans="1:80" ht="13.5" customHeight="1" thickTop="1" thickBot="1">
      <c r="C62" s="251" t="s">
        <v>498</v>
      </c>
      <c r="D62" s="245">
        <f>+D16-D36</f>
        <v>-47259814.074333429</v>
      </c>
      <c r="E62" s="246">
        <f t="shared" si="0"/>
        <v>-1.3798937096434518</v>
      </c>
      <c r="F62" s="245">
        <f>+F16-F36</f>
        <v>-114512846.07499981</v>
      </c>
      <c r="G62" s="246">
        <f t="shared" si="4"/>
        <v>-3.3435500978426096</v>
      </c>
      <c r="H62" s="245">
        <f t="shared" si="3"/>
        <v>-67253032.00066638</v>
      </c>
      <c r="I62" s="246">
        <f t="shared" si="5"/>
        <v>-1.963656388199158</v>
      </c>
      <c r="J62" s="190"/>
      <c r="K62" s="370"/>
      <c r="M62" s="190">
        <f t="shared" ref="M62:M79" si="7">+F62-J62</f>
        <v>-114512846.07499981</v>
      </c>
      <c r="BW62" s="225"/>
      <c r="BX62" s="225"/>
      <c r="BY62" s="179"/>
      <c r="BZ62" s="179"/>
      <c r="CA62" s="179"/>
      <c r="CB62" s="176"/>
    </row>
    <row r="63" spans="1:80" ht="13.5" customHeight="1" thickTop="1" thickBot="1">
      <c r="B63" s="80">
        <v>990</v>
      </c>
      <c r="C63" s="100" t="s">
        <v>152</v>
      </c>
      <c r="D63" s="211"/>
      <c r="E63" s="102"/>
      <c r="F63" s="339">
        <f>+IF(ISNUMBER(VLOOKUP($B63,'Cental Budget (3)'!$B$16:$J$96,'Public Expenditure (2)'!F$1,FALSE)),VLOOKUP($B63,'Cental Budget (3)'!$B$16:$J$96,'Public Expenditure (2)'!F$1,FALSE),0)+IF(ISNUMBER(VLOOKUP('Public Expenditure (2)'!$B63,'Local Government'!$B$16:$I$80,'Public Expenditure (2)'!F$1,FALSE)),VLOOKUP('Public Expenditure (2)'!$B63,'Local Government'!$B$16:$I$80,'Public Expenditure (2)'!F$1,FALSE),0)</f>
        <v>-18434882.939999998</v>
      </c>
      <c r="G63" s="102">
        <f t="shared" si="4"/>
        <v>-0.53826235894429242</v>
      </c>
      <c r="H63" s="211"/>
      <c r="I63" s="102"/>
      <c r="J63" s="190"/>
      <c r="K63" s="370"/>
      <c r="M63" s="190"/>
      <c r="BW63" s="225"/>
      <c r="BX63" s="225"/>
      <c r="BY63" s="179"/>
      <c r="BZ63" s="179"/>
      <c r="CA63" s="179"/>
      <c r="CB63" s="176"/>
    </row>
    <row r="64" spans="1:80" ht="13.5" customHeight="1" thickTop="1" thickBot="1">
      <c r="C64" s="251" t="s">
        <v>499</v>
      </c>
      <c r="D64" s="245">
        <f>+D62-D63</f>
        <v>-47259814.074333429</v>
      </c>
      <c r="E64" s="246">
        <f t="shared" si="0"/>
        <v>-1.3798937096434518</v>
      </c>
      <c r="F64" s="245">
        <f>+F62-F63</f>
        <v>-96077963.134999812</v>
      </c>
      <c r="G64" s="246">
        <f t="shared" si="4"/>
        <v>-2.8052877388983175</v>
      </c>
      <c r="H64" s="245">
        <f>+F64-D64</f>
        <v>-48818149.060666382</v>
      </c>
      <c r="I64" s="246">
        <f>H64/H$11*100</f>
        <v>-1.4253940292548657</v>
      </c>
      <c r="J64" s="190"/>
      <c r="K64" s="370"/>
      <c r="M64" s="190"/>
      <c r="BW64" s="225"/>
      <c r="BX64" s="225"/>
      <c r="BY64" s="179"/>
      <c r="BZ64" s="179"/>
      <c r="CA64" s="179"/>
      <c r="CB64" s="176"/>
    </row>
    <row r="65" spans="2:80" ht="13.5" customHeight="1" thickTop="1" thickBot="1">
      <c r="C65" s="251" t="s">
        <v>500</v>
      </c>
      <c r="D65" s="245">
        <f>+D64+D44</f>
        <v>11340023.265666574</v>
      </c>
      <c r="E65" s="246">
        <f t="shared" si="0"/>
        <v>0.33110639722135654</v>
      </c>
      <c r="F65" s="245">
        <f>+F64+F44</f>
        <v>-16118745.424999818</v>
      </c>
      <c r="G65" s="246">
        <f t="shared" si="4"/>
        <v>-0.47063569451029691</v>
      </c>
      <c r="H65" s="245">
        <f>+F65-D65</f>
        <v>-27458768.690666392</v>
      </c>
      <c r="I65" s="246">
        <f>H65/H$11*100</f>
        <v>-0.80174209173165345</v>
      </c>
      <c r="J65" s="190"/>
      <c r="K65" s="370"/>
      <c r="M65" s="190"/>
      <c r="BW65" s="225"/>
      <c r="BX65" s="225"/>
      <c r="BY65" s="179"/>
      <c r="BZ65" s="179"/>
      <c r="CA65" s="179"/>
      <c r="CB65" s="176"/>
    </row>
    <row r="66" spans="2:80" ht="7.5" customHeight="1" thickTop="1" thickBot="1">
      <c r="C66" s="251"/>
      <c r="D66" s="245"/>
      <c r="E66" s="246"/>
      <c r="F66" s="245"/>
      <c r="G66" s="246"/>
      <c r="H66" s="245"/>
      <c r="I66" s="246"/>
      <c r="J66" s="190"/>
      <c r="K66" s="370"/>
      <c r="M66" s="190"/>
      <c r="BW66" s="225"/>
      <c r="BX66" s="225"/>
      <c r="BY66" s="179"/>
      <c r="BZ66" s="179"/>
      <c r="CA66" s="179"/>
      <c r="CB66" s="176"/>
    </row>
    <row r="67" spans="2:80" ht="13.5" customHeight="1" thickTop="1" thickBot="1">
      <c r="C67" s="251" t="s">
        <v>0</v>
      </c>
      <c r="D67" s="245">
        <f>+SUM(D68:D70)</f>
        <v>180339345.48999998</v>
      </c>
      <c r="E67" s="246">
        <f t="shared" si="0"/>
        <v>5.26555453754984</v>
      </c>
      <c r="F67" s="245">
        <f>+SUM(F68:F69)</f>
        <v>460985255.25999999</v>
      </c>
      <c r="G67" s="246">
        <f>F67/F$11*100</f>
        <v>13.45986365860723</v>
      </c>
      <c r="H67" s="245">
        <f t="shared" si="3"/>
        <v>280645909.76999998</v>
      </c>
      <c r="I67" s="246">
        <f t="shared" si="5"/>
        <v>8.1943091210573886</v>
      </c>
      <c r="J67" s="190"/>
      <c r="M67" s="190">
        <f t="shared" si="7"/>
        <v>460985255.25999999</v>
      </c>
      <c r="BW67" s="225"/>
      <c r="BX67" s="225"/>
      <c r="BY67" s="179"/>
      <c r="BZ67" s="179"/>
      <c r="CA67" s="179"/>
      <c r="CB67" s="176"/>
    </row>
    <row r="68" spans="2:80" ht="13.5" customHeight="1" thickTop="1">
      <c r="B68" s="80">
        <v>4611</v>
      </c>
      <c r="C68" s="100" t="s">
        <v>135</v>
      </c>
      <c r="D68" s="211">
        <f>+IF(ISNUMBER(VLOOKUP($B68,'Cental Budget (3)'!$B$16:$J$96,'Public Expenditure (2)'!D$1,FALSE)),VLOOKUP($B68,'Cental Budget (3)'!$B$16:$J$96,'Public Expenditure (2)'!D$1,FALSE),0)+IF(ISNUMBER(VLOOKUP('Public Expenditure (2)'!$B68,'Local Government'!$B$16:$I$80,'Public Expenditure (2)'!D$1,FALSE)),VLOOKUP('Public Expenditure (2)'!$B68,'Local Government'!$B$16:$I$80,'Public Expenditure (2)'!D$1,FALSE),0)</f>
        <v>34508345.269999996</v>
      </c>
      <c r="E68" s="102">
        <f t="shared" si="0"/>
        <v>1.0075758760578446</v>
      </c>
      <c r="F68" s="211">
        <f>+IF(ISNUMBER(VLOOKUP($B68,'Cental Budget (3)'!$B$16:$J$96,'Public Expenditure (2)'!F$1,FALSE)),VLOOKUP($B68,'Cental Budget (3)'!$B$16:$J$96,'Public Expenditure (2)'!F$1,FALSE),0)+IF(ISNUMBER(VLOOKUP('Public Expenditure (2)'!$B68,'Local Government'!$B$16:$I$80,'Public Expenditure (2)'!F$1,FALSE)),VLOOKUP('Public Expenditure (2)'!$B68,'Local Government'!$B$16:$I$80,'Public Expenditure (2)'!F$1,FALSE),0)</f>
        <v>263892302.81</v>
      </c>
      <c r="G68" s="102">
        <f>F68/F$11*100</f>
        <v>7.7051367171714817</v>
      </c>
      <c r="H68" s="211">
        <f t="shared" si="3"/>
        <v>229383957.54000002</v>
      </c>
      <c r="I68" s="102">
        <f t="shared" si="5"/>
        <v>6.6975608411136367</v>
      </c>
      <c r="J68" s="190"/>
      <c r="M68" s="190">
        <f t="shared" si="7"/>
        <v>263892302.81</v>
      </c>
      <c r="BW68" s="225"/>
      <c r="BX68" s="225"/>
      <c r="BY68" s="179"/>
      <c r="BZ68" s="179"/>
      <c r="CA68" s="179"/>
      <c r="CB68" s="176"/>
    </row>
    <row r="69" spans="2:80" ht="13.5" customHeight="1">
      <c r="B69" s="80">
        <v>4612</v>
      </c>
      <c r="C69" s="100" t="s">
        <v>137</v>
      </c>
      <c r="D69" s="211">
        <f>+IF(ISNUMBER(VLOOKUP($B69,'Cental Budget (3)'!$B$16:$J$96,'Public Expenditure (2)'!D$1,FALSE)),VLOOKUP($B69,'Cental Budget (3)'!$B$16:$J$96,'Public Expenditure (2)'!D$1,FALSE),0)+IF(ISNUMBER(VLOOKUP('Public Expenditure (2)'!$B69,'Local Government'!$B$16:$I$80,'Public Expenditure (2)'!D$1,FALSE)),VLOOKUP('Public Expenditure (2)'!$B69,'Local Government'!$B$16:$I$80,'Public Expenditure (2)'!D$1,FALSE),0)</f>
        <v>112580400.25</v>
      </c>
      <c r="E69" s="102">
        <f t="shared" si="0"/>
        <v>3.2871264768366144</v>
      </c>
      <c r="F69" s="211">
        <f>+IF(ISNUMBER(VLOOKUP($B69,'Cental Budget (3)'!$B$16:$J$96,'Public Expenditure (2)'!F$1,FALSE)),VLOOKUP($B69,'Cental Budget (3)'!$B$16:$J$96,'Public Expenditure (2)'!F$1,FALSE),0)+IF(ISNUMBER(VLOOKUP('Public Expenditure (2)'!$B69,'Local Government'!$B$16:$I$80,'Public Expenditure (2)'!F$1,FALSE)),VLOOKUP('Public Expenditure (2)'!$B69,'Local Government'!$B$16:$I$80,'Public Expenditure (2)'!F$1,FALSE),0)</f>
        <v>197092952.44999999</v>
      </c>
      <c r="G69" s="102">
        <f>F69/F$11*100</f>
        <v>5.7547269414357487</v>
      </c>
      <c r="H69" s="211">
        <f t="shared" si="3"/>
        <v>84512552.199999988</v>
      </c>
      <c r="I69" s="102">
        <f t="shared" si="5"/>
        <v>2.4676004645991338</v>
      </c>
      <c r="J69" s="190"/>
      <c r="M69" s="190">
        <f t="shared" si="7"/>
        <v>197092952.44999999</v>
      </c>
      <c r="BW69" s="225"/>
      <c r="BX69" s="225"/>
      <c r="BY69" s="179"/>
      <c r="BZ69" s="179"/>
      <c r="CA69" s="179"/>
      <c r="CB69" s="176"/>
    </row>
    <row r="70" spans="2:80" ht="13.5" customHeight="1" thickBot="1">
      <c r="B70" s="80">
        <v>4630</v>
      </c>
      <c r="C70" s="100" t="s">
        <v>116</v>
      </c>
      <c r="D70" s="211">
        <f>+'Cental Budget (3)'!D85+'Local Government'!D71</f>
        <v>33250599.969999999</v>
      </c>
      <c r="E70" s="102">
        <f t="shared" si="0"/>
        <v>0.97085218465538148</v>
      </c>
      <c r="F70" s="211"/>
      <c r="G70" s="102"/>
      <c r="H70" s="211"/>
      <c r="I70" s="102"/>
      <c r="J70" s="190"/>
      <c r="M70" s="190"/>
      <c r="BW70" s="225"/>
      <c r="BX70" s="225"/>
      <c r="BY70" s="179"/>
      <c r="BZ70" s="179"/>
      <c r="CA70" s="179"/>
      <c r="CB70" s="176"/>
    </row>
    <row r="71" spans="2:80" ht="13.5" customHeight="1" thickTop="1" thickBot="1">
      <c r="C71" s="251" t="s">
        <v>141</v>
      </c>
      <c r="D71" s="245">
        <f>+D64-D67</f>
        <v>-227599159.56433341</v>
      </c>
      <c r="E71" s="246">
        <f t="shared" si="0"/>
        <v>-6.6454482471932916</v>
      </c>
      <c r="F71" s="245">
        <f>+F64-F67+F79</f>
        <v>-574203205.51999974</v>
      </c>
      <c r="G71" s="246">
        <f>F71/F$11*100</f>
        <v>-16.765605343006829</v>
      </c>
      <c r="H71" s="245">
        <f t="shared" si="3"/>
        <v>-346604045.9556663</v>
      </c>
      <c r="I71" s="246">
        <f t="shared" si="5"/>
        <v>-10.120157095813537</v>
      </c>
      <c r="J71" s="190"/>
      <c r="M71" s="190">
        <f t="shared" si="7"/>
        <v>-574203205.51999974</v>
      </c>
      <c r="BW71" s="225"/>
      <c r="BX71" s="225"/>
      <c r="BY71" s="179"/>
      <c r="BZ71" s="179"/>
      <c r="CA71" s="179"/>
      <c r="CB71" s="176"/>
    </row>
    <row r="72" spans="2:80" ht="7.5" customHeight="1" thickTop="1" thickBot="1">
      <c r="C72" s="251"/>
      <c r="D72" s="245"/>
      <c r="E72" s="246"/>
      <c r="F72" s="245"/>
      <c r="G72" s="246"/>
      <c r="H72" s="245"/>
      <c r="I72" s="246"/>
      <c r="J72" s="190"/>
      <c r="M72" s="190"/>
      <c r="BW72" s="225"/>
      <c r="BX72" s="225"/>
      <c r="BY72" s="179"/>
      <c r="BZ72" s="179"/>
      <c r="CA72" s="179"/>
      <c r="CB72" s="176"/>
    </row>
    <row r="73" spans="2:80" ht="13.5" customHeight="1" thickTop="1" thickBot="1">
      <c r="C73" s="251" t="s">
        <v>121</v>
      </c>
      <c r="D73" s="245">
        <f>+SUM(D74:D79)</f>
        <v>227599159.56433383</v>
      </c>
      <c r="E73" s="246">
        <f t="shared" si="0"/>
        <v>6.6454482471933041</v>
      </c>
      <c r="F73" s="245">
        <f>+SUM(F74:F78)</f>
        <v>574203205.51999998</v>
      </c>
      <c r="G73" s="246">
        <f>F73/F$11*100</f>
        <v>16.765605343006836</v>
      </c>
      <c r="H73" s="245">
        <f t="shared" si="3"/>
        <v>346604045.95566618</v>
      </c>
      <c r="I73" s="246">
        <f t="shared" si="5"/>
        <v>10.120157095813532</v>
      </c>
      <c r="J73" s="190"/>
      <c r="M73" s="190">
        <f t="shared" si="7"/>
        <v>574203205.51999998</v>
      </c>
      <c r="BW73" s="225"/>
      <c r="BX73" s="225"/>
      <c r="BY73" s="179"/>
      <c r="BZ73" s="179"/>
      <c r="CA73" s="179"/>
      <c r="CB73" s="176"/>
    </row>
    <row r="74" spans="2:80" ht="13.5" customHeight="1" thickTop="1">
      <c r="B74" s="80">
        <v>7511</v>
      </c>
      <c r="C74" s="360" t="s">
        <v>144</v>
      </c>
      <c r="D74" s="361">
        <f>+IF(ISNUMBER(VLOOKUP($B74,'Cental Budget (3)'!$B$16:$J$96,'Public Expenditure (2)'!D$1,FALSE)),VLOOKUP($B74,'Cental Budget (3)'!$B$16:$J$96,'Public Expenditure (2)'!D$1,FALSE),0)+IF(ISNUMBER(VLOOKUP('Public Expenditure (2)'!$B74,'Local Government'!$B$16:$I$80,'Public Expenditure (2)'!D$1,FALSE)),VLOOKUP('Public Expenditure (2)'!$B74,'Local Government'!$B$16:$I$80,'Public Expenditure (2)'!D$1,FALSE),0)</f>
        <v>6000000</v>
      </c>
      <c r="E74" s="362">
        <f t="shared" si="0"/>
        <v>0.1751882105341839</v>
      </c>
      <c r="F74" s="211">
        <f>+'Cental Budget (3)'!F89+'Local Government'!F75</f>
        <v>288739991.43000001</v>
      </c>
      <c r="G74" s="362">
        <f>F74/F$11*100</f>
        <v>8.4306404013795486</v>
      </c>
      <c r="H74" s="361">
        <f t="shared" si="3"/>
        <v>282739991.43000001</v>
      </c>
      <c r="I74" s="362">
        <f t="shared" si="5"/>
        <v>8.2554521908453644</v>
      </c>
      <c r="J74" s="190"/>
      <c r="K74" s="391">
        <f>+'Cental Budget (3)'!F89+'Local Government'!F75-F74</f>
        <v>0</v>
      </c>
      <c r="M74" s="190">
        <f t="shared" si="7"/>
        <v>288739991.43000001</v>
      </c>
      <c r="BW74" s="225"/>
      <c r="BX74" s="225"/>
      <c r="BY74" s="179"/>
      <c r="BZ74" s="179"/>
      <c r="CA74" s="179"/>
      <c r="CB74" s="176"/>
    </row>
    <row r="75" spans="2:80" ht="13.5" customHeight="1">
      <c r="B75" s="80">
        <v>7512</v>
      </c>
      <c r="C75" s="100" t="s">
        <v>122</v>
      </c>
      <c r="D75" s="211">
        <f>+IF(ISNUMBER(VLOOKUP($B75,'Cental Budget (3)'!$B$16:$J$96,'Public Expenditure (2)'!D$1,FALSE)),VLOOKUP($B75,'Cental Budget (3)'!$B$16:$J$96,'Public Expenditure (2)'!D$1,FALSE),0)+IF(ISNUMBER(VLOOKUP('Public Expenditure (2)'!$B75,'Local Government'!$B$16:$I$80,'Public Expenditure (2)'!D$1,FALSE)),VLOOKUP('Public Expenditure (2)'!$B75,'Local Government'!$B$16:$I$80,'Public Expenditure (2)'!D$1,FALSE),0)</f>
        <v>227975575.86282945</v>
      </c>
      <c r="E75" s="102">
        <f t="shared" si="0"/>
        <v>6.6564388634848637</v>
      </c>
      <c r="F75" s="211">
        <f>+'Cental Budget (3)'!F90+'Local Government'!F76</f>
        <v>293984075.85000002</v>
      </c>
      <c r="G75" s="102">
        <f>F75/F$11*100</f>
        <v>8.5837573622845476</v>
      </c>
      <c r="H75" s="211">
        <f t="shared" si="3"/>
        <v>66008499.987170577</v>
      </c>
      <c r="I75" s="102">
        <f t="shared" si="5"/>
        <v>1.9273184987996856</v>
      </c>
      <c r="J75" s="190"/>
      <c r="K75" s="391">
        <f>+'Cental Budget (3)'!F90+'Local Government'!F76-F75</f>
        <v>0</v>
      </c>
      <c r="M75" s="190">
        <f t="shared" si="7"/>
        <v>293984075.85000002</v>
      </c>
      <c r="BW75" s="225"/>
      <c r="BX75" s="225"/>
      <c r="BY75" s="179"/>
      <c r="BZ75" s="179"/>
      <c r="CA75" s="179"/>
      <c r="CB75" s="176"/>
    </row>
    <row r="76" spans="2:80" ht="13.5" customHeight="1">
      <c r="B76" s="80">
        <v>72</v>
      </c>
      <c r="C76" s="100" t="s">
        <v>329</v>
      </c>
      <c r="D76" s="211">
        <f>+IF(ISNUMBER(VLOOKUP($B76,'Cental Budget (3)'!$B$16:$J$96,'Public Expenditure (2)'!D$1,FALSE)),VLOOKUP($B76,'Cental Budget (3)'!$B$16:$J$96,'Public Expenditure (2)'!D$1,FALSE),0)+IF(ISNUMBER(VLOOKUP('Public Expenditure (2)'!$B76,'Local Government'!$B$16:$I$80,'Public Expenditure (2)'!D$1,FALSE)),VLOOKUP('Public Expenditure (2)'!$B76,'Local Government'!$B$16:$I$80,'Public Expenditure (2)'!D$1,FALSE),0)</f>
        <v>7000000</v>
      </c>
      <c r="E76" s="102">
        <f t="shared" si="0"/>
        <v>0.20438624562321453</v>
      </c>
      <c r="F76" s="211">
        <f>+'Cental Budget (3)'!F91+'Local Government'!F77</f>
        <v>8523913.4900000002</v>
      </c>
      <c r="G76" s="102">
        <f>F76/F$11*100</f>
        <v>0.2488815251768817</v>
      </c>
      <c r="H76" s="211">
        <f t="shared" si="3"/>
        <v>1523913.4900000002</v>
      </c>
      <c r="I76" s="102">
        <f t="shared" si="5"/>
        <v>4.4495279553667159E-2</v>
      </c>
      <c r="J76" s="190"/>
      <c r="K76" s="391">
        <f>+'Cental Budget (3)'!F91+'Local Government'!F77-F76</f>
        <v>0</v>
      </c>
      <c r="M76" s="190">
        <f t="shared" si="7"/>
        <v>8523913.4900000002</v>
      </c>
      <c r="BW76" s="225"/>
      <c r="BX76" s="225"/>
      <c r="BY76" s="179"/>
      <c r="BZ76" s="179"/>
      <c r="CA76" s="179"/>
      <c r="CB76" s="176"/>
    </row>
    <row r="77" spans="2:80" ht="13.5" customHeight="1">
      <c r="C77" s="100" t="s">
        <v>515</v>
      </c>
      <c r="D77" s="211"/>
      <c r="E77" s="102"/>
      <c r="F77" s="211">
        <f>+'Cental Budget (3)'!F92+'Local Government'!F78</f>
        <v>-18434882.939999998</v>
      </c>
      <c r="G77" s="102">
        <f>F77/F$11*100</f>
        <v>-0.53826235894429242</v>
      </c>
      <c r="H77" s="211"/>
      <c r="I77" s="102"/>
      <c r="J77" s="190"/>
      <c r="K77" s="391">
        <f>+'Cental Budget (3)'!F92+'Local Government'!F78-F77</f>
        <v>0</v>
      </c>
      <c r="M77" s="190"/>
      <c r="BW77" s="225"/>
      <c r="BX77" s="225"/>
      <c r="BY77" s="179"/>
      <c r="BZ77" s="179"/>
      <c r="CA77" s="179"/>
      <c r="CB77" s="176"/>
    </row>
    <row r="78" spans="2:80" ht="13.5" customHeight="1" thickBot="1">
      <c r="B78" s="80">
        <v>999</v>
      </c>
      <c r="C78" s="363" t="s">
        <v>457</v>
      </c>
      <c r="D78" s="364">
        <f>+IF(ISNUMBER(VLOOKUP($B78,'Cental Budget (3)'!$B$16:$J$96,'Public Expenditure (2)'!D$1,FALSE)),VLOOKUP($B78,'Cental Budget (3)'!$B$16:$J$96,'Public Expenditure (2)'!D$1,FALSE),0)+IF(ISNUMBER(VLOOKUP('Public Expenditure (2)'!$B78,'Local Government'!$B$16:$I$80,'Public Expenditure (2)'!D$1,FALSE)),VLOOKUP('Public Expenditure (2)'!$B78,'Local Government'!$B$16:$I$80,'Public Expenditure (2)'!D$1,FALSE),0)</f>
        <v>0</v>
      </c>
      <c r="E78" s="365">
        <f>+D78/D$11*100</f>
        <v>0</v>
      </c>
      <c r="F78" s="211">
        <f>+IF(ISNUMBER(VLOOKUP($B78,'Cental Budget (3)'!$B$16:$J$96,'Public Expenditure (2)'!F$1,FALSE)),VLOOKUP($B78,'Cental Budget (3)'!$B$16:$J$96,'Public Expenditure (2)'!F$1,FALSE),0)+IF(ISNUMBER(VLOOKUP('Public Expenditure (2)'!$B78,'Local Government'!$B$16:$I$80,'Public Expenditure (2)'!F$1,FALSE)),VLOOKUP('Public Expenditure (2)'!$B78,'Local Government'!$B$16:$I$80,'Public Expenditure (2)'!F$1,FALSE),0)</f>
        <v>1390107.69</v>
      </c>
      <c r="G78" s="365">
        <f>+F78/F$11*100</f>
        <v>4.0588413110151343E-2</v>
      </c>
      <c r="H78" s="364">
        <f t="shared" si="3"/>
        <v>1390107.69</v>
      </c>
      <c r="I78" s="365">
        <f>+H78/H$11*100</f>
        <v>4.0588413110151343E-2</v>
      </c>
      <c r="J78" s="190"/>
      <c r="M78" s="190"/>
      <c r="BW78" s="225"/>
      <c r="BX78" s="225"/>
      <c r="BY78" s="179"/>
      <c r="BZ78" s="179"/>
      <c r="CA78" s="179"/>
      <c r="CB78" s="176"/>
    </row>
    <row r="79" spans="2:80" ht="13.5" customHeight="1" thickTop="1" thickBot="1">
      <c r="C79" s="192" t="s">
        <v>125</v>
      </c>
      <c r="D79" s="193">
        <f>+'Cental Budget (3)'!D93+'Local Government'!D80</f>
        <v>-13376416.298495634</v>
      </c>
      <c r="E79" s="194">
        <f t="shared" si="0"/>
        <v>-0.39056507244895694</v>
      </c>
      <c r="F79" s="193">
        <f>+'Cental Budget (3)'!F93+'Local Government'!F80</f>
        <v>-17139987.124999955</v>
      </c>
      <c r="G79" s="194">
        <f>F79/F$11*100</f>
        <v>-0.50045394550128219</v>
      </c>
      <c r="H79" s="193">
        <f t="shared" si="3"/>
        <v>-3763570.8265043218</v>
      </c>
      <c r="I79" s="194">
        <f>H79/H$11*100</f>
        <v>-0.10988887305232527</v>
      </c>
      <c r="J79" s="190"/>
      <c r="M79" s="190">
        <f t="shared" si="7"/>
        <v>-17139987.124999955</v>
      </c>
      <c r="BW79" s="225"/>
      <c r="BX79" s="225"/>
      <c r="BY79" s="179"/>
      <c r="BZ79" s="179"/>
      <c r="CA79" s="179"/>
      <c r="CB79" s="176"/>
    </row>
    <row r="80" spans="2:80" ht="13.5" thickTop="1">
      <c r="C80" s="80" t="str">
        <f>IF(MasterSheet!$A$1=1,MasterSheet!C151,MasterSheet!B151)</f>
        <v>Izvor: Ministarstvo finansija Crne Gore</v>
      </c>
      <c r="J80" s="190"/>
      <c r="K80" s="81"/>
    </row>
    <row r="81" spans="10:10">
      <c r="J81" s="190"/>
    </row>
  </sheetData>
  <sheetProtection formatCells="0" formatColumns="0" formatRows="0" sort="0" autoFilter="0"/>
  <mergeCells count="7">
    <mergeCell ref="D11:E11"/>
    <mergeCell ref="F11:G11"/>
    <mergeCell ref="H11:I11"/>
    <mergeCell ref="C14:C15"/>
    <mergeCell ref="D14:E14"/>
    <mergeCell ref="F14:G14"/>
    <mergeCell ref="H14:I14"/>
  </mergeCells>
  <printOptions horizontalCentered="1" verticalCentered="1"/>
  <pageMargins left="0" right="0" top="0.19685039370078741" bottom="0.19685039370078741" header="0" footer="0"/>
  <pageSetup paperSize="9" scale="1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705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1019175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S116"/>
  <sheetViews>
    <sheetView zoomScale="85" zoomScaleNormal="85" workbookViewId="0">
      <selection activeCell="R88" sqref="R88"/>
    </sheetView>
  </sheetViews>
  <sheetFormatPr defaultColWidth="9.28515625" defaultRowHeight="12.75"/>
  <cols>
    <col min="1" max="2" width="9.28515625" style="80" customWidth="1"/>
    <col min="3" max="3" width="57.28515625" style="80" customWidth="1"/>
    <col min="4" max="5" width="7.7109375" style="80" customWidth="1"/>
    <col min="6" max="6" width="10" style="80" bestFit="1" customWidth="1"/>
    <col min="7" max="9" width="7.7109375" style="80" customWidth="1"/>
    <col min="10" max="10" width="12.7109375" style="80" bestFit="1" customWidth="1"/>
    <col min="11" max="11" width="15.42578125" style="80" bestFit="1" customWidth="1"/>
    <col min="12" max="12" width="14.42578125" style="80" bestFit="1" customWidth="1"/>
    <col min="13" max="13" width="13.7109375" style="80" customWidth="1"/>
    <col min="14" max="14" width="12.5703125" style="80" bestFit="1" customWidth="1"/>
    <col min="15" max="15" width="9" style="163" bestFit="1" customWidth="1"/>
    <col min="16" max="89" width="9.28515625" style="80" customWidth="1"/>
    <col min="90" max="90" width="9.28515625" style="80"/>
    <col min="91" max="91" width="15.42578125" style="80" customWidth="1"/>
    <col min="92" max="92" width="12.7109375" style="80" customWidth="1"/>
    <col min="93" max="93" width="11.7109375" style="80" customWidth="1"/>
    <col min="94" max="16384" width="9.28515625" style="80"/>
  </cols>
  <sheetData>
    <row r="1" spans="2:89" ht="15" customHeight="1">
      <c r="C1" s="81"/>
      <c r="D1" s="338">
        <v>3</v>
      </c>
      <c r="E1" s="338">
        <v>4</v>
      </c>
      <c r="F1" s="338">
        <v>5</v>
      </c>
      <c r="G1" s="338">
        <v>6</v>
      </c>
      <c r="H1" s="338"/>
      <c r="I1" s="338"/>
      <c r="J1" s="81"/>
      <c r="K1" s="81"/>
      <c r="L1" s="81"/>
      <c r="M1" s="81"/>
      <c r="N1" s="81"/>
      <c r="O1" s="16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</row>
    <row r="2" spans="2:89" ht="15" hidden="1" customHeight="1">
      <c r="C2" s="81"/>
      <c r="D2" s="135"/>
      <c r="E2" s="145">
        <v>2014</v>
      </c>
      <c r="F2" s="146">
        <v>2017</v>
      </c>
      <c r="J2" s="81"/>
      <c r="K2" s="81"/>
      <c r="L2" s="81"/>
      <c r="M2" s="81"/>
      <c r="N2" s="81"/>
      <c r="O2" s="16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</row>
    <row r="3" spans="2:89" ht="15" hidden="1" customHeight="1">
      <c r="C3" s="81"/>
      <c r="D3" s="137"/>
      <c r="E3" s="138">
        <v>5.4037200000000007</v>
      </c>
      <c r="F3" s="139">
        <v>6.0799999999999965</v>
      </c>
      <c r="J3" s="81"/>
      <c r="K3" s="81"/>
      <c r="L3" s="81"/>
      <c r="M3" s="81"/>
      <c r="N3" s="81"/>
      <c r="O3" s="16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</row>
    <row r="4" spans="2:89" ht="15" hidden="1" customHeight="1">
      <c r="C4" s="81"/>
      <c r="D4" s="128"/>
      <c r="E4" s="125">
        <v>3.54</v>
      </c>
      <c r="F4" s="126">
        <v>4</v>
      </c>
      <c r="J4" s="81"/>
      <c r="K4" s="81"/>
      <c r="L4" s="81"/>
      <c r="M4" s="81"/>
      <c r="N4" s="81"/>
      <c r="O4" s="16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</row>
    <row r="5" spans="2:89" ht="15" hidden="1" customHeight="1">
      <c r="C5" s="81"/>
      <c r="D5" s="141"/>
      <c r="E5" s="142">
        <v>1.8</v>
      </c>
      <c r="F5" s="157">
        <v>2</v>
      </c>
      <c r="J5" s="81"/>
      <c r="K5" s="81"/>
      <c r="L5" s="81"/>
      <c r="M5" s="81"/>
      <c r="N5" s="81"/>
      <c r="O5" s="16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</row>
    <row r="6" spans="2:89" ht="15" hidden="1" customHeight="1">
      <c r="C6" s="81"/>
      <c r="D6" s="144"/>
      <c r="E6" s="156">
        <v>2.3E-2</v>
      </c>
      <c r="F6" s="156">
        <v>5.1999999999999998E-2</v>
      </c>
      <c r="J6" s="81"/>
      <c r="K6" s="81"/>
      <c r="L6" s="81"/>
      <c r="M6" s="81"/>
      <c r="N6" s="81"/>
      <c r="O6" s="16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</row>
    <row r="7" spans="2:89" ht="15" hidden="1" customHeight="1">
      <c r="C7" s="81"/>
      <c r="D7" s="130"/>
      <c r="E7" s="130"/>
      <c r="F7" s="131"/>
      <c r="J7" s="81"/>
      <c r="K7" s="81"/>
      <c r="L7" s="81"/>
      <c r="M7" s="81"/>
      <c r="N7" s="81"/>
      <c r="O7" s="16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</row>
    <row r="8" spans="2:89" ht="15" hidden="1" customHeight="1">
      <c r="C8" s="81"/>
      <c r="D8" s="124"/>
      <c r="E8" s="147">
        <f>+F16/D16*100-100</f>
        <v>2.8186787612753221</v>
      </c>
      <c r="F8" s="153" t="e">
        <f>+#REF!/#REF!*100-100</f>
        <v>#REF!</v>
      </c>
      <c r="J8" s="81"/>
      <c r="K8" s="81"/>
      <c r="L8" s="81"/>
      <c r="M8" s="81"/>
      <c r="N8" s="81"/>
      <c r="O8" s="16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</row>
    <row r="9" spans="2:89" ht="15" hidden="1" customHeight="1">
      <c r="C9" s="81"/>
      <c r="D9" s="133"/>
      <c r="E9" s="148" t="e">
        <f>+F16/#REF!*100-100</f>
        <v>#REF!</v>
      </c>
      <c r="F9" s="154" t="e">
        <f>+#REF!/#REF!*100-100</f>
        <v>#REF!</v>
      </c>
      <c r="J9" s="81"/>
      <c r="K9" s="81"/>
      <c r="L9" s="81"/>
      <c r="M9" s="81"/>
      <c r="N9" s="81"/>
      <c r="O9" s="16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</row>
    <row r="10" spans="2:89" ht="15" customHeight="1" thickBot="1">
      <c r="C10" s="81"/>
      <c r="D10" s="82"/>
      <c r="E10" s="82"/>
      <c r="F10" s="82"/>
      <c r="G10" s="82"/>
      <c r="H10" s="82"/>
      <c r="I10" s="82"/>
      <c r="J10" s="81"/>
      <c r="K10" s="81"/>
      <c r="L10" s="81"/>
      <c r="M10" s="81"/>
      <c r="N10" s="81"/>
      <c r="O10" s="16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</row>
    <row r="11" spans="2:89" ht="18.75" customHeight="1" thickTop="1" thickBot="1">
      <c r="C11" s="261" t="str">
        <f>IF(MasterSheet!$A$1=1,MasterSheet!B67,MasterSheet!B66)</f>
        <v>BDP (u mil. €)</v>
      </c>
      <c r="D11" s="366">
        <v>3424888000</v>
      </c>
      <c r="E11" s="367"/>
      <c r="F11" s="368">
        <v>3424888000</v>
      </c>
      <c r="G11" s="369"/>
      <c r="H11" s="368">
        <v>3424888000</v>
      </c>
      <c r="I11" s="369"/>
      <c r="J11" s="234"/>
      <c r="K11" s="81"/>
      <c r="L11" s="81"/>
      <c r="M11" s="81"/>
      <c r="N11" s="81"/>
      <c r="O11" s="16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</row>
    <row r="12" spans="2:89" ht="19.5" customHeight="1" thickTop="1">
      <c r="C12" s="81"/>
      <c r="D12" s="83"/>
      <c r="E12" s="83"/>
      <c r="F12" s="82"/>
      <c r="G12" s="82"/>
      <c r="H12" s="82"/>
      <c r="I12" s="82"/>
      <c r="J12" s="84"/>
      <c r="K12" s="81"/>
      <c r="L12" s="81"/>
      <c r="M12" s="81"/>
      <c r="N12" s="81"/>
      <c r="O12" s="16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</row>
    <row r="13" spans="2:89" ht="17.25" customHeight="1" thickBot="1">
      <c r="B13" s="85"/>
      <c r="C13" s="86"/>
      <c r="D13" s="235"/>
      <c r="E13" s="235"/>
      <c r="F13" s="235"/>
      <c r="G13" s="235"/>
      <c r="H13" s="352"/>
      <c r="I13" s="352"/>
      <c r="J13" s="84"/>
      <c r="K13" s="81"/>
      <c r="L13" s="81"/>
      <c r="M13" s="81"/>
      <c r="N13" s="164"/>
      <c r="O13" s="165"/>
      <c r="P13" s="164"/>
      <c r="Q13" s="164"/>
      <c r="R13" s="164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</row>
    <row r="14" spans="2:89" ht="15.75" customHeight="1" thickTop="1">
      <c r="B14" s="87"/>
      <c r="C14" s="486" t="str">
        <f>IF(MasterSheet!$A$1=1,MasterSheet!B71,MasterSheet!B70)</f>
        <v>Budžet Crne Gore</v>
      </c>
      <c r="D14" s="475" t="s">
        <v>393</v>
      </c>
      <c r="E14" s="476"/>
      <c r="F14" s="475" t="s">
        <v>487</v>
      </c>
      <c r="G14" s="476"/>
      <c r="H14" s="475" t="s">
        <v>490</v>
      </c>
      <c r="I14" s="476"/>
      <c r="K14" s="103"/>
      <c r="L14" s="103"/>
      <c r="M14" s="103"/>
      <c r="N14" s="117"/>
      <c r="O14" s="161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</row>
    <row r="15" spans="2:89" ht="15" customHeight="1" thickBot="1">
      <c r="C15" s="487" t="str">
        <f>IF(MasterSheet!$A$1=1,MasterSheet!B71,MasterSheet!B70)</f>
        <v>Budžet Crne Gore</v>
      </c>
      <c r="D15" s="88" t="s">
        <v>263</v>
      </c>
      <c r="E15" s="89" t="s">
        <v>150</v>
      </c>
      <c r="F15" s="88" t="s">
        <v>263</v>
      </c>
      <c r="G15" s="89" t="s">
        <v>150</v>
      </c>
      <c r="H15" s="88" t="s">
        <v>263</v>
      </c>
      <c r="I15" s="89" t="s">
        <v>150</v>
      </c>
      <c r="K15" s="103"/>
      <c r="L15" s="103"/>
      <c r="M15" s="103"/>
      <c r="N15" s="166"/>
      <c r="O15" s="161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</row>
    <row r="16" spans="2:89" ht="15" customHeight="1" thickTop="1" thickBot="1">
      <c r="B16" s="80">
        <v>7</v>
      </c>
      <c r="C16" s="90" t="str">
        <f>IF(MasterSheet!$A$1=1,MasterSheet!C72,MasterSheet!B72)</f>
        <v>Izvorni prihodi</v>
      </c>
      <c r="D16" s="236">
        <f>D17+D25+D30+D35+D42+D47+D48</f>
        <v>1276056399.4371703</v>
      </c>
      <c r="E16" s="92">
        <f>D16/D$11*100</f>
        <v>37.258339526348607</v>
      </c>
      <c r="F16" s="236">
        <f>F17+F25+F30+F35+F42+F47+F48</f>
        <v>1312024330.1500003</v>
      </c>
      <c r="G16" s="92">
        <f>F16/F$11*100</f>
        <v>38.308532429381643</v>
      </c>
      <c r="H16" s="236">
        <f>+F16-D16</f>
        <v>35967930.712830067</v>
      </c>
      <c r="I16" s="92">
        <f>H16/H$11*100</f>
        <v>1.0501929030330355</v>
      </c>
      <c r="K16" s="103">
        <f>+F16/D16*100-100</f>
        <v>2.8186787612753221</v>
      </c>
      <c r="L16" s="103"/>
      <c r="M16" s="103"/>
      <c r="N16" s="167"/>
      <c r="O16" s="168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</row>
    <row r="17" spans="2:94" ht="15" customHeight="1" thickTop="1">
      <c r="B17" s="80">
        <v>711</v>
      </c>
      <c r="C17" s="94" t="str">
        <f>IF(MasterSheet!$A$1=1,MasterSheet!C73,MasterSheet!B73)</f>
        <v>Porezi</v>
      </c>
      <c r="D17" s="207">
        <v>797828901.35953081</v>
      </c>
      <c r="E17" s="98">
        <f t="shared" ref="E17:E47" si="0">D17/D$11*100</f>
        <v>23.295036256938353</v>
      </c>
      <c r="F17" s="207">
        <f>SUM(F18:F24)</f>
        <v>833203582.5200001</v>
      </c>
      <c r="G17" s="98">
        <f t="shared" ref="G17:G47" si="1">F17/F$11*100</f>
        <v>24.327907438725006</v>
      </c>
      <c r="H17" s="207">
        <f t="shared" ref="H17:H80" si="2">+F17-D17</f>
        <v>35374681.160469294</v>
      </c>
      <c r="I17" s="98">
        <f t="shared" ref="I17:I47" si="3">H17/H$11*100</f>
        <v>1.0328711817866538</v>
      </c>
      <c r="K17" s="373">
        <f t="shared" ref="K17:K63" si="4">+F17/D17*100-100</f>
        <v>4.4338681013171453</v>
      </c>
      <c r="L17" s="103"/>
      <c r="M17" s="103"/>
      <c r="N17" s="167"/>
      <c r="O17" s="168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</row>
    <row r="18" spans="2:94" ht="15" customHeight="1">
      <c r="B18" s="80">
        <v>7111</v>
      </c>
      <c r="C18" s="100" t="str">
        <f>IF(MasterSheet!$A$1=1,MasterSheet!C74,MasterSheet!B74)</f>
        <v>Porez na dohodak fizičkih lica</v>
      </c>
      <c r="D18" s="209">
        <v>96011654.614494905</v>
      </c>
      <c r="E18" s="102">
        <f t="shared" si="0"/>
        <v>2.8033516603899136</v>
      </c>
      <c r="F18" s="211">
        <v>104405821.67</v>
      </c>
      <c r="G18" s="102">
        <f t="shared" si="1"/>
        <v>3.0484448446197363</v>
      </c>
      <c r="H18" s="211">
        <f t="shared" si="2"/>
        <v>8394167.0555050969</v>
      </c>
      <c r="I18" s="102">
        <f t="shared" si="3"/>
        <v>0.2450931842298229</v>
      </c>
      <c r="K18" s="103">
        <f t="shared" si="4"/>
        <v>8.7428626130955394</v>
      </c>
      <c r="L18" s="104"/>
      <c r="M18" s="104"/>
      <c r="N18" s="104"/>
      <c r="O18" s="169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</row>
    <row r="19" spans="2:94" ht="15" customHeight="1">
      <c r="B19" s="80">
        <v>7112</v>
      </c>
      <c r="C19" s="100" t="str">
        <f>IF(MasterSheet!$A$1=1,MasterSheet!C75,MasterSheet!B75)</f>
        <v>Porez na dobit pravnih lica</v>
      </c>
      <c r="D19" s="211">
        <v>44395641.531501003</v>
      </c>
      <c r="E19" s="102">
        <f t="shared" si="0"/>
        <v>1.2962654992367926</v>
      </c>
      <c r="F19" s="211">
        <v>45020371.5</v>
      </c>
      <c r="G19" s="102">
        <f t="shared" si="1"/>
        <v>1.3145063867781954</v>
      </c>
      <c r="H19" s="211">
        <f t="shared" si="2"/>
        <v>624729.96849899739</v>
      </c>
      <c r="I19" s="102">
        <f t="shared" si="3"/>
        <v>1.8240887541402739E-2</v>
      </c>
      <c r="K19" s="103">
        <f t="shared" si="4"/>
        <v>1.4071876133510131</v>
      </c>
      <c r="L19" s="105"/>
      <c r="M19" s="105"/>
      <c r="N19" s="170"/>
      <c r="O19" s="170"/>
      <c r="P19" s="8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3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M19" s="81"/>
    </row>
    <row r="20" spans="2:94" ht="15" customHeight="1">
      <c r="B20" s="80">
        <v>7113</v>
      </c>
      <c r="C20" s="100" t="str">
        <f>IF(MasterSheet!$A$1=1,MasterSheet!C76,MasterSheet!B76)</f>
        <v>Porez na promet nepokretnosti</v>
      </c>
      <c r="D20" s="211">
        <v>1544536.6728920399</v>
      </c>
      <c r="E20" s="102">
        <f t="shared" si="0"/>
        <v>4.5097435971396434E-2</v>
      </c>
      <c r="F20" s="211">
        <v>1479399.88</v>
      </c>
      <c r="G20" s="102">
        <f t="shared" si="1"/>
        <v>4.3195569606947724E-2</v>
      </c>
      <c r="H20" s="211">
        <f t="shared" si="2"/>
        <v>-65136.792892039986</v>
      </c>
      <c r="I20" s="102">
        <f t="shared" si="3"/>
        <v>-1.9018663644487057E-3</v>
      </c>
      <c r="K20" s="103">
        <f t="shared" si="4"/>
        <v>-4.2172383495482677</v>
      </c>
      <c r="L20" s="104"/>
      <c r="M20" s="104"/>
      <c r="N20" s="106"/>
      <c r="O20" s="106"/>
      <c r="P20" s="106"/>
      <c r="Q20" s="106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3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3"/>
      <c r="BO20" s="173"/>
      <c r="BP20" s="173"/>
      <c r="BQ20" s="173"/>
      <c r="BR20" s="173"/>
      <c r="BS20" s="173"/>
      <c r="BT20" s="173"/>
      <c r="BU20" s="173"/>
      <c r="BV20" s="173"/>
      <c r="BW20" s="173"/>
      <c r="BX20" s="173"/>
      <c r="BY20" s="173"/>
      <c r="BZ20" s="172"/>
      <c r="CA20" s="172"/>
      <c r="CB20" s="172"/>
      <c r="CC20" s="172"/>
      <c r="CD20" s="172"/>
      <c r="CE20" s="172"/>
      <c r="CF20" s="172"/>
      <c r="CG20" s="172"/>
      <c r="CH20" s="172"/>
      <c r="CI20" s="172"/>
      <c r="CJ20" s="172"/>
      <c r="CK20" s="172"/>
    </row>
    <row r="21" spans="2:94" ht="15" customHeight="1">
      <c r="B21" s="80">
        <v>7114</v>
      </c>
      <c r="C21" s="100" t="str">
        <f>IF(MasterSheet!$A$1=1,MasterSheet!C77,MasterSheet!B77)</f>
        <v>Porez na dodatu vrijednost</v>
      </c>
      <c r="D21" s="209">
        <v>455945630.52919102</v>
      </c>
      <c r="E21" s="102">
        <f t="shared" si="0"/>
        <v>13.312716518881523</v>
      </c>
      <c r="F21" s="211">
        <v>497589192.80000001</v>
      </c>
      <c r="G21" s="102">
        <f t="shared" si="1"/>
        <v>14.528626711296837</v>
      </c>
      <c r="H21" s="211">
        <f t="shared" si="2"/>
        <v>41643562.270808995</v>
      </c>
      <c r="I21" s="102">
        <f t="shared" si="3"/>
        <v>1.2159101924153137</v>
      </c>
      <c r="K21" s="103">
        <f t="shared" si="4"/>
        <v>9.1334491400818081</v>
      </c>
      <c r="L21" s="107"/>
      <c r="M21" s="107"/>
      <c r="N21" s="106"/>
      <c r="O21" s="106"/>
      <c r="P21" s="106"/>
      <c r="Q21" s="106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2:94" ht="15" customHeight="1">
      <c r="B22" s="80">
        <v>7115</v>
      </c>
      <c r="C22" s="100" t="str">
        <f>IF(MasterSheet!$A$1=1,MasterSheet!C78,MasterSheet!B78)</f>
        <v>Akcize</v>
      </c>
      <c r="D22" s="211">
        <v>171111988.52539012</v>
      </c>
      <c r="E22" s="102">
        <f t="shared" si="0"/>
        <v>4.9961338451181501</v>
      </c>
      <c r="F22" s="211">
        <v>156466946.75</v>
      </c>
      <c r="G22" s="102">
        <f t="shared" si="1"/>
        <v>4.5685274014799901</v>
      </c>
      <c r="H22" s="211">
        <f t="shared" si="2"/>
        <v>-14645041.775390118</v>
      </c>
      <c r="I22" s="102">
        <f t="shared" si="3"/>
        <v>-0.42760644363816042</v>
      </c>
      <c r="K22" s="103">
        <f t="shared" si="4"/>
        <v>-8.5587467608776251</v>
      </c>
      <c r="L22" s="107"/>
      <c r="M22" s="107"/>
      <c r="N22" s="107"/>
      <c r="O22" s="107"/>
      <c r="P22" s="107"/>
      <c r="Q22" s="107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2:94" ht="15" customHeight="1">
      <c r="B23" s="80">
        <v>7116</v>
      </c>
      <c r="C23" s="100" t="str">
        <f>IF(MasterSheet!$A$1=1,MasterSheet!C79,MasterSheet!B79)</f>
        <v>Porez na međunarodnu trgovinu i transakcije</v>
      </c>
      <c r="D23" s="211">
        <v>23735353.696558259</v>
      </c>
      <c r="E23" s="102">
        <f t="shared" si="0"/>
        <v>0.69302569008266135</v>
      </c>
      <c r="F23" s="211">
        <v>22270229.460000001</v>
      </c>
      <c r="G23" s="102">
        <f t="shared" si="1"/>
        <v>0.65024694121384408</v>
      </c>
      <c r="H23" s="211">
        <f t="shared" si="2"/>
        <v>-1465124.2365582585</v>
      </c>
      <c r="I23" s="102">
        <f t="shared" si="3"/>
        <v>-4.2778748868817273E-2</v>
      </c>
      <c r="K23" s="103">
        <f t="shared" si="4"/>
        <v>-6.1727508057767437</v>
      </c>
      <c r="L23" s="107"/>
      <c r="M23" s="107"/>
      <c r="N23" s="107"/>
      <c r="O23" s="108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CN23" s="174"/>
      <c r="CO23" s="174"/>
      <c r="CP23" s="81"/>
    </row>
    <row r="24" spans="2:94" ht="15" customHeight="1">
      <c r="B24" s="80">
        <v>7118</v>
      </c>
      <c r="C24" s="100" t="str">
        <f>IF(MasterSheet!$A$1=1,MasterSheet!C80,MasterSheet!B80)</f>
        <v>Ostali republički prihodi</v>
      </c>
      <c r="D24" s="211">
        <v>5084095.7895035082</v>
      </c>
      <c r="E24" s="102">
        <f t="shared" si="0"/>
        <v>0.14844560725791642</v>
      </c>
      <c r="F24" s="211">
        <v>5971620.4600000009</v>
      </c>
      <c r="G24" s="102">
        <f t="shared" si="1"/>
        <v>0.17435958372945337</v>
      </c>
      <c r="H24" s="211">
        <f t="shared" si="2"/>
        <v>887524.67049649265</v>
      </c>
      <c r="I24" s="102">
        <f t="shared" si="3"/>
        <v>2.5913976471536957E-2</v>
      </c>
      <c r="K24" s="103">
        <f t="shared" si="4"/>
        <v>17.456883332702986</v>
      </c>
      <c r="L24" s="107"/>
      <c r="M24" s="107"/>
      <c r="N24" s="107"/>
      <c r="O24" s="108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CN24" s="174"/>
      <c r="CO24" s="174"/>
      <c r="CP24" s="81"/>
    </row>
    <row r="25" spans="2:94" ht="15" customHeight="1">
      <c r="B25" s="80">
        <v>712</v>
      </c>
      <c r="C25" s="94" t="str">
        <f>IF(MasterSheet!$A$1=1,MasterSheet!C81,MasterSheet!B81)</f>
        <v>Doprinosi</v>
      </c>
      <c r="D25" s="207">
        <v>397823173.70918262</v>
      </c>
      <c r="E25" s="98">
        <f t="shared" si="0"/>
        <v>11.615654985190249</v>
      </c>
      <c r="F25" s="207">
        <f>SUM(F26:F29)-'Public Expenditure (2)'!J1</f>
        <v>402657761.55000001</v>
      </c>
      <c r="G25" s="98">
        <f t="shared" si="1"/>
        <v>11.756815450607435</v>
      </c>
      <c r="H25" s="207">
        <f t="shared" si="2"/>
        <v>4834587.8408173919</v>
      </c>
      <c r="I25" s="98">
        <f t="shared" si="3"/>
        <v>0.14116046541718713</v>
      </c>
      <c r="K25" s="373">
        <f t="shared" si="4"/>
        <v>1.2152604876536373</v>
      </c>
      <c r="L25" s="107"/>
      <c r="M25" s="107"/>
      <c r="N25" s="107"/>
      <c r="O25" s="108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CN25" s="174"/>
      <c r="CO25" s="174"/>
      <c r="CP25" s="81"/>
    </row>
    <row r="26" spans="2:94" ht="15" customHeight="1">
      <c r="B26" s="80">
        <v>7121</v>
      </c>
      <c r="C26" s="100" t="str">
        <f>IF(MasterSheet!$A$1=1,MasterSheet!C82,MasterSheet!B82)</f>
        <v>Doprinosi za penzijsko i invalidsko osiguranje</v>
      </c>
      <c r="D26" s="211">
        <v>234882396.70208701</v>
      </c>
      <c r="E26" s="102">
        <f t="shared" si="0"/>
        <v>6.8581044607031529</v>
      </c>
      <c r="F26" s="211">
        <v>270120228.04000002</v>
      </c>
      <c r="G26" s="102">
        <f t="shared" si="1"/>
        <v>7.8869798965688815</v>
      </c>
      <c r="H26" s="211">
        <f t="shared" si="2"/>
        <v>35237831.337913007</v>
      </c>
      <c r="I26" s="102">
        <f t="shared" si="3"/>
        <v>1.0288754358657277</v>
      </c>
      <c r="K26" s="103">
        <f t="shared" si="4"/>
        <v>15.002329605230869</v>
      </c>
      <c r="L26" s="107"/>
      <c r="M26" s="107"/>
      <c r="N26" s="107"/>
      <c r="O26" s="108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CN26" s="174"/>
      <c r="CO26" s="174"/>
      <c r="CP26" s="81"/>
    </row>
    <row r="27" spans="2:94" ht="15" customHeight="1">
      <c r="B27" s="80">
        <v>7122</v>
      </c>
      <c r="C27" s="100" t="str">
        <f>IF(MasterSheet!$A$1=1,MasterSheet!C83,MasterSheet!B83)</f>
        <v>Doprinosi za zdravstveno osiguranje</v>
      </c>
      <c r="D27" s="211">
        <v>138667298.82084399</v>
      </c>
      <c r="E27" s="102">
        <f t="shared" si="0"/>
        <v>4.0488126566721006</v>
      </c>
      <c r="F27" s="211">
        <v>151034703.57999998</v>
      </c>
      <c r="G27" s="102">
        <f t="shared" si="1"/>
        <v>4.4099165747901825</v>
      </c>
      <c r="H27" s="211">
        <f t="shared" si="2"/>
        <v>12367404.759155989</v>
      </c>
      <c r="I27" s="102">
        <f t="shared" si="3"/>
        <v>0.36110391811808118</v>
      </c>
      <c r="K27" s="103">
        <f t="shared" si="4"/>
        <v>8.9187608501226237</v>
      </c>
      <c r="L27" s="107"/>
      <c r="M27" s="107"/>
      <c r="N27" s="107"/>
      <c r="O27" s="108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CN27" s="174"/>
      <c r="CO27" s="174"/>
      <c r="CP27" s="81"/>
    </row>
    <row r="28" spans="2:94" ht="15" customHeight="1">
      <c r="B28" s="80">
        <v>7123</v>
      </c>
      <c r="C28" s="100" t="str">
        <f>IF(MasterSheet!$A$1=1,MasterSheet!C84,MasterSheet!B84)</f>
        <v>Doprinosi za osiguranje od nezaposlenosti</v>
      </c>
      <c r="D28" s="211">
        <v>11617385.520490499</v>
      </c>
      <c r="E28" s="102">
        <f t="shared" si="0"/>
        <v>0.33920483007007818</v>
      </c>
      <c r="F28" s="211">
        <v>12160117.389999999</v>
      </c>
      <c r="G28" s="102">
        <f t="shared" si="1"/>
        <v>0.35505153423995173</v>
      </c>
      <c r="H28" s="211">
        <f t="shared" si="2"/>
        <v>542731.86950949952</v>
      </c>
      <c r="I28" s="102">
        <f t="shared" si="3"/>
        <v>1.584670416987357E-2</v>
      </c>
      <c r="K28" s="103">
        <f t="shared" si="4"/>
        <v>4.6717212625184885</v>
      </c>
      <c r="L28" s="104"/>
      <c r="M28" s="104"/>
      <c r="N28" s="104"/>
      <c r="O28" s="108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CN28" s="174"/>
      <c r="CO28" s="174"/>
      <c r="CP28" s="81"/>
    </row>
    <row r="29" spans="2:94" ht="15" customHeight="1">
      <c r="B29" s="80">
        <v>7124</v>
      </c>
      <c r="C29" s="100" t="str">
        <f>IF(MasterSheet!$A$1=1,MasterSheet!C85,MasterSheet!B85)</f>
        <v>Ostali doprinosi</v>
      </c>
      <c r="D29" s="209">
        <v>12656092.6657611</v>
      </c>
      <c r="E29" s="102">
        <f t="shared" si="0"/>
        <v>0.36953303774491608</v>
      </c>
      <c r="F29" s="211">
        <v>10988195.539999999</v>
      </c>
      <c r="G29" s="102">
        <f t="shared" si="1"/>
        <v>0.32083371894205004</v>
      </c>
      <c r="H29" s="211">
        <f t="shared" si="2"/>
        <v>-1667897.125761101</v>
      </c>
      <c r="I29" s="102">
        <f t="shared" si="3"/>
        <v>-4.8699318802865994E-2</v>
      </c>
      <c r="K29" s="103">
        <f t="shared" si="4"/>
        <v>-13.178610253647335</v>
      </c>
      <c r="L29" s="104"/>
      <c r="M29" s="104"/>
      <c r="N29" s="104"/>
      <c r="O29" s="108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CN29" s="81"/>
      <c r="CO29" s="81"/>
      <c r="CP29" s="81"/>
    </row>
    <row r="30" spans="2:94" ht="15" customHeight="1">
      <c r="B30" s="80">
        <v>713</v>
      </c>
      <c r="C30" s="94" t="str">
        <f>IF(MasterSheet!$A$1=1,MasterSheet!C86,MasterSheet!B86)</f>
        <v>Takse</v>
      </c>
      <c r="D30" s="207">
        <v>20923047.198280636</v>
      </c>
      <c r="E30" s="98">
        <f t="shared" si="0"/>
        <v>0.6109118662648424</v>
      </c>
      <c r="F30" s="207">
        <f>SUM(F31:F34)</f>
        <v>15038439.809999999</v>
      </c>
      <c r="G30" s="98">
        <f t="shared" si="1"/>
        <v>0.4390928932566554</v>
      </c>
      <c r="H30" s="207">
        <f t="shared" si="2"/>
        <v>-5884607.3882806376</v>
      </c>
      <c r="I30" s="98">
        <f t="shared" si="3"/>
        <v>-0.17181897300818705</v>
      </c>
      <c r="K30" s="373">
        <f t="shared" si="4"/>
        <v>-28.125001738581417</v>
      </c>
      <c r="L30" s="104"/>
      <c r="M30" s="104"/>
      <c r="N30" s="104"/>
      <c r="O30" s="108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CN30" s="81"/>
      <c r="CO30" s="81"/>
      <c r="CP30" s="81"/>
    </row>
    <row r="31" spans="2:94" ht="15" customHeight="1">
      <c r="B31" s="80">
        <v>7131</v>
      </c>
      <c r="C31" s="100" t="str">
        <f>IF(MasterSheet!$A$1=1,MasterSheet!C87,MasterSheet!B87)</f>
        <v>Administrativne takse</v>
      </c>
      <c r="D31" s="211">
        <v>8144616.5029747505</v>
      </c>
      <c r="E31" s="102">
        <f t="shared" si="0"/>
        <v>0.23780679844055486</v>
      </c>
      <c r="F31" s="211">
        <v>7905297.4699999997</v>
      </c>
      <c r="G31" s="102">
        <f t="shared" si="1"/>
        <v>0.2308191529182852</v>
      </c>
      <c r="H31" s="211">
        <f t="shared" si="2"/>
        <v>-239319.03297475073</v>
      </c>
      <c r="I31" s="102">
        <f t="shared" si="3"/>
        <v>-6.9876455222696553E-3</v>
      </c>
      <c r="K31" s="103">
        <f t="shared" si="4"/>
        <v>-2.9383707985187755</v>
      </c>
      <c r="L31" s="104"/>
      <c r="M31" s="104"/>
      <c r="N31" s="104"/>
      <c r="O31" s="108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CN31" s="81"/>
      <c r="CO31" s="81"/>
      <c r="CP31" s="81"/>
    </row>
    <row r="32" spans="2:94" ht="15" customHeight="1">
      <c r="B32" s="80">
        <v>7132</v>
      </c>
      <c r="C32" s="100" t="str">
        <f>IF(MasterSheet!$A$1=1,MasterSheet!C88,MasterSheet!B88)</f>
        <v>Sudske takse</v>
      </c>
      <c r="D32" s="211">
        <v>3676083.5729169641</v>
      </c>
      <c r="E32" s="102">
        <f t="shared" si="0"/>
        <v>0.10733441715223867</v>
      </c>
      <c r="F32" s="211">
        <v>3784205.9</v>
      </c>
      <c r="G32" s="102">
        <f t="shared" si="1"/>
        <v>0.1104913766523168</v>
      </c>
      <c r="H32" s="211">
        <f t="shared" si="2"/>
        <v>108122.32708303584</v>
      </c>
      <c r="I32" s="102">
        <f t="shared" si="3"/>
        <v>3.1569595000781291E-3</v>
      </c>
      <c r="K32" s="103">
        <f t="shared" si="4"/>
        <v>2.9412369152761499</v>
      </c>
      <c r="L32" s="104"/>
      <c r="M32" s="104"/>
      <c r="N32" s="104"/>
      <c r="O32" s="108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CN32" s="174"/>
      <c r="CO32" s="174"/>
      <c r="CP32" s="174"/>
    </row>
    <row r="33" spans="2:97" ht="15" customHeight="1">
      <c r="B33" s="80">
        <v>7133</v>
      </c>
      <c r="C33" s="100" t="str">
        <f>IF(MasterSheet!$A$1=1,MasterSheet!C89,MasterSheet!B89)</f>
        <v>Boravišne takse</v>
      </c>
      <c r="D33" s="211">
        <v>762511.44191594806</v>
      </c>
      <c r="E33" s="102">
        <f t="shared" si="0"/>
        <v>2.2263835836849207E-2</v>
      </c>
      <c r="F33" s="211">
        <v>644189.07999999996</v>
      </c>
      <c r="G33" s="102">
        <f t="shared" si="1"/>
        <v>1.8809055361810368E-2</v>
      </c>
      <c r="H33" s="211">
        <f t="shared" si="2"/>
        <v>-118322.3619159481</v>
      </c>
      <c r="I33" s="102">
        <f t="shared" si="3"/>
        <v>-3.4547804750388366E-3</v>
      </c>
      <c r="K33" s="103">
        <f t="shared" si="4"/>
        <v>-15.517453956971679</v>
      </c>
      <c r="L33" s="104"/>
      <c r="M33" s="109"/>
      <c r="N33" s="104"/>
      <c r="O33" s="108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CN33" s="174"/>
      <c r="CO33" s="174"/>
      <c r="CP33" s="174"/>
    </row>
    <row r="34" spans="2:97" ht="15" customHeight="1">
      <c r="B34" s="80">
        <v>7136</v>
      </c>
      <c r="C34" s="100" t="str">
        <f>IF(MasterSheet!$A$1=1,MasterSheet!C90,MasterSheet!B90)</f>
        <v>Ostale takse</v>
      </c>
      <c r="D34" s="209">
        <v>8339835.6804729737</v>
      </c>
      <c r="E34" s="102">
        <f t="shared" si="0"/>
        <v>0.24350681483519968</v>
      </c>
      <c r="F34" s="209">
        <v>2704747.36</v>
      </c>
      <c r="G34" s="102">
        <f t="shared" si="1"/>
        <v>7.8973308324243013E-2</v>
      </c>
      <c r="H34" s="209">
        <f t="shared" si="2"/>
        <v>-5635088.3204729743</v>
      </c>
      <c r="I34" s="102">
        <f t="shared" si="3"/>
        <v>-0.16453350651095669</v>
      </c>
      <c r="K34" s="103">
        <f t="shared" si="4"/>
        <v>-67.568337511338029</v>
      </c>
      <c r="L34" s="104"/>
      <c r="M34" s="104"/>
      <c r="N34" s="104"/>
      <c r="O34" s="108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CN34" s="174"/>
      <c r="CO34" s="174"/>
      <c r="CP34" s="174"/>
    </row>
    <row r="35" spans="2:97" ht="15" customHeight="1">
      <c r="B35" s="80">
        <v>714</v>
      </c>
      <c r="C35" s="94" t="str">
        <f>IF(MasterSheet!$A$1=1,MasterSheet!C91,MasterSheet!B91)</f>
        <v>Naknade</v>
      </c>
      <c r="D35" s="207">
        <v>13024243.76827177</v>
      </c>
      <c r="E35" s="98">
        <f t="shared" si="0"/>
        <v>0.38028232655408789</v>
      </c>
      <c r="F35" s="207">
        <f>SUM(F36:F41)</f>
        <v>17342019.190000001</v>
      </c>
      <c r="G35" s="98">
        <f t="shared" si="1"/>
        <v>0.50635288482426288</v>
      </c>
      <c r="H35" s="207">
        <f t="shared" si="2"/>
        <v>4317775.421728231</v>
      </c>
      <c r="I35" s="98">
        <f t="shared" si="3"/>
        <v>0.12607055827017499</v>
      </c>
      <c r="K35" s="373">
        <f t="shared" si="4"/>
        <v>33.151832064497455</v>
      </c>
      <c r="L35" s="104"/>
      <c r="M35" s="104"/>
      <c r="N35" s="104"/>
      <c r="O35" s="108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CN35" s="174"/>
      <c r="CO35" s="174"/>
      <c r="CP35" s="174"/>
    </row>
    <row r="36" spans="2:97" ht="15" customHeight="1">
      <c r="B36" s="80">
        <v>7141</v>
      </c>
      <c r="C36" s="100" t="str">
        <f>IF(MasterSheet!$A$1=1,MasterSheet!C92,MasterSheet!B92)</f>
        <v>Naknade za korišćenje dobara od opšteg interesa</v>
      </c>
      <c r="D36" s="211">
        <v>698651.48499726248</v>
      </c>
      <c r="E36" s="102">
        <f t="shared" si="0"/>
        <v>2.0399250573953441E-2</v>
      </c>
      <c r="F36" s="211">
        <v>691442</v>
      </c>
      <c r="G36" s="102">
        <f t="shared" si="1"/>
        <v>2.018874777802953E-2</v>
      </c>
      <c r="H36" s="211">
        <f t="shared" si="2"/>
        <v>-7209.4849972624797</v>
      </c>
      <c r="I36" s="102">
        <f t="shared" si="3"/>
        <v>-2.1050279592390992E-4</v>
      </c>
      <c r="K36" s="103">
        <f t="shared" si="4"/>
        <v>-1.0319143596024531</v>
      </c>
      <c r="L36" s="105"/>
      <c r="M36" s="105"/>
      <c r="N36" s="105"/>
      <c r="O36" s="170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CN36" s="174"/>
      <c r="CO36" s="174"/>
      <c r="CP36" s="174"/>
    </row>
    <row r="37" spans="2:97" ht="15" customHeight="1">
      <c r="B37" s="80">
        <v>7142</v>
      </c>
      <c r="C37" s="100" t="str">
        <f>IF(MasterSheet!$A$1=1,MasterSheet!C93,MasterSheet!B93)</f>
        <v>Naknade za korišćenje prirodnih dobara</v>
      </c>
      <c r="D37" s="211">
        <v>1997965.7673730874</v>
      </c>
      <c r="E37" s="102">
        <f t="shared" si="0"/>
        <v>5.8336674582441447E-2</v>
      </c>
      <c r="F37" s="211">
        <v>2187369.91</v>
      </c>
      <c r="G37" s="102">
        <f t="shared" si="1"/>
        <v>6.3866903384869819E-2</v>
      </c>
      <c r="H37" s="211">
        <f t="shared" si="2"/>
        <v>189404.1426269128</v>
      </c>
      <c r="I37" s="102">
        <f t="shared" si="3"/>
        <v>5.5302288024283658E-3</v>
      </c>
      <c r="K37" s="103">
        <f t="shared" si="4"/>
        <v>9.4798492406574155</v>
      </c>
      <c r="L37" s="110"/>
      <c r="M37" s="110"/>
      <c r="N37" s="110"/>
      <c r="O37" s="110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CN37" s="174"/>
      <c r="CO37" s="174"/>
      <c r="CP37" s="174"/>
    </row>
    <row r="38" spans="2:97" ht="15" customHeight="1">
      <c r="B38" s="80">
        <v>7143</v>
      </c>
      <c r="C38" s="100" t="str">
        <f>IF(MasterSheet!$A$1=1,MasterSheet!C94,MasterSheet!B94)</f>
        <v>Ekološke naknade</v>
      </c>
      <c r="D38" s="211">
        <v>424373.88097611902</v>
      </c>
      <c r="E38" s="102">
        <f t="shared" si="0"/>
        <v>1.2390883467608839E-2</v>
      </c>
      <c r="F38" s="211">
        <v>166617.24</v>
      </c>
      <c r="G38" s="102">
        <f t="shared" si="1"/>
        <v>4.8648960199574407E-3</v>
      </c>
      <c r="H38" s="211">
        <f t="shared" si="2"/>
        <v>-257756.64097611903</v>
      </c>
      <c r="I38" s="102">
        <f t="shared" si="3"/>
        <v>-7.5259874476513982E-3</v>
      </c>
      <c r="K38" s="103">
        <f t="shared" si="4"/>
        <v>-60.738102067743391</v>
      </c>
      <c r="L38" s="110"/>
      <c r="M38" s="110"/>
      <c r="N38" s="110"/>
      <c r="O38" s="110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CN38" s="174"/>
      <c r="CO38" s="174"/>
      <c r="CP38" s="174"/>
      <c r="CQ38" s="81"/>
      <c r="CR38" s="81"/>
    </row>
    <row r="39" spans="2:97" ht="15" customHeight="1">
      <c r="B39" s="80">
        <v>7144</v>
      </c>
      <c r="C39" s="100" t="str">
        <f>IF(MasterSheet!$A$1=1,MasterSheet!C95,MasterSheet!B95)</f>
        <v>Naknade za priređivanje igara na sreću</v>
      </c>
      <c r="D39" s="211">
        <v>3266343.0516235088</v>
      </c>
      <c r="E39" s="102">
        <f t="shared" si="0"/>
        <v>9.5370799034114662E-2</v>
      </c>
      <c r="F39" s="211">
        <v>4965390.66</v>
      </c>
      <c r="G39" s="102">
        <f t="shared" si="1"/>
        <v>0.14497965072142505</v>
      </c>
      <c r="H39" s="211">
        <f t="shared" si="2"/>
        <v>1699047.6083764913</v>
      </c>
      <c r="I39" s="102">
        <f t="shared" si="3"/>
        <v>4.9608851687310399E-2</v>
      </c>
      <c r="K39" s="103">
        <f t="shared" si="4"/>
        <v>52.016814569798299</v>
      </c>
      <c r="L39" s="110"/>
      <c r="M39" s="110"/>
      <c r="N39" s="110"/>
      <c r="O39" s="110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CN39" s="174"/>
      <c r="CO39" s="174"/>
      <c r="CP39" s="174"/>
      <c r="CQ39" s="81"/>
      <c r="CR39" s="81"/>
    </row>
    <row r="40" spans="2:97" ht="15" customHeight="1">
      <c r="B40" s="80">
        <v>7148</v>
      </c>
      <c r="C40" s="100" t="str">
        <f>IF(MasterSheet!$A$1=1,MasterSheet!C96,MasterSheet!B96)</f>
        <v>Naknada za puteve</v>
      </c>
      <c r="D40" s="211">
        <v>3355752.0175728933</v>
      </c>
      <c r="E40" s="102">
        <f t="shared" si="0"/>
        <v>9.798136515917874E-2</v>
      </c>
      <c r="F40" s="211">
        <v>3154323.14</v>
      </c>
      <c r="G40" s="102">
        <f t="shared" si="1"/>
        <v>9.2100037723861328E-2</v>
      </c>
      <c r="H40" s="211">
        <f t="shared" si="2"/>
        <v>-201428.87757289317</v>
      </c>
      <c r="I40" s="102">
        <f t="shared" si="3"/>
        <v>-5.8813274353173937E-3</v>
      </c>
      <c r="K40" s="103">
        <f t="shared" si="4"/>
        <v>-6.0024959090564778</v>
      </c>
      <c r="L40" s="107"/>
      <c r="M40" s="107"/>
      <c r="N40" s="107"/>
      <c r="O40" s="108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CN40" s="174"/>
      <c r="CO40" s="174"/>
      <c r="CP40" s="174"/>
      <c r="CQ40" s="81"/>
      <c r="CR40" s="81"/>
    </row>
    <row r="41" spans="2:97" ht="15" customHeight="1">
      <c r="B41" s="80">
        <v>7149</v>
      </c>
      <c r="C41" s="100" t="str">
        <f>IF(MasterSheet!$A$1=1,MasterSheet!C97,MasterSheet!B97)</f>
        <v>Ostale naknade</v>
      </c>
      <c r="D41" s="211">
        <v>3281157.5657288986</v>
      </c>
      <c r="E41" s="102">
        <f t="shared" si="0"/>
        <v>9.5803353736790775E-2</v>
      </c>
      <c r="F41" s="211">
        <v>6176876.2400000002</v>
      </c>
      <c r="G41" s="102">
        <f t="shared" si="1"/>
        <v>0.18035264919611971</v>
      </c>
      <c r="H41" s="211">
        <f t="shared" si="2"/>
        <v>2895718.6742711016</v>
      </c>
      <c r="I41" s="102">
        <f t="shared" si="3"/>
        <v>8.4549295459328933E-2</v>
      </c>
      <c r="K41" s="103">
        <f t="shared" si="4"/>
        <v>88.25296000766204</v>
      </c>
      <c r="L41" s="107"/>
      <c r="M41" s="107"/>
      <c r="N41" s="107"/>
      <c r="O41" s="108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CN41" s="81"/>
      <c r="CO41" s="81"/>
      <c r="CP41" s="81"/>
      <c r="CQ41" s="81"/>
      <c r="CR41" s="81"/>
    </row>
    <row r="42" spans="2:97" ht="15" customHeight="1">
      <c r="B42" s="80">
        <v>715</v>
      </c>
      <c r="C42" s="94" t="str">
        <f>IF(MasterSheet!$A$1=1,MasterSheet!C98,MasterSheet!B98)</f>
        <v>Ostali prihodi</v>
      </c>
      <c r="D42" s="207">
        <v>31410770.914738216</v>
      </c>
      <c r="E42" s="98">
        <f t="shared" si="0"/>
        <v>0.91713279134202974</v>
      </c>
      <c r="F42" s="207">
        <f>SUM(F43:F46)</f>
        <v>29705548.170000002</v>
      </c>
      <c r="G42" s="98">
        <f t="shared" si="1"/>
        <v>0.86734363780655022</v>
      </c>
      <c r="H42" s="207">
        <f t="shared" si="2"/>
        <v>-1705222.7447382137</v>
      </c>
      <c r="I42" s="98">
        <f t="shared" si="3"/>
        <v>-4.9789153535479518E-2</v>
      </c>
      <c r="K42" s="103">
        <f t="shared" si="4"/>
        <v>-5.4287834875714793</v>
      </c>
      <c r="L42" s="107"/>
      <c r="M42" s="107"/>
      <c r="N42" s="107"/>
      <c r="O42" s="108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CN42" s="81"/>
      <c r="CO42" s="81"/>
      <c r="CP42" s="81"/>
      <c r="CQ42" s="81"/>
      <c r="CR42" s="81"/>
    </row>
    <row r="43" spans="2:97" ht="15" customHeight="1">
      <c r="B43" s="80">
        <v>7151</v>
      </c>
      <c r="C43" s="100" t="str">
        <f>IF(MasterSheet!$A$1=1,MasterSheet!C99,MasterSheet!B99)</f>
        <v>Prihodi od kapitala</v>
      </c>
      <c r="D43" s="211">
        <v>5533606.7424404304</v>
      </c>
      <c r="E43" s="102">
        <f t="shared" si="0"/>
        <v>0.16157044383467228</v>
      </c>
      <c r="F43" s="211">
        <v>2751166.12</v>
      </c>
      <c r="G43" s="102">
        <f t="shared" si="1"/>
        <v>8.0328644907512306E-2</v>
      </c>
      <c r="H43" s="211">
        <f t="shared" si="2"/>
        <v>-2782440.6224404303</v>
      </c>
      <c r="I43" s="102">
        <f t="shared" si="3"/>
        <v>-8.1241798927159964E-2</v>
      </c>
      <c r="K43" s="103">
        <f t="shared" si="4"/>
        <v>-50.282586962681755</v>
      </c>
      <c r="L43" s="107"/>
      <c r="M43" s="107"/>
      <c r="N43" s="107"/>
      <c r="O43" s="108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CN43" s="171"/>
      <c r="CO43" s="171"/>
      <c r="CP43" s="171"/>
      <c r="CQ43" s="171"/>
      <c r="CR43" s="171"/>
      <c r="CS43" s="176"/>
    </row>
    <row r="44" spans="2:97" ht="15" customHeight="1">
      <c r="B44" s="80">
        <v>7152</v>
      </c>
      <c r="C44" s="100" t="str">
        <f>IF(MasterSheet!$A$1=1,MasterSheet!C100,MasterSheet!B100)</f>
        <v>Novčane kazne i oduzete imovinske koristi</v>
      </c>
      <c r="D44" s="211">
        <v>11824073.889814863</v>
      </c>
      <c r="E44" s="102">
        <f t="shared" si="0"/>
        <v>0.34523972433010547</v>
      </c>
      <c r="F44" s="211">
        <v>14149381.439999999</v>
      </c>
      <c r="G44" s="102">
        <f t="shared" si="1"/>
        <v>0.41313413577319902</v>
      </c>
      <c r="H44" s="211">
        <f t="shared" si="2"/>
        <v>2325307.5501851365</v>
      </c>
      <c r="I44" s="102">
        <f t="shared" si="3"/>
        <v>6.7894411443093508E-2</v>
      </c>
      <c r="K44" s="103">
        <f t="shared" si="4"/>
        <v>19.665874654150571</v>
      </c>
      <c r="L44" s="107"/>
      <c r="M44" s="107"/>
      <c r="N44" s="107"/>
      <c r="O44" s="108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CN44" s="171"/>
      <c r="CO44" s="171"/>
      <c r="CP44" s="173"/>
      <c r="CQ44" s="173"/>
      <c r="CR44" s="240"/>
      <c r="CS44" s="176"/>
    </row>
    <row r="45" spans="2:97" ht="15" customHeight="1">
      <c r="B45" s="80">
        <v>7153</v>
      </c>
      <c r="C45" s="100" t="str">
        <f>IF(MasterSheet!$A$1=1,MasterSheet!C101,MasterSheet!B101)</f>
        <v>Prihodi koje organi ostvaruju vršenjem svoje djelatnosti</v>
      </c>
      <c r="D45" s="211">
        <v>2220205.3434794326</v>
      </c>
      <c r="E45" s="102">
        <f t="shared" si="0"/>
        <v>6.4825633523765816E-2</v>
      </c>
      <c r="F45" s="211">
        <v>2329494.69</v>
      </c>
      <c r="G45" s="102">
        <f t="shared" si="1"/>
        <v>6.8016667698330577E-2</v>
      </c>
      <c r="H45" s="211">
        <f t="shared" si="2"/>
        <v>109289.34652056731</v>
      </c>
      <c r="I45" s="102">
        <f t="shared" si="3"/>
        <v>3.1910341745647539E-3</v>
      </c>
      <c r="K45" s="103">
        <f t="shared" si="4"/>
        <v>4.9224882212603092</v>
      </c>
      <c r="L45" s="107"/>
      <c r="M45" s="107"/>
      <c r="N45" s="107"/>
      <c r="O45" s="108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CN45" s="81"/>
      <c r="CO45" s="81"/>
      <c r="CP45" s="179"/>
      <c r="CQ45" s="179"/>
      <c r="CR45" s="179"/>
      <c r="CS45" s="176"/>
    </row>
    <row r="46" spans="2:97" ht="15" customHeight="1">
      <c r="B46" s="80">
        <v>7155</v>
      </c>
      <c r="C46" s="100" t="str">
        <f>IF(MasterSheet!$A$1=1,MasterSheet!C102,MasterSheet!B102)</f>
        <v>Ostali prihodi</v>
      </c>
      <c r="D46" s="211">
        <v>11832884.939003492</v>
      </c>
      <c r="E46" s="102">
        <f t="shared" si="0"/>
        <v>0.34549698965348624</v>
      </c>
      <c r="F46" s="211">
        <v>10475505.92</v>
      </c>
      <c r="G46" s="102">
        <f t="shared" si="1"/>
        <v>0.30586418942750826</v>
      </c>
      <c r="H46" s="211">
        <f t="shared" si="2"/>
        <v>-1357379.0190034918</v>
      </c>
      <c r="I46" s="102">
        <f t="shared" si="3"/>
        <v>-3.9632800225977954E-2</v>
      </c>
      <c r="K46" s="103">
        <f t="shared" si="4"/>
        <v>-11.471243285137561</v>
      </c>
      <c r="L46" s="107"/>
      <c r="M46" s="107"/>
      <c r="N46" s="107"/>
      <c r="O46" s="108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CM46" s="106"/>
      <c r="CN46" s="106"/>
      <c r="CO46" s="103"/>
      <c r="CP46" s="179"/>
      <c r="CQ46" s="179"/>
      <c r="CR46" s="179"/>
      <c r="CS46" s="176"/>
    </row>
    <row r="47" spans="2:97">
      <c r="B47" s="80">
        <v>73</v>
      </c>
      <c r="C47" s="111" t="str">
        <f>IF(MasterSheet!$A$1=1,MasterSheet!C103,MasterSheet!B103)</f>
        <v>Primici od otplate kredita i sredstva prenijeta iz prethodne godine</v>
      </c>
      <c r="D47" s="207">
        <v>7046262.4871663069</v>
      </c>
      <c r="E47" s="98">
        <f t="shared" si="0"/>
        <v>0.20573701934680222</v>
      </c>
      <c r="F47" s="207">
        <v>8522051.1899999995</v>
      </c>
      <c r="G47" s="98">
        <f t="shared" si="1"/>
        <v>0.24882714967613537</v>
      </c>
      <c r="H47" s="207">
        <f t="shared" si="2"/>
        <v>1475788.7028336925</v>
      </c>
      <c r="I47" s="98">
        <f t="shared" si="3"/>
        <v>4.3090130329333176E-2</v>
      </c>
      <c r="K47" s="103">
        <f t="shared" si="4"/>
        <v>20.944276565365215</v>
      </c>
      <c r="L47" s="107"/>
      <c r="M47" s="107"/>
      <c r="N47" s="107"/>
      <c r="O47" s="108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CM47" s="106"/>
      <c r="CN47" s="106"/>
      <c r="CO47" s="103"/>
      <c r="CP47" s="179"/>
      <c r="CQ47" s="179"/>
      <c r="CR47" s="179"/>
      <c r="CS47" s="176"/>
    </row>
    <row r="48" spans="2:97" ht="13.5" customHeight="1" thickBot="1">
      <c r="B48" s="80">
        <v>74</v>
      </c>
      <c r="C48" s="94" t="s">
        <v>123</v>
      </c>
      <c r="D48" s="207">
        <v>8000000</v>
      </c>
      <c r="E48" s="98">
        <f>D48/D$11*100</f>
        <v>0.23358428071224521</v>
      </c>
      <c r="F48" s="207">
        <v>5554927.7199999997</v>
      </c>
      <c r="G48" s="98">
        <f t="shared" ref="G48:G71" si="5">F48/F$11*100</f>
        <v>0.162192974485589</v>
      </c>
      <c r="H48" s="207">
        <f t="shared" si="2"/>
        <v>-2445072.2800000003</v>
      </c>
      <c r="I48" s="98">
        <f>H48/H$11*100</f>
        <v>-7.1391306226656182E-2</v>
      </c>
      <c r="K48" s="103">
        <f t="shared" si="4"/>
        <v>-30.563403500000007</v>
      </c>
      <c r="L48" s="107"/>
      <c r="M48" s="107"/>
      <c r="N48" s="107"/>
      <c r="O48" s="108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CN48" s="225"/>
      <c r="CO48" s="225"/>
      <c r="CP48" s="179"/>
      <c r="CQ48" s="179"/>
      <c r="CR48" s="179"/>
      <c r="CS48" s="176"/>
    </row>
    <row r="49" spans="1:97" ht="15" customHeight="1" thickTop="1" thickBot="1">
      <c r="B49" s="112"/>
      <c r="C49" s="90" t="str">
        <f>IF(MasterSheet!$A$1=1,MasterSheet!C104,MasterSheet!B104)</f>
        <v>Izdaci</v>
      </c>
      <c r="D49" s="91">
        <f>+D51+D61+D67+D70+SUM(D73:D76)</f>
        <v>1337692629.8200002</v>
      </c>
      <c r="E49" s="92">
        <f t="shared" ref="E49:E80" si="6">D49/D$11*100</f>
        <v>39.057996343822047</v>
      </c>
      <c r="F49" s="91">
        <f>+F51+F61+F67+F70+SUM(F73:F76)</f>
        <v>1415047857.74</v>
      </c>
      <c r="G49" s="92">
        <f t="shared" si="5"/>
        <v>41.316617002950167</v>
      </c>
      <c r="H49" s="91">
        <f t="shared" si="2"/>
        <v>77355227.919999838</v>
      </c>
      <c r="I49" s="92">
        <f t="shared" ref="I49:I70" si="7">H49/H$11*100</f>
        <v>2.2586206591281184</v>
      </c>
      <c r="K49" s="103">
        <f t="shared" si="4"/>
        <v>5.7827355997624608</v>
      </c>
      <c r="L49" s="113"/>
      <c r="M49" s="103">
        <f>+F49+F83+F84</f>
        <v>1849109069.6800001</v>
      </c>
      <c r="N49" s="113"/>
      <c r="O49" s="108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CN49" s="81"/>
      <c r="CO49" s="81"/>
      <c r="CP49" s="179"/>
      <c r="CQ49" s="179"/>
      <c r="CR49" s="179"/>
      <c r="CS49" s="176"/>
    </row>
    <row r="50" spans="1:97" ht="13.5" customHeight="1" thickTop="1" thickBot="1">
      <c r="C50" s="90" t="str">
        <f>IF(MasterSheet!$A$1=1,MasterSheet!C105,MasterSheet!B105)</f>
        <v>Tekuća budžetska potrošnja</v>
      </c>
      <c r="D50" s="91">
        <f>+D49-D71</f>
        <v>1249283079.8200002</v>
      </c>
      <c r="E50" s="92">
        <f t="shared" si="6"/>
        <v>36.47661120071664</v>
      </c>
      <c r="F50" s="91">
        <f>+F49-F71</f>
        <v>1347322020.72</v>
      </c>
      <c r="G50" s="92">
        <f t="shared" si="5"/>
        <v>39.33915563720624</v>
      </c>
      <c r="H50" s="91">
        <f t="shared" si="2"/>
        <v>98038940.899999857</v>
      </c>
      <c r="I50" s="92">
        <f t="shared" si="7"/>
        <v>2.862544436489598</v>
      </c>
      <c r="K50" s="103">
        <f t="shared" si="4"/>
        <v>7.8476161635139903</v>
      </c>
      <c r="L50" s="107"/>
      <c r="M50" s="107"/>
      <c r="N50" s="107"/>
      <c r="O50" s="108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CN50" s="225"/>
      <c r="CO50" s="225"/>
      <c r="CP50" s="179"/>
      <c r="CQ50" s="179"/>
      <c r="CR50" s="179"/>
      <c r="CS50" s="176"/>
    </row>
    <row r="51" spans="1:97" ht="13.5" customHeight="1" thickTop="1">
      <c r="A51" s="80">
        <v>41</v>
      </c>
      <c r="C51" s="94" t="s">
        <v>63</v>
      </c>
      <c r="D51" s="95">
        <f>+SUM(D52:D60)</f>
        <v>623735543.23000002</v>
      </c>
      <c r="E51" s="98">
        <f t="shared" si="6"/>
        <v>18.211852277505134</v>
      </c>
      <c r="F51" s="95">
        <f>+SUM(F52:F60)</f>
        <v>593381278.19000006</v>
      </c>
      <c r="G51" s="98">
        <f t="shared" si="5"/>
        <v>17.325567381765477</v>
      </c>
      <c r="H51" s="95">
        <f t="shared" si="2"/>
        <v>-30354265.039999962</v>
      </c>
      <c r="I51" s="98">
        <f t="shared" si="7"/>
        <v>-0.88628489573965519</v>
      </c>
      <c r="K51" s="103">
        <f t="shared" si="4"/>
        <v>-4.8665280293008664</v>
      </c>
      <c r="L51" s="107"/>
      <c r="M51" s="107"/>
      <c r="N51" s="107"/>
      <c r="O51" s="108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CN51" s="225"/>
      <c r="CO51" s="225"/>
      <c r="CP51" s="179"/>
      <c r="CQ51" s="179"/>
      <c r="CR51" s="179"/>
      <c r="CS51" s="176"/>
    </row>
    <row r="52" spans="1:97" ht="13.5" customHeight="1">
      <c r="B52" s="80">
        <v>411</v>
      </c>
      <c r="C52" s="94" t="s">
        <v>64</v>
      </c>
      <c r="D52" s="207">
        <v>390848489.92000002</v>
      </c>
      <c r="E52" s="98">
        <f t="shared" si="6"/>
        <v>11.412007923178802</v>
      </c>
      <c r="F52" s="207">
        <f>387342557.39-'Public Expenditure (2)'!J1</f>
        <v>345697074.38999999</v>
      </c>
      <c r="G52" s="98">
        <f t="shared" si="5"/>
        <v>10.093675308214458</v>
      </c>
      <c r="H52" s="207">
        <f t="shared" si="2"/>
        <v>-45151415.530000031</v>
      </c>
      <c r="I52" s="98">
        <f t="shared" si="7"/>
        <v>-1.3183326149643442</v>
      </c>
      <c r="K52" s="103">
        <f t="shared" si="4"/>
        <v>-11.552152993923997</v>
      </c>
      <c r="L52" s="107"/>
      <c r="M52" s="107"/>
      <c r="N52" s="107"/>
      <c r="O52" s="108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CN52" s="225"/>
      <c r="CO52" s="225"/>
      <c r="CP52" s="179"/>
      <c r="CQ52" s="179"/>
      <c r="CR52" s="179"/>
      <c r="CS52" s="176"/>
    </row>
    <row r="53" spans="1:97" ht="13.5" customHeight="1">
      <c r="B53" s="80">
        <v>412</v>
      </c>
      <c r="C53" s="94" t="s">
        <v>75</v>
      </c>
      <c r="D53" s="207">
        <v>13703227.190000001</v>
      </c>
      <c r="E53" s="98">
        <f t="shared" si="6"/>
        <v>0.40010730832657893</v>
      </c>
      <c r="F53" s="207">
        <v>11957808.1</v>
      </c>
      <c r="G53" s="98">
        <f t="shared" si="5"/>
        <v>0.34914450049169488</v>
      </c>
      <c r="H53" s="207">
        <f t="shared" si="2"/>
        <v>-1745419.0900000017</v>
      </c>
      <c r="I53" s="98">
        <f t="shared" si="7"/>
        <v>-5.0962807834883994E-2</v>
      </c>
      <c r="K53" s="103">
        <f t="shared" si="4"/>
        <v>-12.737284916897025</v>
      </c>
      <c r="L53" s="107"/>
      <c r="M53" s="107"/>
      <c r="N53" s="107"/>
      <c r="O53" s="108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CN53" s="225"/>
      <c r="CO53" s="225"/>
      <c r="CP53" s="179"/>
      <c r="CQ53" s="179"/>
      <c r="CR53" s="179"/>
      <c r="CS53" s="176"/>
    </row>
    <row r="54" spans="1:97" ht="13.5" customHeight="1">
      <c r="B54" s="80">
        <v>413</v>
      </c>
      <c r="C54" s="94" t="s">
        <v>448</v>
      </c>
      <c r="D54" s="207">
        <v>30470572.170000002</v>
      </c>
      <c r="E54" s="98">
        <f t="shared" si="6"/>
        <v>0.88968083540250076</v>
      </c>
      <c r="F54" s="207">
        <v>28563878.82</v>
      </c>
      <c r="G54" s="98">
        <f t="shared" si="5"/>
        <v>0.83400913606517935</v>
      </c>
      <c r="H54" s="207">
        <f t="shared" si="2"/>
        <v>-1906693.3500000015</v>
      </c>
      <c r="I54" s="98">
        <f t="shared" si="7"/>
        <v>-5.567169933732144E-2</v>
      </c>
      <c r="K54" s="103">
        <f t="shared" si="4"/>
        <v>-6.2574911273810869</v>
      </c>
      <c r="L54" s="107"/>
      <c r="M54" s="107"/>
      <c r="N54" s="107"/>
      <c r="O54" s="108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CN54" s="225"/>
      <c r="CO54" s="225"/>
      <c r="CP54" s="179"/>
      <c r="CQ54" s="179"/>
      <c r="CR54" s="179"/>
      <c r="CS54" s="176"/>
    </row>
    <row r="55" spans="1:97" ht="13.5" customHeight="1">
      <c r="B55" s="80">
        <v>414</v>
      </c>
      <c r="C55" s="94" t="s">
        <v>449</v>
      </c>
      <c r="D55" s="207">
        <v>52197897.32</v>
      </c>
      <c r="E55" s="98">
        <f t="shared" si="6"/>
        <v>1.5240760375229789</v>
      </c>
      <c r="F55" s="207">
        <v>54105055.200000003</v>
      </c>
      <c r="G55" s="98">
        <f t="shared" si="5"/>
        <v>1.5797613002235402</v>
      </c>
      <c r="H55" s="207">
        <f t="shared" si="2"/>
        <v>1907157.8800000027</v>
      </c>
      <c r="I55" s="98">
        <f t="shared" si="7"/>
        <v>5.5685262700561379E-2</v>
      </c>
      <c r="K55" s="103">
        <f t="shared" si="4"/>
        <v>3.6537063328588602</v>
      </c>
      <c r="L55" s="107"/>
      <c r="M55" s="107"/>
      <c r="N55" s="107"/>
      <c r="O55" s="108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CN55" s="225"/>
      <c r="CO55" s="225"/>
      <c r="CP55" s="179"/>
      <c r="CQ55" s="179"/>
      <c r="CR55" s="179"/>
      <c r="CS55" s="176"/>
    </row>
    <row r="56" spans="1:97" ht="13.5" customHeight="1">
      <c r="B56" s="80">
        <v>415</v>
      </c>
      <c r="C56" s="94" t="s">
        <v>450</v>
      </c>
      <c r="D56" s="207">
        <v>21526238.700000003</v>
      </c>
      <c r="E56" s="98">
        <f t="shared" si="6"/>
        <v>0.6285238728974496</v>
      </c>
      <c r="F56" s="207">
        <v>21273630.079999998</v>
      </c>
      <c r="G56" s="98">
        <f t="shared" si="5"/>
        <v>0.62114819754689787</v>
      </c>
      <c r="H56" s="207">
        <f t="shared" si="2"/>
        <v>-252608.62000000477</v>
      </c>
      <c r="I56" s="98">
        <f t="shared" si="7"/>
        <v>-7.3756753505517482E-3</v>
      </c>
      <c r="K56" s="103">
        <f t="shared" si="4"/>
        <v>-1.1734916792500485</v>
      </c>
      <c r="L56" s="107"/>
      <c r="M56" s="107"/>
      <c r="N56" s="107"/>
      <c r="O56" s="108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CN56" s="225"/>
      <c r="CO56" s="225"/>
      <c r="CP56" s="179"/>
      <c r="CQ56" s="179"/>
      <c r="CR56" s="179"/>
      <c r="CS56" s="176"/>
    </row>
    <row r="57" spans="1:97" ht="13.5" customHeight="1">
      <c r="B57" s="80">
        <v>416</v>
      </c>
      <c r="C57" s="94" t="s">
        <v>80</v>
      </c>
      <c r="D57" s="207">
        <v>55252545.280000001</v>
      </c>
      <c r="E57" s="98">
        <f t="shared" si="6"/>
        <v>1.6132657558436947</v>
      </c>
      <c r="F57" s="207">
        <v>75516395.409999996</v>
      </c>
      <c r="G57" s="98">
        <f t="shared" si="5"/>
        <v>2.2049303629782928</v>
      </c>
      <c r="H57" s="207">
        <f t="shared" si="2"/>
        <v>20263850.129999995</v>
      </c>
      <c r="I57" s="98">
        <f t="shared" si="7"/>
        <v>0.59166460713459812</v>
      </c>
      <c r="K57" s="103">
        <f t="shared" si="4"/>
        <v>36.674962261575644</v>
      </c>
      <c r="L57" s="107"/>
      <c r="M57" s="107"/>
      <c r="N57" s="107"/>
      <c r="O57" s="108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CN57" s="225"/>
      <c r="CO57" s="225"/>
      <c r="CP57" s="179"/>
      <c r="CQ57" s="179"/>
      <c r="CR57" s="179"/>
      <c r="CS57" s="176"/>
    </row>
    <row r="58" spans="1:97" ht="13.5" customHeight="1">
      <c r="B58" s="80">
        <v>417</v>
      </c>
      <c r="C58" s="94" t="s">
        <v>82</v>
      </c>
      <c r="D58" s="207">
        <v>8233383.3099999996</v>
      </c>
      <c r="E58" s="98">
        <f t="shared" si="6"/>
        <v>0.24039861478681929</v>
      </c>
      <c r="F58" s="207">
        <v>8033102.0199999996</v>
      </c>
      <c r="G58" s="98">
        <f t="shared" si="5"/>
        <v>0.23455079465372297</v>
      </c>
      <c r="H58" s="207">
        <f t="shared" si="2"/>
        <v>-200281.29000000004</v>
      </c>
      <c r="I58" s="98">
        <f t="shared" si="7"/>
        <v>-5.8478201330963249E-3</v>
      </c>
      <c r="K58" s="103">
        <f t="shared" si="4"/>
        <v>-2.4325515096174968</v>
      </c>
      <c r="L58" s="107"/>
      <c r="M58" s="107"/>
      <c r="N58" s="107"/>
      <c r="O58" s="108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CN58" s="225"/>
      <c r="CO58" s="225"/>
      <c r="CP58" s="179"/>
      <c r="CQ58" s="179"/>
      <c r="CR58" s="179"/>
      <c r="CS58" s="176"/>
    </row>
    <row r="59" spans="1:97" ht="13.5" customHeight="1">
      <c r="B59" s="80">
        <v>418</v>
      </c>
      <c r="C59" s="94" t="s">
        <v>84</v>
      </c>
      <c r="D59" s="207">
        <v>19082594.899999999</v>
      </c>
      <c r="E59" s="98">
        <f t="shared" si="6"/>
        <v>0.55717427547995724</v>
      </c>
      <c r="F59" s="207">
        <v>18426863.34</v>
      </c>
      <c r="G59" s="98">
        <f t="shared" si="5"/>
        <v>0.53802820238209248</v>
      </c>
      <c r="H59" s="207">
        <f t="shared" si="2"/>
        <v>-655731.55999999866</v>
      </c>
      <c r="I59" s="98">
        <f t="shared" si="7"/>
        <v>-1.9146073097864764E-2</v>
      </c>
      <c r="K59" s="103">
        <f t="shared" si="4"/>
        <v>-3.4362808802276561</v>
      </c>
      <c r="L59" s="107"/>
      <c r="M59" s="107"/>
      <c r="N59" s="107"/>
      <c r="O59" s="108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CN59" s="225"/>
      <c r="CO59" s="225"/>
      <c r="CP59" s="179"/>
      <c r="CQ59" s="179"/>
      <c r="CR59" s="179"/>
      <c r="CS59" s="176"/>
    </row>
    <row r="60" spans="1:97" ht="13.5" customHeight="1">
      <c r="B60" s="80">
        <v>419</v>
      </c>
      <c r="C60" s="94" t="s">
        <v>86</v>
      </c>
      <c r="D60" s="207">
        <v>32420594.440000001</v>
      </c>
      <c r="E60" s="98">
        <f t="shared" si="6"/>
        <v>0.94661765406635201</v>
      </c>
      <c r="F60" s="207">
        <v>29807470.829999998</v>
      </c>
      <c r="G60" s="98">
        <f t="shared" si="5"/>
        <v>0.87031957920959746</v>
      </c>
      <c r="H60" s="207">
        <f t="shared" si="2"/>
        <v>-2613123.6100000031</v>
      </c>
      <c r="I60" s="98">
        <f t="shared" si="7"/>
        <v>-7.6298074856754536E-2</v>
      </c>
      <c r="K60" s="103">
        <f t="shared" si="4"/>
        <v>-8.0600730959330349</v>
      </c>
      <c r="L60" s="107"/>
      <c r="M60" s="107"/>
      <c r="N60" s="107"/>
      <c r="O60" s="108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CN60" s="225"/>
      <c r="CO60" s="225"/>
      <c r="CP60" s="179"/>
      <c r="CQ60" s="179"/>
      <c r="CR60" s="179"/>
      <c r="CS60" s="176"/>
    </row>
    <row r="61" spans="1:97" ht="13.5" customHeight="1">
      <c r="A61" s="80">
        <v>42</v>
      </c>
      <c r="B61" s="80" t="s">
        <v>447</v>
      </c>
      <c r="C61" s="94" t="s">
        <v>87</v>
      </c>
      <c r="D61" s="95">
        <f>+SUM(D62:D66)</f>
        <v>496914332.98000002</v>
      </c>
      <c r="E61" s="98">
        <f t="shared" si="6"/>
        <v>14.5089221305923</v>
      </c>
      <c r="F61" s="95">
        <f>+SUM(F62:F66)</f>
        <v>492148010.12000006</v>
      </c>
      <c r="G61" s="98">
        <f t="shared" si="5"/>
        <v>14.369754868480372</v>
      </c>
      <c r="H61" s="95">
        <f t="shared" si="2"/>
        <v>-4766322.8599999547</v>
      </c>
      <c r="I61" s="98">
        <f t="shared" si="7"/>
        <v>-0.13916726211192759</v>
      </c>
      <c r="K61" s="103">
        <f t="shared" si="4"/>
        <v>-0.95918401697457512</v>
      </c>
      <c r="L61" s="107">
        <v>88409550</v>
      </c>
      <c r="M61" s="107">
        <v>2.5813851431054098</v>
      </c>
      <c r="N61" s="107">
        <v>67725837.019999981</v>
      </c>
      <c r="O61" s="108">
        <v>1.9774613657439304</v>
      </c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CN61" s="225"/>
      <c r="CO61" s="225"/>
      <c r="CP61" s="179"/>
      <c r="CQ61" s="179"/>
      <c r="CR61" s="179"/>
      <c r="CS61" s="176"/>
    </row>
    <row r="62" spans="1:97" ht="13.5" customHeight="1">
      <c r="B62" s="80">
        <v>421</v>
      </c>
      <c r="C62" s="100" t="s">
        <v>89</v>
      </c>
      <c r="D62" s="211">
        <v>61906343.180000007</v>
      </c>
      <c r="E62" s="102">
        <f t="shared" si="6"/>
        <v>1.8075435804032134</v>
      </c>
      <c r="F62" s="211">
        <v>61864914.020000003</v>
      </c>
      <c r="G62" s="102">
        <f t="shared" si="5"/>
        <v>1.8063339303358243</v>
      </c>
      <c r="H62" s="211">
        <f t="shared" si="2"/>
        <v>-41429.160000003874</v>
      </c>
      <c r="I62" s="102">
        <f t="shared" si="7"/>
        <v>-1.2096500673891781E-3</v>
      </c>
      <c r="J62" s="112">
        <f>+F62+'Local Government'!F55</f>
        <v>62682626.760000005</v>
      </c>
      <c r="K62" s="103">
        <f t="shared" si="4"/>
        <v>-6.692231825023498E-2</v>
      </c>
      <c r="L62" s="107">
        <v>390350</v>
      </c>
      <c r="M62" s="107">
        <v>1.1397452997003113E-2</v>
      </c>
      <c r="N62" s="107">
        <v>133737.07999999999</v>
      </c>
      <c r="O62" s="108">
        <v>3.9048599545444982E-3</v>
      </c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CN62" s="225"/>
      <c r="CO62" s="225"/>
      <c r="CP62" s="179"/>
      <c r="CQ62" s="179"/>
      <c r="CR62" s="179"/>
      <c r="CS62" s="176"/>
    </row>
    <row r="63" spans="1:97" ht="13.5" customHeight="1">
      <c r="B63" s="80">
        <v>422</v>
      </c>
      <c r="C63" s="100" t="s">
        <v>91</v>
      </c>
      <c r="D63" s="211">
        <v>24315045.490000002</v>
      </c>
      <c r="E63" s="102">
        <f t="shared" si="6"/>
        <v>0.7099515514083965</v>
      </c>
      <c r="F63" s="211">
        <v>22587777.399999999</v>
      </c>
      <c r="G63" s="102">
        <f t="shared" si="5"/>
        <v>0.65951871710841348</v>
      </c>
      <c r="H63" s="211">
        <f t="shared" si="2"/>
        <v>-1727268.0900000036</v>
      </c>
      <c r="I63" s="102">
        <f t="shared" si="7"/>
        <v>-5.0432834299983055E-2</v>
      </c>
      <c r="K63" s="103">
        <f t="shared" si="4"/>
        <v>-7.1037008370408898</v>
      </c>
      <c r="L63" s="107">
        <v>7046550</v>
      </c>
      <c r="M63" s="107">
        <v>0.20574541415660894</v>
      </c>
      <c r="N63" s="107">
        <v>2243210.31</v>
      </c>
      <c r="O63" s="108">
        <v>6.5497333343455325E-2</v>
      </c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CN63" s="225"/>
      <c r="CO63" s="225"/>
      <c r="CP63" s="179"/>
      <c r="CQ63" s="179"/>
      <c r="CR63" s="179"/>
      <c r="CS63" s="176"/>
    </row>
    <row r="64" spans="1:97" ht="13.5" customHeight="1">
      <c r="B64" s="80">
        <v>423</v>
      </c>
      <c r="C64" s="100" t="s">
        <v>93</v>
      </c>
      <c r="D64" s="211">
        <v>387382775.06999999</v>
      </c>
      <c r="E64" s="102">
        <f t="shared" si="6"/>
        <v>11.310815859379927</v>
      </c>
      <c r="F64" s="211">
        <v>384390842.85000002</v>
      </c>
      <c r="G64" s="102">
        <f t="shared" si="5"/>
        <v>11.223457317436367</v>
      </c>
      <c r="H64" s="211">
        <f t="shared" si="2"/>
        <v>-2991932.219999969</v>
      </c>
      <c r="I64" s="102">
        <f t="shared" si="7"/>
        <v>-8.7358541943560464E-2</v>
      </c>
      <c r="K64" s="103"/>
      <c r="L64" s="107">
        <v>5974050</v>
      </c>
      <c r="M64" s="107">
        <v>0.17443052152362357</v>
      </c>
      <c r="N64" s="107">
        <v>5049589.919999999</v>
      </c>
      <c r="O64" s="108">
        <v>0.14743810366937546</v>
      </c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CN64" s="225"/>
      <c r="CO64" s="225"/>
      <c r="CP64" s="179"/>
      <c r="CQ64" s="179"/>
      <c r="CR64" s="179"/>
      <c r="CS64" s="176"/>
    </row>
    <row r="65" spans="1:97" ht="13.5" customHeight="1">
      <c r="B65" s="80">
        <v>424</v>
      </c>
      <c r="C65" s="100" t="s">
        <v>95</v>
      </c>
      <c r="D65" s="211">
        <v>15215169.24</v>
      </c>
      <c r="E65" s="102">
        <f t="shared" si="6"/>
        <v>0.44425304535505983</v>
      </c>
      <c r="F65" s="211">
        <v>15215135.74</v>
      </c>
      <c r="G65" s="102">
        <f t="shared" si="5"/>
        <v>0.44425206722088434</v>
      </c>
      <c r="H65" s="211">
        <f t="shared" si="2"/>
        <v>-33.5</v>
      </c>
      <c r="I65" s="102">
        <f t="shared" si="7"/>
        <v>-9.7813417548252671E-7</v>
      </c>
      <c r="K65" s="103"/>
      <c r="L65" s="107"/>
      <c r="M65" s="107"/>
      <c r="N65" s="107"/>
      <c r="O65" s="108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CN65" s="225"/>
      <c r="CO65" s="225"/>
      <c r="CP65" s="179"/>
      <c r="CQ65" s="179"/>
      <c r="CR65" s="179"/>
      <c r="CS65" s="176"/>
    </row>
    <row r="66" spans="1:97" ht="13.5" customHeight="1">
      <c r="B66" s="80">
        <v>425</v>
      </c>
      <c r="C66" s="100" t="s">
        <v>451</v>
      </c>
      <c r="D66" s="211">
        <v>8095000</v>
      </c>
      <c r="E66" s="102">
        <f t="shared" si="6"/>
        <v>0.2363580940457031</v>
      </c>
      <c r="F66" s="211">
        <v>8089340.1100000003</v>
      </c>
      <c r="G66" s="102">
        <f t="shared" si="5"/>
        <v>0.23619283637888308</v>
      </c>
      <c r="H66" s="211">
        <f t="shared" si="2"/>
        <v>-5659.8899999996647</v>
      </c>
      <c r="I66" s="102">
        <f t="shared" si="7"/>
        <v>-1.6525766682004388E-4</v>
      </c>
      <c r="K66" s="103"/>
      <c r="L66" s="81"/>
      <c r="M66" s="81"/>
      <c r="N66" s="81"/>
      <c r="O66" s="108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CN66" s="225"/>
      <c r="CO66" s="225"/>
      <c r="CP66" s="179"/>
      <c r="CQ66" s="179"/>
      <c r="CR66" s="179"/>
      <c r="CS66" s="176"/>
    </row>
    <row r="67" spans="1:97" ht="13.5" customHeight="1">
      <c r="A67" s="80">
        <v>43</v>
      </c>
      <c r="C67" s="94" t="s">
        <v>452</v>
      </c>
      <c r="D67" s="95">
        <f>+SUM(D68:D69)</f>
        <v>100190172.41</v>
      </c>
      <c r="E67" s="98">
        <f t="shared" si="6"/>
        <v>2.9253561696032104</v>
      </c>
      <c r="F67" s="95">
        <f>+SUM(F68:F69)</f>
        <v>99048746.079999998</v>
      </c>
      <c r="G67" s="98">
        <f t="shared" si="5"/>
        <v>2.8920287635683271</v>
      </c>
      <c r="H67" s="95">
        <f t="shared" si="2"/>
        <v>-1141426.3299999982</v>
      </c>
      <c r="I67" s="98">
        <f t="shared" si="7"/>
        <v>-3.3327406034883426E-2</v>
      </c>
      <c r="K67" s="103"/>
      <c r="L67" s="81"/>
      <c r="M67" s="81"/>
      <c r="N67" s="81"/>
      <c r="O67" s="108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CN67" s="225"/>
      <c r="CO67" s="225"/>
      <c r="CP67" s="179"/>
      <c r="CQ67" s="179"/>
      <c r="CR67" s="179"/>
      <c r="CS67" s="176"/>
    </row>
    <row r="68" spans="1:97" ht="13.5" customHeight="1">
      <c r="A68" s="80" t="s">
        <v>447</v>
      </c>
      <c r="B68" s="80">
        <v>431</v>
      </c>
      <c r="C68" s="100" t="s">
        <v>452</v>
      </c>
      <c r="D68" s="211">
        <v>97968527.929999992</v>
      </c>
      <c r="E68" s="102">
        <f t="shared" si="6"/>
        <v>2.8604885161208191</v>
      </c>
      <c r="F68" s="211">
        <v>96861981.959999993</v>
      </c>
      <c r="G68" s="102">
        <f t="shared" si="5"/>
        <v>2.8281795480611334</v>
      </c>
      <c r="H68" s="211">
        <f t="shared" si="2"/>
        <v>-1106545.9699999988</v>
      </c>
      <c r="I68" s="102">
        <f t="shared" si="7"/>
        <v>-3.2308968059685417E-2</v>
      </c>
      <c r="K68" s="103"/>
      <c r="L68" s="81"/>
      <c r="M68" s="81"/>
      <c r="N68" s="81"/>
      <c r="O68" s="108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CN68" s="225"/>
      <c r="CO68" s="225"/>
      <c r="CP68" s="179"/>
      <c r="CQ68" s="179"/>
      <c r="CR68" s="179"/>
      <c r="CS68" s="176"/>
    </row>
    <row r="69" spans="1:97" ht="13.5" customHeight="1" thickBot="1">
      <c r="A69" s="80" t="s">
        <v>447</v>
      </c>
      <c r="B69" s="80">
        <v>432</v>
      </c>
      <c r="C69" s="100" t="s">
        <v>453</v>
      </c>
      <c r="D69" s="211">
        <v>2221644.48</v>
      </c>
      <c r="E69" s="102">
        <f t="shared" si="6"/>
        <v>6.4867653482391249E-2</v>
      </c>
      <c r="F69" s="211">
        <v>2186764.12</v>
      </c>
      <c r="G69" s="102">
        <f t="shared" si="5"/>
        <v>6.3849215507193233E-2</v>
      </c>
      <c r="H69" s="211">
        <f t="shared" si="2"/>
        <v>-34880.35999999987</v>
      </c>
      <c r="I69" s="102">
        <f t="shared" si="7"/>
        <v>-1.0184379751980172E-3</v>
      </c>
      <c r="K69" s="103"/>
      <c r="L69" s="81"/>
      <c r="M69" s="81"/>
      <c r="N69" s="81"/>
      <c r="O69" s="108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CN69" s="225"/>
      <c r="CO69" s="225"/>
      <c r="CP69" s="179"/>
      <c r="CQ69" s="179"/>
      <c r="CR69" s="179"/>
      <c r="CS69" s="176"/>
    </row>
    <row r="70" spans="1:97" ht="13.5" customHeight="1" thickTop="1" thickBot="1">
      <c r="B70" s="80">
        <v>44</v>
      </c>
      <c r="C70" s="341" t="s">
        <v>281</v>
      </c>
      <c r="D70" s="342">
        <f>SUM(D71:D72)</f>
        <v>100319476.95</v>
      </c>
      <c r="E70" s="343">
        <f t="shared" si="6"/>
        <v>2.9291316080993015</v>
      </c>
      <c r="F70" s="342">
        <f>SUM(F71:F72)</f>
        <v>133972150.23999999</v>
      </c>
      <c r="G70" s="343">
        <f t="shared" si="5"/>
        <v>3.9117235436604059</v>
      </c>
      <c r="H70" s="342">
        <f t="shared" si="2"/>
        <v>33652673.289999992</v>
      </c>
      <c r="I70" s="343">
        <f t="shared" si="7"/>
        <v>0.98259193556110436</v>
      </c>
      <c r="K70" s="103"/>
      <c r="L70" s="81"/>
      <c r="M70" s="81"/>
      <c r="N70" s="81"/>
      <c r="O70" s="108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CN70" s="225"/>
      <c r="CO70" s="225"/>
      <c r="CP70" s="179"/>
      <c r="CQ70" s="179"/>
      <c r="CR70" s="179"/>
      <c r="CS70" s="176"/>
    </row>
    <row r="71" spans="1:97" ht="13.5" customHeight="1" thickTop="1">
      <c r="C71" s="345" t="s">
        <v>491</v>
      </c>
      <c r="D71" s="239">
        <v>88409550</v>
      </c>
      <c r="E71" s="344">
        <f t="shared" si="6"/>
        <v>2.5813851431054098</v>
      </c>
      <c r="F71" s="239">
        <f>67725837.02</f>
        <v>67725837.019999996</v>
      </c>
      <c r="G71" s="344">
        <f t="shared" si="5"/>
        <v>1.9774613657439308</v>
      </c>
      <c r="H71" s="239">
        <f t="shared" si="2"/>
        <v>-20683712.980000004</v>
      </c>
      <c r="I71" s="344">
        <f>H71/H$11*100</f>
        <v>-0.60392377736147884</v>
      </c>
      <c r="K71" s="103"/>
      <c r="L71" s="81"/>
      <c r="M71" s="81"/>
      <c r="N71" s="81"/>
      <c r="O71" s="108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CN71" s="225"/>
      <c r="CO71" s="225"/>
      <c r="CP71" s="179"/>
      <c r="CQ71" s="179"/>
      <c r="CR71" s="179"/>
      <c r="CS71" s="176"/>
    </row>
    <row r="72" spans="1:97" ht="13.5" customHeight="1">
      <c r="C72" s="345" t="s">
        <v>130</v>
      </c>
      <c r="D72" s="239">
        <v>11909926.950000003</v>
      </c>
      <c r="E72" s="344">
        <f t="shared" si="6"/>
        <v>0.34774646499389189</v>
      </c>
      <c r="F72" s="239">
        <f>66246313.22</f>
        <v>66246313.219999999</v>
      </c>
      <c r="G72" s="344">
        <f t="shared" ref="G72:I86" si="8">F72/F$11*100</f>
        <v>1.9342621779164748</v>
      </c>
      <c r="H72" s="239">
        <f t="shared" si="2"/>
        <v>54336386.269999996</v>
      </c>
      <c r="I72" s="344">
        <f t="shared" si="8"/>
        <v>1.5865157129225829</v>
      </c>
      <c r="K72" s="504" t="s">
        <v>489</v>
      </c>
      <c r="L72" s="504"/>
      <c r="M72" s="504"/>
      <c r="N72" s="505"/>
      <c r="O72" s="108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CN72" s="225"/>
      <c r="CO72" s="225"/>
      <c r="CP72" s="179"/>
      <c r="CQ72" s="179"/>
      <c r="CR72" s="179"/>
      <c r="CS72" s="176"/>
    </row>
    <row r="73" spans="1:97" ht="13.5" customHeight="1">
      <c r="B73" s="80">
        <v>451</v>
      </c>
      <c r="C73" s="94" t="s">
        <v>111</v>
      </c>
      <c r="D73" s="207">
        <v>2493500</v>
      </c>
      <c r="E73" s="98">
        <f t="shared" si="6"/>
        <v>7.2805300494497918E-2</v>
      </c>
      <c r="F73" s="207">
        <v>2484899.77</v>
      </c>
      <c r="G73" s="98">
        <f t="shared" si="8"/>
        <v>7.2554190677184188E-2</v>
      </c>
      <c r="H73" s="207">
        <f t="shared" si="2"/>
        <v>-8600.2299999999814</v>
      </c>
      <c r="I73" s="98">
        <f t="shared" si="8"/>
        <v>-2.5110981731373352E-4</v>
      </c>
      <c r="K73" s="103"/>
      <c r="L73" s="107"/>
      <c r="M73" s="107"/>
      <c r="N73" s="107"/>
      <c r="O73" s="108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CN73" s="225"/>
      <c r="CO73" s="225"/>
      <c r="CP73" s="179"/>
      <c r="CQ73" s="179"/>
      <c r="CR73" s="179"/>
      <c r="CS73" s="176"/>
    </row>
    <row r="74" spans="1:97" ht="13.5" customHeight="1" thickBot="1">
      <c r="B74" s="80">
        <v>47</v>
      </c>
      <c r="C74" s="94" t="s">
        <v>118</v>
      </c>
      <c r="D74" s="207">
        <v>14039604.25</v>
      </c>
      <c r="E74" s="98">
        <f t="shared" si="6"/>
        <v>0.40992885752760383</v>
      </c>
      <c r="F74" s="207">
        <v>13532542.720000001</v>
      </c>
      <c r="G74" s="98">
        <f t="shared" si="8"/>
        <v>0.39512365718236625</v>
      </c>
      <c r="H74" s="207">
        <f t="shared" si="2"/>
        <v>-507061.52999999933</v>
      </c>
      <c r="I74" s="98">
        <f t="shared" si="8"/>
        <v>-1.4805200345237548E-2</v>
      </c>
      <c r="K74" s="276"/>
      <c r="L74" s="276"/>
      <c r="M74" s="276"/>
      <c r="N74" s="276"/>
      <c r="O74" s="108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CN74" s="225"/>
      <c r="CO74" s="225"/>
      <c r="CP74" s="179"/>
      <c r="CQ74" s="179"/>
      <c r="CR74" s="179"/>
      <c r="CS74" s="176"/>
    </row>
    <row r="75" spans="1:97" ht="13.5" customHeight="1" thickTop="1" thickBot="1">
      <c r="B75" s="80">
        <v>462</v>
      </c>
      <c r="C75" s="192" t="s">
        <v>113</v>
      </c>
      <c r="D75" s="227">
        <v>0</v>
      </c>
      <c r="E75" s="194">
        <f t="shared" si="6"/>
        <v>0</v>
      </c>
      <c r="F75" s="227">
        <v>15258930.949999999</v>
      </c>
      <c r="G75" s="194">
        <f t="shared" si="8"/>
        <v>0.4455308012991957</v>
      </c>
      <c r="H75" s="227">
        <f t="shared" si="2"/>
        <v>15258930.949999999</v>
      </c>
      <c r="I75" s="194">
        <f t="shared" si="8"/>
        <v>0.4455308012991957</v>
      </c>
      <c r="J75" s="108"/>
      <c r="K75" s="276"/>
      <c r="L75" s="276"/>
      <c r="M75" s="276"/>
      <c r="N75" s="276"/>
      <c r="O75" s="108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CN75" s="225"/>
      <c r="CO75" s="225"/>
      <c r="CP75" s="179"/>
      <c r="CQ75" s="179"/>
      <c r="CR75" s="179"/>
      <c r="CS75" s="176"/>
    </row>
    <row r="76" spans="1:97" ht="13.5" customHeight="1" thickTop="1" thickBot="1">
      <c r="B76" s="80">
        <v>4630</v>
      </c>
      <c r="C76" s="100" t="s">
        <v>116</v>
      </c>
      <c r="D76" s="339">
        <v>0</v>
      </c>
      <c r="E76" s="340">
        <f t="shared" si="6"/>
        <v>0</v>
      </c>
      <c r="F76" s="339">
        <v>65221299.670000002</v>
      </c>
      <c r="G76" s="340">
        <f t="shared" si="8"/>
        <v>1.9043337963168432</v>
      </c>
      <c r="H76" s="339">
        <f t="shared" si="2"/>
        <v>65221299.670000002</v>
      </c>
      <c r="I76" s="340">
        <f t="shared" si="8"/>
        <v>1.9043337963168432</v>
      </c>
      <c r="J76" s="108"/>
      <c r="K76" s="276"/>
      <c r="L76" s="276"/>
      <c r="M76" s="276"/>
      <c r="N76" s="276"/>
      <c r="O76" s="108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CN76" s="225"/>
      <c r="CO76" s="225"/>
      <c r="CP76" s="179"/>
      <c r="CQ76" s="179"/>
      <c r="CR76" s="179"/>
      <c r="CS76" s="176"/>
    </row>
    <row r="77" spans="1:97" ht="13.5" customHeight="1" thickTop="1" thickBot="1">
      <c r="C77" s="355" t="s">
        <v>498</v>
      </c>
      <c r="D77" s="356">
        <f>+D16-D49</f>
        <v>-61636230.382829905</v>
      </c>
      <c r="E77" s="357">
        <f t="shared" si="6"/>
        <v>-1.7996568174734446</v>
      </c>
      <c r="F77" s="356">
        <f>+F16-F49</f>
        <v>-103023527.58999968</v>
      </c>
      <c r="G77" s="357">
        <f t="shared" si="8"/>
        <v>-3.0080845735685275</v>
      </c>
      <c r="H77" s="356">
        <f t="shared" si="2"/>
        <v>-41387297.207169771</v>
      </c>
      <c r="I77" s="357">
        <f t="shared" si="8"/>
        <v>-1.2084277560950831</v>
      </c>
      <c r="J77" s="108"/>
      <c r="K77" s="276"/>
      <c r="L77" s="276"/>
      <c r="M77" s="276"/>
      <c r="N77" s="276"/>
      <c r="O77" s="108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CN77" s="225"/>
      <c r="CO77" s="225"/>
      <c r="CP77" s="179"/>
      <c r="CQ77" s="179"/>
      <c r="CR77" s="179"/>
      <c r="CS77" s="176"/>
    </row>
    <row r="78" spans="1:97" ht="13.5" customHeight="1" thickTop="1" thickBot="1">
      <c r="B78" s="80">
        <v>990</v>
      </c>
      <c r="C78" s="191" t="s">
        <v>152</v>
      </c>
      <c r="D78" s="339">
        <v>0</v>
      </c>
      <c r="E78" s="340">
        <f t="shared" si="6"/>
        <v>0</v>
      </c>
      <c r="F78" s="339">
        <v>4091274.1600000113</v>
      </c>
      <c r="G78" s="340">
        <f t="shared" si="8"/>
        <v>0.11945716648252473</v>
      </c>
      <c r="H78" s="339">
        <f t="shared" si="2"/>
        <v>4091274.1600000113</v>
      </c>
      <c r="I78" s="340">
        <f t="shared" si="8"/>
        <v>0.11945716648252473</v>
      </c>
      <c r="J78" s="108"/>
      <c r="K78" s="276"/>
      <c r="L78" s="276"/>
      <c r="M78" s="276"/>
      <c r="N78" s="276"/>
      <c r="O78" s="108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CN78" s="225"/>
      <c r="CO78" s="225"/>
      <c r="CP78" s="179"/>
      <c r="CQ78" s="179"/>
      <c r="CR78" s="179"/>
      <c r="CS78" s="176"/>
    </row>
    <row r="79" spans="1:97" ht="13.5" customHeight="1" thickTop="1" thickBot="1">
      <c r="C79" s="355" t="s">
        <v>499</v>
      </c>
      <c r="D79" s="356">
        <f>+D77-D78</f>
        <v>-61636230.382829905</v>
      </c>
      <c r="E79" s="357">
        <f t="shared" si="6"/>
        <v>-1.7996568174734446</v>
      </c>
      <c r="F79" s="356">
        <f>+F77-F78</f>
        <v>-107114801.74999969</v>
      </c>
      <c r="G79" s="357">
        <f t="shared" si="8"/>
        <v>-3.1275417400510528</v>
      </c>
      <c r="H79" s="356">
        <f t="shared" si="2"/>
        <v>-45478571.367169783</v>
      </c>
      <c r="I79" s="357">
        <f t="shared" si="8"/>
        <v>-1.3278849225776079</v>
      </c>
      <c r="J79" s="108"/>
      <c r="K79" s="381">
        <f>+F82-F79</f>
        <v>541176013.6899997</v>
      </c>
      <c r="L79" s="276"/>
      <c r="M79" s="276"/>
      <c r="N79" s="276"/>
      <c r="O79" s="108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CN79" s="225"/>
      <c r="CO79" s="225"/>
      <c r="CP79" s="179"/>
      <c r="CQ79" s="179"/>
      <c r="CR79" s="179"/>
      <c r="CS79" s="176"/>
    </row>
    <row r="80" spans="1:97" ht="13.5" customHeight="1" thickTop="1" thickBot="1">
      <c r="C80" s="355" t="s">
        <v>500</v>
      </c>
      <c r="D80" s="356">
        <f>+D77+D57</f>
        <v>-6383685.1028299034</v>
      </c>
      <c r="E80" s="357">
        <f t="shared" si="6"/>
        <v>-0.18639106162974975</v>
      </c>
      <c r="F80" s="356">
        <f>+F79+F57</f>
        <v>-31598406.339999691</v>
      </c>
      <c r="G80" s="357">
        <f t="shared" si="8"/>
        <v>-0.92261137707275942</v>
      </c>
      <c r="H80" s="356">
        <f t="shared" si="2"/>
        <v>-25214721.237169787</v>
      </c>
      <c r="I80" s="357">
        <f t="shared" si="8"/>
        <v>-0.7362203154430097</v>
      </c>
      <c r="J80" s="108"/>
      <c r="K80" s="276"/>
      <c r="L80" s="276"/>
      <c r="M80" s="276"/>
      <c r="N80" s="276"/>
      <c r="O80" s="108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CN80" s="225"/>
      <c r="CO80" s="225"/>
      <c r="CP80" s="179"/>
      <c r="CQ80" s="179"/>
      <c r="CR80" s="179"/>
      <c r="CS80" s="176"/>
    </row>
    <row r="81" spans="2:97" ht="7.5" customHeight="1" thickTop="1" thickBot="1">
      <c r="C81" s="355"/>
      <c r="D81" s="356"/>
      <c r="E81" s="357"/>
      <c r="F81" s="356"/>
      <c r="G81" s="357"/>
      <c r="H81" s="356"/>
      <c r="I81" s="357"/>
      <c r="J81" s="108"/>
      <c r="K81" s="276"/>
      <c r="L81" s="276"/>
      <c r="M81" s="276"/>
      <c r="N81" s="276"/>
      <c r="O81" s="108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CN81" s="225"/>
      <c r="CO81" s="225"/>
      <c r="CP81" s="179"/>
      <c r="CQ81" s="179"/>
      <c r="CR81" s="179"/>
      <c r="CS81" s="176"/>
    </row>
    <row r="82" spans="2:97" ht="13.5" customHeight="1" thickTop="1" thickBot="1">
      <c r="C82" s="355" t="s">
        <v>0</v>
      </c>
      <c r="D82" s="356">
        <f>+SUM(D83:D85)</f>
        <v>171339345.49000001</v>
      </c>
      <c r="E82" s="357">
        <f>D82/D$11*100</f>
        <v>5.0027722217485655</v>
      </c>
      <c r="F82" s="356">
        <f>+SUM(F83:F84)</f>
        <v>434061211.94</v>
      </c>
      <c r="G82" s="357">
        <f>F82/F$11*100</f>
        <v>12.673734497011289</v>
      </c>
      <c r="H82" s="356">
        <f t="shared" ref="H82:H93" si="9">+F82-D82</f>
        <v>262721866.44999999</v>
      </c>
      <c r="I82" s="357">
        <f t="shared" si="8"/>
        <v>7.6709622752627231</v>
      </c>
      <c r="J82" s="108"/>
      <c r="K82" s="276"/>
      <c r="L82" s="276"/>
      <c r="M82" s="276"/>
      <c r="N82" s="276"/>
      <c r="O82" s="108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CN82" s="225"/>
      <c r="CO82" s="225"/>
      <c r="CP82" s="179"/>
      <c r="CQ82" s="179"/>
      <c r="CR82" s="179"/>
      <c r="CS82" s="176"/>
    </row>
    <row r="83" spans="2:97" ht="13.5" customHeight="1" thickTop="1">
      <c r="B83" s="80">
        <v>4611</v>
      </c>
      <c r="C83" s="100" t="s">
        <v>135</v>
      </c>
      <c r="D83" s="211">
        <v>30008345.27</v>
      </c>
      <c r="E83" s="102">
        <f>D83/D$11*100</f>
        <v>0.876184718157207</v>
      </c>
      <c r="F83" s="211">
        <v>239006096.46000001</v>
      </c>
      <c r="G83" s="102">
        <f>F83/F$11*100</f>
        <v>6.9785083909313244</v>
      </c>
      <c r="H83" s="211">
        <f t="shared" si="9"/>
        <v>208997751.19</v>
      </c>
      <c r="I83" s="102">
        <f t="shared" si="8"/>
        <v>6.1023236727741166</v>
      </c>
      <c r="J83" s="108"/>
      <c r="K83" s="276"/>
      <c r="L83" s="276"/>
      <c r="M83" s="276"/>
      <c r="N83" s="276"/>
      <c r="O83" s="108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CN83" s="225"/>
      <c r="CO83" s="225"/>
      <c r="CP83" s="179"/>
      <c r="CQ83" s="179"/>
      <c r="CR83" s="179"/>
      <c r="CS83" s="176"/>
    </row>
    <row r="84" spans="2:97" ht="13.5" customHeight="1" thickBot="1">
      <c r="B84" s="80">
        <v>4612</v>
      </c>
      <c r="C84" s="100" t="s">
        <v>137</v>
      </c>
      <c r="D84" s="211">
        <v>108080400.25</v>
      </c>
      <c r="E84" s="102">
        <f>D84/D$11*100</f>
        <v>3.1557353189359767</v>
      </c>
      <c r="F84" s="211">
        <v>195055115.47999999</v>
      </c>
      <c r="G84" s="102">
        <f>F84/F$11*100</f>
        <v>5.6952261060799643</v>
      </c>
      <c r="H84" s="211">
        <f t="shared" si="9"/>
        <v>86974715.229999989</v>
      </c>
      <c r="I84" s="102">
        <f t="shared" si="8"/>
        <v>2.539490787143988</v>
      </c>
      <c r="K84" s="276"/>
      <c r="L84" s="276"/>
      <c r="M84" s="276"/>
      <c r="N84" s="276"/>
      <c r="O84" s="108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CN84" s="225"/>
      <c r="CO84" s="225"/>
      <c r="CP84" s="179"/>
      <c r="CQ84" s="179"/>
      <c r="CR84" s="179"/>
      <c r="CS84" s="176"/>
    </row>
    <row r="85" spans="2:97" ht="13.5" customHeight="1" thickTop="1" thickBot="1">
      <c r="B85" s="80">
        <v>4630</v>
      </c>
      <c r="C85" s="376" t="s">
        <v>116</v>
      </c>
      <c r="D85" s="377">
        <v>33250599.969999999</v>
      </c>
      <c r="E85" s="378">
        <f>D85/D$11*100</f>
        <v>0.97085218465538148</v>
      </c>
      <c r="F85" s="379"/>
      <c r="G85" s="380"/>
      <c r="H85" s="379"/>
      <c r="I85" s="380"/>
      <c r="K85" s="276"/>
      <c r="L85" s="276"/>
      <c r="M85" s="276"/>
      <c r="N85" s="276"/>
      <c r="O85" s="108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CN85" s="225"/>
      <c r="CO85" s="225"/>
      <c r="CP85" s="179"/>
      <c r="CQ85" s="179"/>
      <c r="CR85" s="179"/>
      <c r="CS85" s="176"/>
    </row>
    <row r="86" spans="2:97" ht="13.5" customHeight="1" thickTop="1" thickBot="1">
      <c r="C86" s="355" t="s">
        <v>141</v>
      </c>
      <c r="D86" s="356">
        <f>+D77-D82</f>
        <v>-232975575.87282991</v>
      </c>
      <c r="E86" s="357">
        <f>D86/D$11*100</f>
        <v>-6.8024290392220106</v>
      </c>
      <c r="F86" s="356">
        <f>+F79-F82+F93</f>
        <v>-546532229.35999966</v>
      </c>
      <c r="G86" s="357">
        <f>F86/F$11*100</f>
        <v>-15.957667210139418</v>
      </c>
      <c r="H86" s="356">
        <f t="shared" si="9"/>
        <v>-313556653.48716974</v>
      </c>
      <c r="I86" s="357">
        <f t="shared" si="8"/>
        <v>-9.1552381709174071</v>
      </c>
      <c r="J86" s="106">
        <v>546532229.36000001</v>
      </c>
      <c r="K86" s="353">
        <f>+J86+F86</f>
        <v>0</v>
      </c>
      <c r="L86" s="276"/>
      <c r="M86" s="276"/>
      <c r="N86" s="276"/>
      <c r="O86" s="108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CN86" s="225"/>
      <c r="CO86" s="225"/>
      <c r="CP86" s="179"/>
      <c r="CQ86" s="179"/>
      <c r="CR86" s="179"/>
      <c r="CS86" s="176"/>
    </row>
    <row r="87" spans="2:97" ht="6.6" customHeight="1" thickTop="1" thickBot="1">
      <c r="C87" s="355"/>
      <c r="D87" s="356"/>
      <c r="E87" s="357"/>
      <c r="F87" s="356"/>
      <c r="G87" s="357"/>
      <c r="H87" s="356"/>
      <c r="I87" s="357"/>
      <c r="J87" s="106"/>
      <c r="K87" s="353"/>
      <c r="L87" s="276"/>
      <c r="M87" s="276"/>
      <c r="N87" s="276"/>
      <c r="O87" s="108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CN87" s="225"/>
      <c r="CO87" s="225"/>
      <c r="CP87" s="179"/>
      <c r="CQ87" s="179"/>
      <c r="CR87" s="179"/>
      <c r="CS87" s="176"/>
    </row>
    <row r="88" spans="2:97" ht="13.5" customHeight="1" thickTop="1" thickBot="1">
      <c r="C88" s="355" t="s">
        <v>121</v>
      </c>
      <c r="D88" s="356">
        <f>+SUM(D89:D93)</f>
        <v>232975575.87282991</v>
      </c>
      <c r="E88" s="357">
        <f t="shared" ref="E88:E93" si="10">D88/D$11*100</f>
        <v>6.8024290392220106</v>
      </c>
      <c r="F88" s="356">
        <f>SUM(F89:F92)</f>
        <v>546532229.36000001</v>
      </c>
      <c r="G88" s="357">
        <f t="shared" ref="G88:G93" si="11">F88/F$11*100</f>
        <v>15.957667210139427</v>
      </c>
      <c r="H88" s="356">
        <f t="shared" si="9"/>
        <v>313556653.4871701</v>
      </c>
      <c r="I88" s="357">
        <f t="shared" ref="I88:I93" si="12">H88/H$11*100</f>
        <v>9.155238170917416</v>
      </c>
      <c r="K88" s="276"/>
      <c r="L88" s="276"/>
      <c r="M88" s="276"/>
      <c r="N88" s="276"/>
      <c r="O88" s="108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CN88" s="225"/>
      <c r="CO88" s="225"/>
      <c r="CP88" s="179"/>
      <c r="CQ88" s="179"/>
      <c r="CR88" s="179"/>
      <c r="CS88" s="176"/>
    </row>
    <row r="89" spans="2:97" ht="13.5" customHeight="1" thickTop="1">
      <c r="B89" s="80">
        <v>7511</v>
      </c>
      <c r="C89" s="100" t="s">
        <v>144</v>
      </c>
      <c r="D89" s="211">
        <v>0</v>
      </c>
      <c r="E89" s="102">
        <f t="shared" si="10"/>
        <v>0</v>
      </c>
      <c r="F89" s="211">
        <v>244935100</v>
      </c>
      <c r="G89" s="102">
        <f t="shared" si="11"/>
        <v>7.1516236443352312</v>
      </c>
      <c r="H89" s="211">
        <f t="shared" si="9"/>
        <v>244935100</v>
      </c>
      <c r="I89" s="102">
        <f t="shared" si="12"/>
        <v>7.1516236443352312</v>
      </c>
      <c r="K89" s="276"/>
      <c r="L89" s="276"/>
      <c r="M89" s="276"/>
      <c r="N89" s="276"/>
      <c r="O89" s="108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CN89" s="225"/>
      <c r="CO89" s="225"/>
      <c r="CP89" s="179"/>
      <c r="CQ89" s="179"/>
      <c r="CR89" s="179"/>
      <c r="CS89" s="176"/>
    </row>
    <row r="90" spans="2:97" ht="13.5" customHeight="1">
      <c r="B90" s="80">
        <v>7512</v>
      </c>
      <c r="C90" s="100" t="s">
        <v>122</v>
      </c>
      <c r="D90" s="211">
        <v>227975575.86282945</v>
      </c>
      <c r="E90" s="102">
        <f t="shared" si="10"/>
        <v>6.6564388634848637</v>
      </c>
      <c r="F90" s="211">
        <v>290814025.5</v>
      </c>
      <c r="G90" s="102">
        <f t="shared" si="11"/>
        <v>8.4911981209312533</v>
      </c>
      <c r="H90" s="211">
        <f t="shared" si="9"/>
        <v>62838449.637170553</v>
      </c>
      <c r="I90" s="102">
        <f t="shared" si="12"/>
        <v>1.8347592574463909</v>
      </c>
      <c r="K90" s="276"/>
      <c r="L90" s="276"/>
      <c r="M90" s="276"/>
      <c r="N90" s="276"/>
      <c r="O90" s="108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CN90" s="225"/>
      <c r="CO90" s="225"/>
      <c r="CP90" s="179"/>
      <c r="CQ90" s="179"/>
      <c r="CR90" s="179"/>
      <c r="CS90" s="176"/>
    </row>
    <row r="91" spans="2:97" ht="13.5" customHeight="1">
      <c r="B91" s="80">
        <v>72</v>
      </c>
      <c r="C91" s="114" t="s">
        <v>329</v>
      </c>
      <c r="D91" s="211">
        <v>5000000</v>
      </c>
      <c r="E91" s="116">
        <f t="shared" si="10"/>
        <v>0.14599017544515325</v>
      </c>
      <c r="F91" s="211">
        <v>6691829.7000000002</v>
      </c>
      <c r="G91" s="116">
        <f t="shared" si="11"/>
        <v>0.19538827839041742</v>
      </c>
      <c r="H91" s="211">
        <f t="shared" si="9"/>
        <v>1691829.7000000002</v>
      </c>
      <c r="I91" s="116">
        <f t="shared" si="12"/>
        <v>4.9398102945264206E-2</v>
      </c>
      <c r="K91" s="276"/>
      <c r="L91" s="276"/>
      <c r="M91" s="276"/>
      <c r="N91" s="276"/>
      <c r="O91" s="108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CN91" s="225"/>
      <c r="CO91" s="225"/>
      <c r="CP91" s="179"/>
      <c r="CQ91" s="179"/>
      <c r="CR91" s="179"/>
      <c r="CS91" s="176"/>
    </row>
    <row r="92" spans="2:97" ht="13.5" customHeight="1" thickBot="1">
      <c r="C92" s="114" t="s">
        <v>513</v>
      </c>
      <c r="D92" s="211">
        <v>0</v>
      </c>
      <c r="E92" s="116">
        <f t="shared" si="10"/>
        <v>0</v>
      </c>
      <c r="F92" s="339">
        <v>4091274.1600000113</v>
      </c>
      <c r="G92" s="116">
        <f t="shared" si="11"/>
        <v>0.11945716648252473</v>
      </c>
      <c r="H92" s="211">
        <f t="shared" si="9"/>
        <v>4091274.1600000113</v>
      </c>
      <c r="I92" s="116">
        <f t="shared" si="12"/>
        <v>0.11945716648252473</v>
      </c>
      <c r="K92" s="276"/>
      <c r="L92" s="276"/>
      <c r="M92" s="276"/>
      <c r="N92" s="276"/>
      <c r="O92" s="108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CN92" s="225"/>
      <c r="CO92" s="225"/>
      <c r="CP92" s="179"/>
      <c r="CQ92" s="179"/>
      <c r="CR92" s="179"/>
      <c r="CS92" s="176"/>
    </row>
    <row r="93" spans="2:97" ht="13.5" customHeight="1" thickTop="1" thickBot="1">
      <c r="C93" s="192" t="s">
        <v>125</v>
      </c>
      <c r="D93" s="193">
        <f>-D86-SUM(D89:D91)</f>
        <v>1.0000467300415039E-2</v>
      </c>
      <c r="E93" s="194">
        <f t="shared" si="10"/>
        <v>2.9199399514422189E-10</v>
      </c>
      <c r="F93" s="193">
        <f>-F95</f>
        <v>-5356215.67</v>
      </c>
      <c r="G93" s="194">
        <f t="shared" si="11"/>
        <v>-0.15639097307707581</v>
      </c>
      <c r="H93" s="193">
        <f t="shared" si="9"/>
        <v>-5356215.6800004672</v>
      </c>
      <c r="I93" s="194">
        <f t="shared" si="12"/>
        <v>-0.15639097336906982</v>
      </c>
      <c r="K93" s="276"/>
      <c r="L93" s="276"/>
      <c r="M93" s="276"/>
      <c r="N93" s="276"/>
      <c r="O93" s="108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CN93" s="225"/>
      <c r="CO93" s="225"/>
      <c r="CP93" s="179"/>
      <c r="CQ93" s="179"/>
      <c r="CR93" s="179"/>
      <c r="CS93" s="176"/>
    </row>
    <row r="94" spans="2:97" s="273" customFormat="1" ht="13.5" thickTop="1">
      <c r="C94" s="273" t="str">
        <f>IF([2]MasterSheet!$A$1=1,[2]MasterSheet!C151,[2]MasterSheet!B151)</f>
        <v>Izvor: Ministarstvo finansija Crne Gore</v>
      </c>
      <c r="K94" s="291"/>
      <c r="L94" s="276"/>
      <c r="M94" s="276"/>
      <c r="N94" s="276"/>
      <c r="O94" s="278"/>
      <c r="P94" s="276"/>
      <c r="Q94" s="276"/>
      <c r="R94" s="276"/>
      <c r="S94" s="276"/>
      <c r="T94" s="276"/>
      <c r="U94" s="276"/>
      <c r="V94" s="276"/>
      <c r="W94" s="276"/>
      <c r="X94" s="276"/>
      <c r="Y94" s="276"/>
      <c r="Z94" s="276"/>
      <c r="AA94" s="276"/>
      <c r="AB94" s="276"/>
    </row>
    <row r="95" spans="2:97" s="273" customFormat="1">
      <c r="F95" s="390">
        <v>5356215.67</v>
      </c>
      <c r="I95" s="353"/>
      <c r="K95" s="276"/>
      <c r="L95" s="276"/>
      <c r="M95" s="276"/>
      <c r="N95" s="276"/>
      <c r="O95" s="278"/>
      <c r="P95" s="276"/>
      <c r="Q95" s="276"/>
      <c r="R95" s="276"/>
      <c r="S95" s="276"/>
      <c r="T95" s="276"/>
      <c r="U95" s="276"/>
      <c r="V95" s="276"/>
      <c r="W95" s="276"/>
      <c r="X95" s="276"/>
      <c r="Y95" s="276"/>
      <c r="Z95" s="276"/>
      <c r="AA95" s="276"/>
      <c r="AB95" s="276"/>
    </row>
    <row r="96" spans="2:97" s="273" customFormat="1">
      <c r="D96" s="277"/>
      <c r="F96" s="277"/>
      <c r="K96" s="276"/>
      <c r="L96" s="276"/>
      <c r="M96" s="276"/>
      <c r="N96" s="276"/>
      <c r="O96" s="286"/>
    </row>
    <row r="97" spans="3:15" s="273" customFormat="1">
      <c r="O97" s="286"/>
    </row>
    <row r="98" spans="3:15" s="273" customFormat="1">
      <c r="C98" s="287"/>
      <c r="K98" s="277" t="e">
        <f>+#REF!+#REF!</f>
        <v>#REF!</v>
      </c>
      <c r="O98" s="286"/>
    </row>
    <row r="99" spans="3:15" s="273" customFormat="1">
      <c r="C99" s="288" t="s">
        <v>482</v>
      </c>
      <c r="D99" s="282">
        <f>D90+D89-D82</f>
        <v>56636230.372829437</v>
      </c>
      <c r="E99" s="281"/>
      <c r="F99" s="282">
        <f>F90+F89-F82</f>
        <v>101687913.56</v>
      </c>
      <c r="G99" s="283"/>
      <c r="H99" s="353"/>
      <c r="I99" s="353"/>
      <c r="O99" s="286"/>
    </row>
    <row r="100" spans="3:15" s="273" customFormat="1">
      <c r="C100" s="288" t="s">
        <v>483</v>
      </c>
      <c r="D100" s="282">
        <v>20000000</v>
      </c>
      <c r="E100" s="281"/>
      <c r="F100" s="282">
        <v>20000000</v>
      </c>
      <c r="G100" s="283"/>
      <c r="H100" s="353"/>
      <c r="I100" s="353"/>
      <c r="O100" s="286"/>
    </row>
    <row r="101" spans="3:15" s="273" customFormat="1" ht="14.25">
      <c r="C101" s="290" t="s">
        <v>484</v>
      </c>
      <c r="D101" s="282">
        <f>240000000+D100-(D90+D89)</f>
        <v>32024424.137170553</v>
      </c>
      <c r="E101" s="281"/>
      <c r="F101" s="282">
        <f>240000000+F100-(F90+F89)</f>
        <v>-275749125.5</v>
      </c>
      <c r="G101" s="283"/>
      <c r="H101" s="353"/>
      <c r="I101" s="353"/>
      <c r="L101" s="374">
        <v>381.1</v>
      </c>
      <c r="O101" s="286"/>
    </row>
    <row r="102" spans="3:15" s="273" customFormat="1" ht="15" thickBot="1">
      <c r="C102" s="288" t="s">
        <v>485</v>
      </c>
      <c r="D102" s="291"/>
      <c r="E102" s="281"/>
      <c r="F102" s="291"/>
      <c r="G102" s="281"/>
      <c r="H102" s="276"/>
      <c r="I102" s="276"/>
      <c r="L102" s="375">
        <v>1561.8</v>
      </c>
      <c r="O102" s="286"/>
    </row>
    <row r="103" spans="3:15" s="273" customFormat="1" ht="13.5" thickBot="1">
      <c r="C103" s="288" t="s">
        <v>486</v>
      </c>
      <c r="D103" s="292">
        <f>D99+D100+D101</f>
        <v>108660654.50999999</v>
      </c>
      <c r="E103" s="281"/>
      <c r="F103" s="292">
        <f>F99+F100+F101</f>
        <v>-154061211.94</v>
      </c>
      <c r="G103" s="283">
        <f>F103/F$11*100</f>
        <v>-4.4982846720827068</v>
      </c>
      <c r="H103" s="353"/>
      <c r="I103" s="353"/>
      <c r="L103" s="273">
        <f>SUM(L101:L102)</f>
        <v>1942.9</v>
      </c>
      <c r="O103" s="286"/>
    </row>
    <row r="104" spans="3:15" s="273" customFormat="1">
      <c r="C104" s="288"/>
      <c r="D104" s="293"/>
      <c r="E104" s="281"/>
      <c r="F104" s="293"/>
      <c r="G104" s="281"/>
      <c r="H104" s="276"/>
      <c r="I104" s="276"/>
      <c r="L104" s="273">
        <f>+L101/$D$11*100000000</f>
        <v>11.127371172429582</v>
      </c>
      <c r="O104" s="286"/>
    </row>
    <row r="105" spans="3:15" s="273" customFormat="1">
      <c r="C105" s="288"/>
      <c r="D105" s="281"/>
      <c r="E105" s="281"/>
      <c r="F105" s="281"/>
      <c r="G105" s="281"/>
      <c r="H105" s="276"/>
      <c r="I105" s="276"/>
      <c r="L105" s="273">
        <f>+L102/$D$11*100000000</f>
        <v>45.601491202048066</v>
      </c>
      <c r="O105" s="286"/>
    </row>
    <row r="106" spans="3:15" s="273" customFormat="1">
      <c r="C106" s="288" t="s">
        <v>465</v>
      </c>
      <c r="D106" s="282"/>
      <c r="E106" s="281"/>
      <c r="F106" s="282"/>
      <c r="G106" s="283"/>
      <c r="H106" s="353"/>
      <c r="I106" s="353"/>
      <c r="J106" s="273">
        <v>2018</v>
      </c>
      <c r="K106" s="273">
        <v>2020</v>
      </c>
      <c r="L106" s="273">
        <f>+L103/$D$11*100000000</f>
        <v>56.728862374477643</v>
      </c>
      <c r="O106" s="286"/>
    </row>
    <row r="107" spans="3:15" s="273" customFormat="1" ht="13.5" thickBot="1">
      <c r="C107" s="294"/>
      <c r="O107" s="286"/>
    </row>
    <row r="108" spans="3:15" s="273" customFormat="1" ht="13.5" thickBot="1">
      <c r="C108" s="288" t="s">
        <v>466</v>
      </c>
      <c r="D108" s="292">
        <f>D103+D106</f>
        <v>108660654.50999999</v>
      </c>
      <c r="E108" s="281"/>
      <c r="F108" s="292">
        <f>F103+F106</f>
        <v>-154061211.94</v>
      </c>
      <c r="G108" s="283">
        <f>F108/F$11*100</f>
        <v>-4.4982846720827068</v>
      </c>
      <c r="H108" s="353"/>
      <c r="I108" s="353"/>
      <c r="J108" s="273">
        <v>62</v>
      </c>
      <c r="K108" s="273">
        <v>60</v>
      </c>
      <c r="O108" s="286"/>
    </row>
    <row r="109" spans="3:15" s="273" customFormat="1" ht="13.5" thickBot="1">
      <c r="O109" s="286"/>
    </row>
    <row r="110" spans="3:15" s="295" customFormat="1" ht="13.5" thickBot="1">
      <c r="C110" s="296" t="s">
        <v>476</v>
      </c>
      <c r="D110" s="299" t="e">
        <f>#REF!+D108</f>
        <v>#REF!</v>
      </c>
      <c r="E110" s="297"/>
      <c r="F110" s="299" t="e">
        <f>#REF!+F108</f>
        <v>#REF!</v>
      </c>
      <c r="G110" s="300" t="e">
        <f>F110/F$11*100</f>
        <v>#REF!</v>
      </c>
      <c r="H110" s="354"/>
      <c r="I110" s="354"/>
      <c r="O110" s="301"/>
    </row>
    <row r="112" spans="3:15" ht="13.5" thickBot="1"/>
    <row r="113" spans="3:3" ht="13.5" thickBot="1">
      <c r="C113" s="223">
        <v>166553072.60000002</v>
      </c>
    </row>
    <row r="114" spans="3:3" ht="13.5" thickBot="1">
      <c r="C114" s="223">
        <v>442860948.83999997</v>
      </c>
    </row>
    <row r="115" spans="3:3" ht="13.5" thickBot="1">
      <c r="C115" s="223">
        <v>405003981.30000001</v>
      </c>
    </row>
    <row r="116" spans="3:3" ht="13.5" thickBot="1">
      <c r="C116" s="223">
        <v>173837481.49000001</v>
      </c>
    </row>
  </sheetData>
  <sheetProtection formatCells="0" formatColumns="0" formatRows="0" sort="0" autoFilter="0"/>
  <mergeCells count="5">
    <mergeCell ref="C14:C15"/>
    <mergeCell ref="D14:E14"/>
    <mergeCell ref="F14:G14"/>
    <mergeCell ref="H14:I14"/>
    <mergeCell ref="K72:N72"/>
  </mergeCells>
  <printOptions horizontalCentered="1" verticalCentered="1"/>
  <pageMargins left="0" right="0" top="0.19685039370078741" bottom="0.19685039370078741" header="0" footer="0"/>
  <pageSetup paperSize="9" scale="1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81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1019175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S116"/>
  <sheetViews>
    <sheetView tabSelected="1" zoomScale="85" zoomScaleNormal="85" workbookViewId="0">
      <selection activeCell="C67" sqref="C67"/>
    </sheetView>
  </sheetViews>
  <sheetFormatPr defaultColWidth="9.28515625" defaultRowHeight="12.75"/>
  <cols>
    <col min="1" max="2" width="9.28515625" style="80" customWidth="1"/>
    <col min="3" max="3" width="57.28515625" style="80" customWidth="1"/>
    <col min="4" max="5" width="8.7109375" style="80" customWidth="1"/>
    <col min="6" max="6" width="8.7109375" style="454" customWidth="1"/>
    <col min="7" max="9" width="8.7109375" style="80" customWidth="1"/>
    <col min="10" max="10" width="12.7109375" style="80" hidden="1" customWidth="1"/>
    <col min="11" max="11" width="15.42578125" style="80" hidden="1" customWidth="1"/>
    <col min="12" max="12" width="14.42578125" style="80" hidden="1" customWidth="1"/>
    <col min="13" max="13" width="13.7109375" style="80" hidden="1" customWidth="1"/>
    <col min="14" max="14" width="12.5703125" style="80" hidden="1" customWidth="1"/>
    <col min="15" max="15" width="9" style="163" hidden="1" customWidth="1"/>
    <col min="16" max="25" width="9.28515625" style="80" hidden="1" customWidth="1"/>
    <col min="26" max="89" width="9.28515625" style="80" customWidth="1"/>
    <col min="90" max="90" width="9.28515625" style="80"/>
    <col min="91" max="91" width="15.42578125" style="80" customWidth="1"/>
    <col min="92" max="92" width="12.7109375" style="80" customWidth="1"/>
    <col min="93" max="93" width="11.7109375" style="80" customWidth="1"/>
    <col min="94" max="16384" width="9.28515625" style="80"/>
  </cols>
  <sheetData>
    <row r="1" spans="2:89" ht="15" customHeight="1">
      <c r="C1" s="81"/>
      <c r="D1" s="338"/>
      <c r="E1" s="338"/>
      <c r="F1" s="420"/>
      <c r="G1" s="338"/>
      <c r="H1" s="338"/>
      <c r="I1" s="338"/>
      <c r="J1" s="81"/>
      <c r="K1" s="81"/>
      <c r="L1" s="81"/>
      <c r="M1" s="81"/>
      <c r="N1" s="81"/>
      <c r="O1" s="16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</row>
    <row r="2" spans="2:89" ht="15" hidden="1" customHeight="1">
      <c r="C2" s="81"/>
      <c r="D2" s="135"/>
      <c r="E2" s="145">
        <v>2014</v>
      </c>
      <c r="F2" s="421">
        <v>2017</v>
      </c>
      <c r="J2" s="81"/>
      <c r="K2" s="81"/>
      <c r="L2" s="81"/>
      <c r="M2" s="81"/>
      <c r="N2" s="81"/>
      <c r="O2" s="16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</row>
    <row r="3" spans="2:89" ht="15" hidden="1" customHeight="1">
      <c r="C3" s="81"/>
      <c r="D3" s="137"/>
      <c r="E3" s="138">
        <v>5.4037200000000007</v>
      </c>
      <c r="F3" s="422">
        <v>6.0799999999999965</v>
      </c>
      <c r="J3" s="81"/>
      <c r="K3" s="81"/>
      <c r="L3" s="81"/>
      <c r="M3" s="81"/>
      <c r="N3" s="81"/>
      <c r="O3" s="16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</row>
    <row r="4" spans="2:89" ht="15" hidden="1" customHeight="1">
      <c r="C4" s="81"/>
      <c r="D4" s="128"/>
      <c r="E4" s="125">
        <v>3.54</v>
      </c>
      <c r="F4" s="423">
        <v>4</v>
      </c>
      <c r="J4" s="81"/>
      <c r="K4" s="81"/>
      <c r="L4" s="81"/>
      <c r="M4" s="81"/>
      <c r="N4" s="81"/>
      <c r="O4" s="16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</row>
    <row r="5" spans="2:89" ht="15" hidden="1" customHeight="1">
      <c r="C5" s="81"/>
      <c r="D5" s="141"/>
      <c r="E5" s="142">
        <v>1.8</v>
      </c>
      <c r="F5" s="424">
        <v>2</v>
      </c>
      <c r="J5" s="81"/>
      <c r="K5" s="81"/>
      <c r="L5" s="81"/>
      <c r="M5" s="81"/>
      <c r="N5" s="81"/>
      <c r="O5" s="16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</row>
    <row r="6" spans="2:89" ht="15" hidden="1" customHeight="1">
      <c r="C6" s="81"/>
      <c r="D6" s="144"/>
      <c r="E6" s="156">
        <v>2.3E-2</v>
      </c>
      <c r="F6" s="425">
        <v>5.1999999999999998E-2</v>
      </c>
      <c r="J6" s="81"/>
      <c r="K6" s="81"/>
      <c r="L6" s="81"/>
      <c r="M6" s="81"/>
      <c r="N6" s="81"/>
      <c r="O6" s="16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</row>
    <row r="7" spans="2:89" ht="15" hidden="1" customHeight="1">
      <c r="C7" s="81"/>
      <c r="D7" s="130"/>
      <c r="E7" s="130"/>
      <c r="F7" s="426"/>
      <c r="J7" s="81"/>
      <c r="K7" s="81"/>
      <c r="L7" s="81"/>
      <c r="M7" s="81"/>
      <c r="N7" s="81"/>
      <c r="O7" s="16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</row>
    <row r="8" spans="2:89" ht="15" hidden="1" customHeight="1">
      <c r="C8" s="81"/>
      <c r="D8" s="124"/>
      <c r="E8" s="147">
        <f>+F16/D16*100-100</f>
        <v>-0.18589099714886004</v>
      </c>
      <c r="F8" s="427" t="e">
        <f>+#REF!/#REF!*100-100</f>
        <v>#REF!</v>
      </c>
      <c r="J8" s="81"/>
      <c r="K8" s="81"/>
      <c r="L8" s="81"/>
      <c r="M8" s="81"/>
      <c r="N8" s="81"/>
      <c r="O8" s="16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</row>
    <row r="9" spans="2:89" ht="15" hidden="1" customHeight="1">
      <c r="C9" s="81"/>
      <c r="D9" s="133"/>
      <c r="E9" s="148" t="e">
        <f>+F16/#REF!*100-100</f>
        <v>#REF!</v>
      </c>
      <c r="F9" s="428" t="e">
        <f>+#REF!/#REF!*100-100</f>
        <v>#REF!</v>
      </c>
      <c r="J9" s="81"/>
      <c r="K9" s="81"/>
      <c r="L9" s="81"/>
      <c r="M9" s="81"/>
      <c r="N9" s="81"/>
      <c r="O9" s="16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</row>
    <row r="10" spans="2:89" ht="15" customHeight="1" thickBot="1">
      <c r="C10" s="81"/>
      <c r="D10" s="82"/>
      <c r="E10" s="82"/>
      <c r="F10" s="420"/>
      <c r="G10" s="82"/>
      <c r="H10" s="82"/>
      <c r="I10" s="82"/>
      <c r="J10" s="81"/>
      <c r="K10" s="81"/>
      <c r="L10" s="81"/>
      <c r="M10" s="81"/>
      <c r="N10" s="81"/>
      <c r="O10" s="16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</row>
    <row r="11" spans="2:89" ht="18.75" customHeight="1" thickTop="1" thickBot="1">
      <c r="C11" s="261" t="str">
        <f>IF(MasterSheet!$A$1=1,MasterSheet!B67,MasterSheet!B66)</f>
        <v>BDP (u mil. €)</v>
      </c>
      <c r="D11" s="494">
        <v>3660700000</v>
      </c>
      <c r="E11" s="496"/>
      <c r="F11" s="494">
        <v>3594968000</v>
      </c>
      <c r="G11" s="496"/>
      <c r="H11" s="494">
        <v>3594968000</v>
      </c>
      <c r="I11" s="496"/>
      <c r="J11" s="234"/>
      <c r="K11" s="81"/>
      <c r="L11" s="81"/>
      <c r="M11" s="81"/>
      <c r="N11" s="81"/>
      <c r="O11" s="16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</row>
    <row r="12" spans="2:89" ht="19.5" customHeight="1" thickTop="1">
      <c r="C12" s="81"/>
      <c r="D12" s="83"/>
      <c r="E12" s="83"/>
      <c r="F12" s="420"/>
      <c r="G12" s="82"/>
      <c r="H12" s="82"/>
      <c r="I12" s="82"/>
      <c r="J12" s="84"/>
      <c r="K12" s="81"/>
      <c r="L12" s="81"/>
      <c r="M12" s="81"/>
      <c r="N12" s="81"/>
      <c r="O12" s="16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</row>
    <row r="13" spans="2:89" ht="17.25" customHeight="1" thickBot="1">
      <c r="B13" s="85"/>
      <c r="C13" s="86"/>
      <c r="D13" s="235"/>
      <c r="E13" s="235"/>
      <c r="F13" s="429"/>
      <c r="G13" s="235"/>
      <c r="H13" s="352"/>
      <c r="I13" s="352"/>
      <c r="J13" s="84"/>
      <c r="K13" s="81"/>
      <c r="L13" s="81"/>
      <c r="M13" s="81"/>
      <c r="N13" s="164"/>
      <c r="O13" s="165"/>
      <c r="P13" s="164"/>
      <c r="Q13" s="164"/>
      <c r="R13" s="164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</row>
    <row r="14" spans="2:89" ht="15.75" customHeight="1" thickTop="1">
      <c r="B14" s="87"/>
      <c r="C14" s="486" t="str">
        <f>IF(MasterSheet!$A$1=1,MasterSheet!B71,MasterSheet!B70)</f>
        <v>Budžet Crne Gore</v>
      </c>
      <c r="D14" s="475" t="s">
        <v>440</v>
      </c>
      <c r="E14" s="476"/>
      <c r="F14" s="475" t="s">
        <v>516</v>
      </c>
      <c r="G14" s="476"/>
      <c r="H14" s="475" t="s">
        <v>490</v>
      </c>
      <c r="I14" s="476"/>
      <c r="K14" s="103"/>
      <c r="L14" s="103"/>
      <c r="M14" s="103"/>
      <c r="N14" s="117"/>
      <c r="O14" s="161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</row>
    <row r="15" spans="2:89" ht="15" customHeight="1" thickBot="1">
      <c r="C15" s="487" t="str">
        <f>IF(MasterSheet!$A$1=1,MasterSheet!B71,MasterSheet!B70)</f>
        <v>Budžet Crne Gore</v>
      </c>
      <c r="D15" s="88" t="s">
        <v>263</v>
      </c>
      <c r="E15" s="89" t="s">
        <v>150</v>
      </c>
      <c r="F15" s="430" t="s">
        <v>263</v>
      </c>
      <c r="G15" s="89" t="s">
        <v>150</v>
      </c>
      <c r="H15" s="88" t="s">
        <v>263</v>
      </c>
      <c r="I15" s="89" t="s">
        <v>150</v>
      </c>
      <c r="K15" s="103"/>
      <c r="L15" s="103"/>
      <c r="M15" s="103"/>
      <c r="N15" s="166"/>
      <c r="O15" s="161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</row>
    <row r="16" spans="2:89" ht="15" customHeight="1" thickTop="1" thickBot="1">
      <c r="B16" s="80">
        <v>7</v>
      </c>
      <c r="C16" s="90" t="str">
        <f>IF(MasterSheet!$A$1=1,MasterSheet!C72,MasterSheet!B72)</f>
        <v>Izvorni prihodi</v>
      </c>
      <c r="D16" s="395">
        <f>D17+D25+D30+D35+D42+D47+D48</f>
        <v>1329179261.6533833</v>
      </c>
      <c r="E16" s="92">
        <f t="shared" ref="E16:E47" si="0">D16/D$11*100</f>
        <v>36.309428842936683</v>
      </c>
      <c r="F16" s="395">
        <f>F17+F25+F30+F35+F42+F47+F48</f>
        <v>1326708437.0699999</v>
      </c>
      <c r="G16" s="92">
        <f t="shared" ref="G16:G47" si="1">F16/F$11*100</f>
        <v>36.904596565810877</v>
      </c>
      <c r="H16" s="236">
        <f>+F16-D16</f>
        <v>-2470824.5833833218</v>
      </c>
      <c r="I16" s="92">
        <f>H16/H$11*100</f>
        <v>-6.8730085591396692E-2</v>
      </c>
      <c r="K16" s="103">
        <f>+F16/D16*100-100</f>
        <v>-0.18589099714886004</v>
      </c>
      <c r="L16" s="103"/>
      <c r="M16" s="103"/>
      <c r="N16" s="167"/>
      <c r="O16" s="168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</row>
    <row r="17" spans="2:94" ht="15" customHeight="1" thickTop="1">
      <c r="B17" s="80">
        <v>711</v>
      </c>
      <c r="C17" s="94" t="str">
        <f>IF(MasterSheet!$A$1=1,MasterSheet!C73,MasterSheet!B73)</f>
        <v>Porezi</v>
      </c>
      <c r="D17" s="252">
        <f>SUM(D18:D24)</f>
        <v>832672619.56934154</v>
      </c>
      <c r="E17" s="98">
        <f t="shared" si="0"/>
        <v>22.746267641963055</v>
      </c>
      <c r="F17" s="252">
        <f>SUM(F18:F24)</f>
        <v>805537586.3599999</v>
      </c>
      <c r="G17" s="98">
        <f t="shared" si="1"/>
        <v>22.407364581826595</v>
      </c>
      <c r="H17" s="207">
        <f t="shared" ref="H17:H75" si="2">+F17-D17</f>
        <v>-27135033.209341645</v>
      </c>
      <c r="I17" s="98">
        <f t="shared" ref="I17:I47" si="3">H17/H$11*100</f>
        <v>-0.75480597349800183</v>
      </c>
      <c r="K17" s="373">
        <f t="shared" ref="K17:K63" si="4">+F17/D17*100-100</f>
        <v>-3.2587877362144866</v>
      </c>
      <c r="L17" s="103"/>
      <c r="M17" s="103"/>
      <c r="N17" s="167"/>
      <c r="O17" s="168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</row>
    <row r="18" spans="2:94" ht="15" customHeight="1">
      <c r="B18" s="80">
        <v>7111</v>
      </c>
      <c r="C18" s="100" t="str">
        <f>IF(MasterSheet!$A$1=1,MasterSheet!C74,MasterSheet!B74)</f>
        <v>Porez na dohodak fizičkih lica</v>
      </c>
      <c r="D18" s="396">
        <v>107929642.82533936</v>
      </c>
      <c r="E18" s="102">
        <f t="shared" si="0"/>
        <v>2.9483334560422696</v>
      </c>
      <c r="F18" s="431">
        <v>104766319.15999998</v>
      </c>
      <c r="G18" s="102">
        <f t="shared" si="1"/>
        <v>2.9142490047199305</v>
      </c>
      <c r="H18" s="211">
        <f t="shared" si="2"/>
        <v>-3163323.6653393805</v>
      </c>
      <c r="I18" s="102">
        <f t="shared" si="3"/>
        <v>-8.7993096610022137E-2</v>
      </c>
      <c r="K18" s="103">
        <f t="shared" si="4"/>
        <v>-2.9309127525405927</v>
      </c>
      <c r="L18" s="104"/>
      <c r="M18" s="104"/>
      <c r="N18" s="104"/>
      <c r="O18" s="169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</row>
    <row r="19" spans="2:94" ht="15" customHeight="1">
      <c r="B19" s="80">
        <v>7112</v>
      </c>
      <c r="C19" s="100" t="str">
        <f>IF(MasterSheet!$A$1=1,MasterSheet!C75,MasterSheet!B75)</f>
        <v>Porez na dobit pravnih lica</v>
      </c>
      <c r="D19" s="396">
        <v>46635558.440057509</v>
      </c>
      <c r="E19" s="102">
        <f t="shared" si="0"/>
        <v>1.2739519337847272</v>
      </c>
      <c r="F19" s="431">
        <v>42151728.179999992</v>
      </c>
      <c r="G19" s="102">
        <f t="shared" si="1"/>
        <v>1.1725202610982906</v>
      </c>
      <c r="H19" s="211">
        <f t="shared" si="2"/>
        <v>-4483830.2600575164</v>
      </c>
      <c r="I19" s="102">
        <f t="shared" si="3"/>
        <v>-0.12472517864018585</v>
      </c>
      <c r="K19" s="103">
        <f t="shared" si="4"/>
        <v>-9.6146168504034506</v>
      </c>
      <c r="L19" s="105"/>
      <c r="M19" s="105"/>
      <c r="N19" s="170"/>
      <c r="O19" s="170"/>
      <c r="P19" s="8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3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M19" s="81"/>
    </row>
    <row r="20" spans="2:94" ht="15" customHeight="1">
      <c r="B20" s="80">
        <v>7113</v>
      </c>
      <c r="C20" s="100" t="str">
        <f>IF(MasterSheet!$A$1=1,MasterSheet!C76,MasterSheet!B76)</f>
        <v>Porez na promet nepokretnosti</v>
      </c>
      <c r="D20" s="396">
        <v>1555527.8551444074</v>
      </c>
      <c r="E20" s="102">
        <f t="shared" si="0"/>
        <v>4.2492634063004547E-2</v>
      </c>
      <c r="F20" s="431">
        <v>1486795.3800000001</v>
      </c>
      <c r="G20" s="102">
        <f t="shared" si="1"/>
        <v>4.1357680513428773E-2</v>
      </c>
      <c r="H20" s="211">
        <f t="shared" si="2"/>
        <v>-68732.475144407246</v>
      </c>
      <c r="I20" s="102">
        <f t="shared" si="3"/>
        <v>-1.9119078429740474E-3</v>
      </c>
      <c r="K20" s="103">
        <f t="shared" si="4"/>
        <v>-4.4185949430025744</v>
      </c>
      <c r="L20" s="104"/>
      <c r="M20" s="104"/>
      <c r="N20" s="106"/>
      <c r="O20" s="106"/>
      <c r="P20" s="106"/>
      <c r="Q20" s="106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3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3"/>
      <c r="BO20" s="173"/>
      <c r="BP20" s="173"/>
      <c r="BQ20" s="173"/>
      <c r="BR20" s="173"/>
      <c r="BS20" s="173"/>
      <c r="BT20" s="173"/>
      <c r="BU20" s="173"/>
      <c r="BV20" s="173"/>
      <c r="BW20" s="173"/>
      <c r="BX20" s="173"/>
      <c r="BY20" s="173"/>
      <c r="BZ20" s="172"/>
      <c r="CA20" s="172"/>
      <c r="CB20" s="172"/>
      <c r="CC20" s="172"/>
      <c r="CD20" s="172"/>
      <c r="CE20" s="172"/>
      <c r="CF20" s="172"/>
      <c r="CG20" s="172"/>
      <c r="CH20" s="172"/>
      <c r="CI20" s="172"/>
      <c r="CJ20" s="172"/>
      <c r="CK20" s="172"/>
    </row>
    <row r="21" spans="2:94" ht="15" customHeight="1">
      <c r="B21" s="80">
        <v>7114</v>
      </c>
      <c r="C21" s="100" t="str">
        <f>IF(MasterSheet!$A$1=1,MasterSheet!C77,MasterSheet!B77)</f>
        <v>Porez na dodatu vrijednost</v>
      </c>
      <c r="D21" s="396">
        <v>480245150.3960529</v>
      </c>
      <c r="E21" s="102">
        <f t="shared" si="0"/>
        <v>13.11894310913358</v>
      </c>
      <c r="F21" s="431">
        <v>457115481.22000003</v>
      </c>
      <c r="G21" s="102">
        <f t="shared" si="1"/>
        <v>12.715425595443408</v>
      </c>
      <c r="H21" s="211">
        <f t="shared" si="2"/>
        <v>-23129669.176052868</v>
      </c>
      <c r="I21" s="102">
        <f t="shared" si="3"/>
        <v>-0.64339012686769037</v>
      </c>
      <c r="K21" s="103">
        <f t="shared" si="4"/>
        <v>-4.8162212896846768</v>
      </c>
      <c r="L21" s="107"/>
      <c r="M21" s="107"/>
      <c r="N21" s="106"/>
      <c r="O21" s="106"/>
      <c r="P21" s="106"/>
      <c r="Q21" s="106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2:94" ht="15" customHeight="1">
      <c r="B22" s="80">
        <v>7115</v>
      </c>
      <c r="C22" s="100" t="str">
        <f>IF(MasterSheet!$A$1=1,MasterSheet!C78,MasterSheet!B78)</f>
        <v>Akcize</v>
      </c>
      <c r="D22" s="396">
        <v>167709791.42762002</v>
      </c>
      <c r="E22" s="102">
        <f t="shared" si="0"/>
        <v>4.5813585223487312</v>
      </c>
      <c r="F22" s="431">
        <v>170010238.31999999</v>
      </c>
      <c r="G22" s="102">
        <f t="shared" si="1"/>
        <v>4.7291168744756558</v>
      </c>
      <c r="H22" s="211">
        <f t="shared" si="2"/>
        <v>2300446.8923799694</v>
      </c>
      <c r="I22" s="102">
        <f t="shared" si="3"/>
        <v>6.39907474108245E-2</v>
      </c>
      <c r="K22" s="103">
        <f t="shared" si="4"/>
        <v>1.3716831156949922</v>
      </c>
      <c r="L22" s="107"/>
      <c r="M22" s="107"/>
      <c r="N22" s="107"/>
      <c r="O22" s="107"/>
      <c r="P22" s="107"/>
      <c r="Q22" s="107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2:94" ht="15" customHeight="1">
      <c r="B23" s="80">
        <v>7116</v>
      </c>
      <c r="C23" s="100" t="str">
        <f>IF(MasterSheet!$A$1=1,MasterSheet!C79,MasterSheet!B79)</f>
        <v>Porez na međunarodnu trgovinu i transakcije</v>
      </c>
      <c r="D23" s="396">
        <v>22876442.345086303</v>
      </c>
      <c r="E23" s="102">
        <f t="shared" si="0"/>
        <v>0.62491988813850641</v>
      </c>
      <c r="F23" s="431">
        <v>22887481.920000002</v>
      </c>
      <c r="G23" s="102">
        <f t="shared" si="1"/>
        <v>0.63665328648266128</v>
      </c>
      <c r="H23" s="211">
        <f t="shared" si="2"/>
        <v>11039.57491369918</v>
      </c>
      <c r="I23" s="102">
        <f t="shared" si="3"/>
        <v>3.0708409403641928E-4</v>
      </c>
      <c r="K23" s="103">
        <f t="shared" si="4"/>
        <v>4.8257393991463005E-2</v>
      </c>
      <c r="L23" s="107"/>
      <c r="M23" s="107"/>
      <c r="N23" s="107"/>
      <c r="O23" s="108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CN23" s="174"/>
      <c r="CO23" s="174"/>
      <c r="CP23" s="81"/>
    </row>
    <row r="24" spans="2:94" ht="15" customHeight="1">
      <c r="B24" s="80">
        <v>7118</v>
      </c>
      <c r="C24" s="100" t="str">
        <f>IF(MasterSheet!$A$1=1,MasterSheet!C80,MasterSheet!B80)</f>
        <v>Ostali republički prihodi</v>
      </c>
      <c r="D24" s="397">
        <v>5720506.2800410194</v>
      </c>
      <c r="E24" s="102">
        <f t="shared" si="0"/>
        <v>0.15626809845223644</v>
      </c>
      <c r="F24" s="432">
        <v>7119542.1799999997</v>
      </c>
      <c r="G24" s="102">
        <f t="shared" si="1"/>
        <v>0.19804187909322141</v>
      </c>
      <c r="H24" s="211">
        <f t="shared" si="2"/>
        <v>1399035.8999589803</v>
      </c>
      <c r="I24" s="102">
        <f t="shared" si="3"/>
        <v>3.8916504958012986E-2</v>
      </c>
      <c r="K24" s="103">
        <f t="shared" si="4"/>
        <v>24.456504922304688</v>
      </c>
      <c r="L24" s="107"/>
      <c r="M24" s="107"/>
      <c r="N24" s="107"/>
      <c r="O24" s="108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CN24" s="174"/>
      <c r="CO24" s="174"/>
      <c r="CP24" s="81"/>
    </row>
    <row r="25" spans="2:94" ht="15" customHeight="1">
      <c r="B25" s="80">
        <v>712</v>
      </c>
      <c r="C25" s="94" t="str">
        <f>IF(MasterSheet!$A$1=1,MasterSheet!C81,MasterSheet!B81)</f>
        <v>Doprinosi</v>
      </c>
      <c r="D25" s="252">
        <f>SUM(D26:D29)</f>
        <v>417492172.75320089</v>
      </c>
      <c r="E25" s="98">
        <f t="shared" si="0"/>
        <v>11.40470873748739</v>
      </c>
      <c r="F25" s="252">
        <f>SUM(F26:F29)</f>
        <v>437288820.67000002</v>
      </c>
      <c r="G25" s="98">
        <f t="shared" si="1"/>
        <v>12.163914134145283</v>
      </c>
      <c r="H25" s="207">
        <f t="shared" si="2"/>
        <v>19796647.916799128</v>
      </c>
      <c r="I25" s="98">
        <f t="shared" si="3"/>
        <v>0.55067661010610192</v>
      </c>
      <c r="K25" s="373">
        <f t="shared" si="4"/>
        <v>4.7418009746740495</v>
      </c>
      <c r="L25" s="107"/>
      <c r="M25" s="107"/>
      <c r="N25" s="107"/>
      <c r="O25" s="108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CN25" s="174"/>
      <c r="CO25" s="174"/>
      <c r="CP25" s="81"/>
    </row>
    <row r="26" spans="2:94" ht="15" hidden="1" customHeight="1">
      <c r="B26" s="80">
        <v>7121</v>
      </c>
      <c r="C26" s="100" t="str">
        <f>IF(MasterSheet!$A$1=1,MasterSheet!C82,MasterSheet!B82)</f>
        <v>Doprinosi za penzijsko i invalidsko osiguranje</v>
      </c>
      <c r="D26" s="398">
        <v>246405399.04978585</v>
      </c>
      <c r="E26" s="102">
        <f t="shared" si="0"/>
        <v>6.7311005832159374</v>
      </c>
      <c r="F26" s="433">
        <v>264099239.14000005</v>
      </c>
      <c r="G26" s="102">
        <f t="shared" si="1"/>
        <v>7.3463585528438653</v>
      </c>
      <c r="H26" s="211">
        <f t="shared" si="2"/>
        <v>17693840.090214193</v>
      </c>
      <c r="I26" s="102">
        <f t="shared" si="3"/>
        <v>0.49218352125009718</v>
      </c>
      <c r="K26" s="103">
        <f t="shared" si="4"/>
        <v>7.1807842516629137</v>
      </c>
      <c r="L26" s="107"/>
      <c r="M26" s="107"/>
      <c r="N26" s="107"/>
      <c r="O26" s="108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CN26" s="174"/>
      <c r="CO26" s="174"/>
      <c r="CP26" s="81"/>
    </row>
    <row r="27" spans="2:94" ht="15" hidden="1" customHeight="1">
      <c r="B27" s="80">
        <v>7122</v>
      </c>
      <c r="C27" s="100" t="str">
        <f>IF(MasterSheet!$A$1=1,MasterSheet!C83,MasterSheet!B83)</f>
        <v>Doprinosi za zdravstveno osiguranje</v>
      </c>
      <c r="D27" s="398">
        <v>145455857.4454551</v>
      </c>
      <c r="E27" s="102">
        <f t="shared" si="0"/>
        <v>3.9734438070711913</v>
      </c>
      <c r="F27" s="433">
        <v>150309788.34999993</v>
      </c>
      <c r="G27" s="102">
        <f t="shared" si="1"/>
        <v>4.1811161698796742</v>
      </c>
      <c r="H27" s="211">
        <f t="shared" si="2"/>
        <v>4853930.9045448303</v>
      </c>
      <c r="I27" s="102">
        <f t="shared" si="3"/>
        <v>0.13502014216941099</v>
      </c>
      <c r="K27" s="103">
        <f t="shared" si="4"/>
        <v>3.337047396915608</v>
      </c>
      <c r="L27" s="107"/>
      <c r="M27" s="107"/>
      <c r="N27" s="107"/>
      <c r="O27" s="108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CN27" s="174"/>
      <c r="CO27" s="174"/>
      <c r="CP27" s="81"/>
    </row>
    <row r="28" spans="2:94" ht="15" hidden="1" customHeight="1">
      <c r="B28" s="80">
        <v>7123</v>
      </c>
      <c r="C28" s="100" t="str">
        <f>IF(MasterSheet!$A$1=1,MasterSheet!C84,MasterSheet!B84)</f>
        <v>Doprinosi za osiguranje od nezaposlenosti</v>
      </c>
      <c r="D28" s="398">
        <v>12721701.738883585</v>
      </c>
      <c r="E28" s="102">
        <f t="shared" si="0"/>
        <v>0.34752101343687231</v>
      </c>
      <c r="F28" s="433">
        <v>12114496.520000001</v>
      </c>
      <c r="G28" s="102">
        <f t="shared" si="1"/>
        <v>0.33698482211802722</v>
      </c>
      <c r="H28" s="211">
        <f t="shared" si="2"/>
        <v>-607205.21888358332</v>
      </c>
      <c r="I28" s="102">
        <f t="shared" si="3"/>
        <v>-1.6890420690353385E-2</v>
      </c>
      <c r="K28" s="103">
        <f t="shared" si="4"/>
        <v>-4.7729873828724863</v>
      </c>
      <c r="L28" s="104"/>
      <c r="M28" s="104"/>
      <c r="N28" s="104"/>
      <c r="O28" s="108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CN28" s="174"/>
      <c r="CO28" s="174"/>
      <c r="CP28" s="81"/>
    </row>
    <row r="29" spans="2:94" ht="15" hidden="1" customHeight="1">
      <c r="B29" s="80">
        <v>7124</v>
      </c>
      <c r="C29" s="100" t="str">
        <f>IF(MasterSheet!$A$1=1,MasterSheet!C85,MasterSheet!B85)</f>
        <v>Ostali doprinosi</v>
      </c>
      <c r="D29" s="398">
        <v>12909214.519076321</v>
      </c>
      <c r="E29" s="102">
        <f t="shared" si="0"/>
        <v>0.35264333376338736</v>
      </c>
      <c r="F29" s="433">
        <v>10765296.66</v>
      </c>
      <c r="G29" s="102">
        <f t="shared" si="1"/>
        <v>0.29945458930371566</v>
      </c>
      <c r="H29" s="211">
        <f t="shared" si="2"/>
        <v>-2143917.8590763211</v>
      </c>
      <c r="I29" s="102">
        <f t="shared" si="3"/>
        <v>-5.9636632623053139E-2</v>
      </c>
      <c r="K29" s="103">
        <f t="shared" si="4"/>
        <v>-16.607655375996671</v>
      </c>
      <c r="L29" s="104"/>
      <c r="M29" s="104"/>
      <c r="N29" s="104"/>
      <c r="O29" s="108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CN29" s="81"/>
      <c r="CO29" s="81"/>
      <c r="CP29" s="81"/>
    </row>
    <row r="30" spans="2:94" ht="15" customHeight="1">
      <c r="B30" s="80">
        <v>713</v>
      </c>
      <c r="C30" s="94" t="str">
        <f>IF(MasterSheet!$A$1=1,MasterSheet!C86,MasterSheet!B86)</f>
        <v>Takse</v>
      </c>
      <c r="D30" s="399">
        <f>SUM(D31:D34)</f>
        <v>16902886.664651629</v>
      </c>
      <c r="E30" s="98">
        <f t="shared" si="0"/>
        <v>0.46173919372392241</v>
      </c>
      <c r="F30" s="399">
        <f>SUM(F31:F34)</f>
        <v>13154413.689999999</v>
      </c>
      <c r="G30" s="98">
        <f t="shared" si="1"/>
        <v>0.36591184372155744</v>
      </c>
      <c r="H30" s="207">
        <f t="shared" si="2"/>
        <v>-3748472.9746516291</v>
      </c>
      <c r="I30" s="98">
        <f t="shared" si="3"/>
        <v>-0.10426999557858732</v>
      </c>
      <c r="K30" s="373">
        <f t="shared" si="4"/>
        <v>-22.176525519103606</v>
      </c>
      <c r="L30" s="104"/>
      <c r="M30" s="104"/>
      <c r="N30" s="104"/>
      <c r="O30" s="108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CN30" s="81"/>
      <c r="CO30" s="81"/>
      <c r="CP30" s="81"/>
    </row>
    <row r="31" spans="2:94" ht="15" hidden="1" customHeight="1">
      <c r="B31" s="80">
        <v>7131</v>
      </c>
      <c r="C31" s="100" t="str">
        <f>IF(MasterSheet!$A$1=1,MasterSheet!C87,MasterSheet!B87)</f>
        <v>Administrativne takse</v>
      </c>
      <c r="D31" s="400">
        <v>8091350.4231903991</v>
      </c>
      <c r="E31" s="102">
        <f t="shared" si="0"/>
        <v>0.22103287412763678</v>
      </c>
      <c r="F31" s="400">
        <v>8333209.8899999997</v>
      </c>
      <c r="G31" s="102">
        <f t="shared" si="1"/>
        <v>0.23180206026868666</v>
      </c>
      <c r="H31" s="211">
        <f t="shared" si="2"/>
        <v>241859.46680960059</v>
      </c>
      <c r="I31" s="102">
        <f t="shared" si="3"/>
        <v>6.7277223833313833E-3</v>
      </c>
      <c r="K31" s="103">
        <f t="shared" si="4"/>
        <v>2.9891112627678922</v>
      </c>
      <c r="L31" s="104"/>
      <c r="M31" s="104"/>
      <c r="N31" s="104"/>
      <c r="O31" s="108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CN31" s="81"/>
      <c r="CO31" s="81"/>
      <c r="CP31" s="81"/>
    </row>
    <row r="32" spans="2:94" ht="15" hidden="1" customHeight="1">
      <c r="B32" s="80">
        <v>7132</v>
      </c>
      <c r="C32" s="100" t="str">
        <f>IF(MasterSheet!$A$1=1,MasterSheet!C88,MasterSheet!B88)</f>
        <v>Sudske takse</v>
      </c>
      <c r="D32" s="400">
        <v>5171558.8078724826</v>
      </c>
      <c r="E32" s="102">
        <f t="shared" si="0"/>
        <v>0.141272401668328</v>
      </c>
      <c r="F32" s="400">
        <v>1862618.29</v>
      </c>
      <c r="G32" s="102">
        <f t="shared" si="1"/>
        <v>5.1811818352764202E-2</v>
      </c>
      <c r="H32" s="211">
        <f t="shared" si="2"/>
        <v>-3308940.5178724825</v>
      </c>
      <c r="I32" s="102">
        <f t="shared" si="3"/>
        <v>-9.2043670983232184E-2</v>
      </c>
      <c r="K32" s="103">
        <f t="shared" si="4"/>
        <v>-63.983426289872185</v>
      </c>
      <c r="L32" s="104"/>
      <c r="M32" s="104"/>
      <c r="N32" s="104"/>
      <c r="O32" s="108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CN32" s="174"/>
      <c r="CO32" s="174"/>
      <c r="CP32" s="174"/>
    </row>
    <row r="33" spans="2:97" ht="15" hidden="1" customHeight="1">
      <c r="B33" s="80">
        <v>7133</v>
      </c>
      <c r="C33" s="100" t="str">
        <f>IF(MasterSheet!$A$1=1,MasterSheet!C89,MasterSheet!B89)</f>
        <v>Boravišne takse</v>
      </c>
      <c r="D33" s="400">
        <v>679683.72130913602</v>
      </c>
      <c r="E33" s="102">
        <f t="shared" si="0"/>
        <v>1.8567042404707735E-2</v>
      </c>
      <c r="F33" s="400">
        <v>874440.19</v>
      </c>
      <c r="G33" s="102">
        <f t="shared" si="1"/>
        <v>2.4324004831197385E-2</v>
      </c>
      <c r="H33" s="211">
        <f t="shared" si="2"/>
        <v>194756.46869086393</v>
      </c>
      <c r="I33" s="102">
        <f t="shared" si="3"/>
        <v>5.4174743333143417E-3</v>
      </c>
      <c r="K33" s="103">
        <f t="shared" si="4"/>
        <v>28.653984579142843</v>
      </c>
      <c r="L33" s="104"/>
      <c r="M33" s="109"/>
      <c r="N33" s="104"/>
      <c r="O33" s="108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CN33" s="174"/>
      <c r="CO33" s="174"/>
      <c r="CP33" s="174"/>
    </row>
    <row r="34" spans="2:97" ht="15" hidden="1" customHeight="1">
      <c r="B34" s="80">
        <v>7136</v>
      </c>
      <c r="C34" s="100" t="str">
        <f>IF(MasterSheet!$A$1=1,MasterSheet!C90,MasterSheet!B90)</f>
        <v>Ostale takse</v>
      </c>
      <c r="D34" s="401">
        <v>2960293.7122796113</v>
      </c>
      <c r="E34" s="102">
        <f t="shared" si="0"/>
        <v>8.0866875523249962E-2</v>
      </c>
      <c r="F34" s="401">
        <v>2084145.32</v>
      </c>
      <c r="G34" s="102">
        <f t="shared" si="1"/>
        <v>5.7973960268909212E-2</v>
      </c>
      <c r="H34" s="209">
        <f t="shared" si="2"/>
        <v>-876148.3922796112</v>
      </c>
      <c r="I34" s="102">
        <f t="shared" si="3"/>
        <v>-2.4371521312000863E-2</v>
      </c>
      <c r="K34" s="103">
        <f t="shared" si="4"/>
        <v>-29.596671054809704</v>
      </c>
      <c r="L34" s="104"/>
      <c r="M34" s="104"/>
      <c r="N34" s="104"/>
      <c r="O34" s="108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CN34" s="174"/>
      <c r="CO34" s="174"/>
      <c r="CP34" s="174"/>
    </row>
    <row r="35" spans="2:97" ht="15" customHeight="1">
      <c r="B35" s="80">
        <v>714</v>
      </c>
      <c r="C35" s="94" t="str">
        <f>IF(MasterSheet!$A$1=1,MasterSheet!C91,MasterSheet!B91)</f>
        <v>Naknade</v>
      </c>
      <c r="D35" s="399">
        <f>SUM(D36:D41)</f>
        <v>13478728.643637203</v>
      </c>
      <c r="E35" s="98">
        <f t="shared" si="0"/>
        <v>0.36820085348805426</v>
      </c>
      <c r="F35" s="399">
        <f>SUM(F36:F41)</f>
        <v>29630001.300000001</v>
      </c>
      <c r="G35" s="98">
        <f t="shared" si="1"/>
        <v>0.82420765080523672</v>
      </c>
      <c r="H35" s="207">
        <f t="shared" si="2"/>
        <v>16151272.656362798</v>
      </c>
      <c r="I35" s="98">
        <f t="shared" si="3"/>
        <v>0.44927444851700482</v>
      </c>
      <c r="K35" s="373">
        <f t="shared" si="4"/>
        <v>119.8278642102288</v>
      </c>
      <c r="L35" s="104"/>
      <c r="M35" s="104"/>
      <c r="N35" s="104"/>
      <c r="O35" s="108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CN35" s="174"/>
      <c r="CO35" s="174"/>
      <c r="CP35" s="174"/>
    </row>
    <row r="36" spans="2:97" ht="13.5" hidden="1" customHeight="1">
      <c r="B36" s="80">
        <v>7141</v>
      </c>
      <c r="C36" s="100" t="str">
        <f>IF(MasterSheet!$A$1=1,MasterSheet!C92,MasterSheet!B92)</f>
        <v>Naknade za korišćenje dobara od opšteg interesa</v>
      </c>
      <c r="D36" s="400">
        <v>712624.51469720772</v>
      </c>
      <c r="E36" s="102">
        <f t="shared" si="0"/>
        <v>1.9466891979599738E-2</v>
      </c>
      <c r="F36" s="400">
        <v>589070.87</v>
      </c>
      <c r="G36" s="102">
        <f t="shared" si="1"/>
        <v>1.6385983686085664E-2</v>
      </c>
      <c r="H36" s="211">
        <f t="shared" si="2"/>
        <v>-123553.64469720772</v>
      </c>
      <c r="I36" s="102">
        <f t="shared" si="3"/>
        <v>-3.4368496380832243E-3</v>
      </c>
      <c r="K36" s="103">
        <f t="shared" si="4"/>
        <v>-17.337832497904643</v>
      </c>
      <c r="L36" s="105"/>
      <c r="M36" s="105"/>
      <c r="N36" s="105"/>
      <c r="O36" s="170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CN36" s="174"/>
      <c r="CO36" s="174"/>
      <c r="CP36" s="174"/>
    </row>
    <row r="37" spans="2:97" ht="15" hidden="1" customHeight="1">
      <c r="B37" s="80">
        <v>7142</v>
      </c>
      <c r="C37" s="100" t="str">
        <f>IF(MasterSheet!$A$1=1,MasterSheet!C93,MasterSheet!B93)</f>
        <v>Naknade za korišćenje prirodnih dobara</v>
      </c>
      <c r="D37" s="400">
        <v>2037925.0827205495</v>
      </c>
      <c r="E37" s="102">
        <f t="shared" si="0"/>
        <v>5.5670365851354923E-2</v>
      </c>
      <c r="F37" s="400">
        <v>2017461.78</v>
      </c>
      <c r="G37" s="102">
        <f t="shared" si="1"/>
        <v>5.6119046956746209E-2</v>
      </c>
      <c r="H37" s="211">
        <f t="shared" si="2"/>
        <v>-20463.302720549516</v>
      </c>
      <c r="I37" s="102">
        <f t="shared" si="3"/>
        <v>-5.6922071964338812E-4</v>
      </c>
      <c r="K37" s="103">
        <f t="shared" si="4"/>
        <v>-1.0041243858303091</v>
      </c>
      <c r="L37" s="110"/>
      <c r="M37" s="110"/>
      <c r="N37" s="110"/>
      <c r="O37" s="110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CN37" s="174"/>
      <c r="CO37" s="174"/>
      <c r="CP37" s="174"/>
    </row>
    <row r="38" spans="2:97" ht="15" hidden="1" customHeight="1">
      <c r="B38" s="80">
        <v>7143</v>
      </c>
      <c r="C38" s="100" t="str">
        <f>IF(MasterSheet!$A$1=1,MasterSheet!C94,MasterSheet!B94)</f>
        <v>Ekološke naknade</v>
      </c>
      <c r="D38" s="400">
        <v>432861.35859564133</v>
      </c>
      <c r="E38" s="102">
        <f t="shared" si="0"/>
        <v>1.1824551550130884E-2</v>
      </c>
      <c r="F38" s="400">
        <v>99518.2</v>
      </c>
      <c r="G38" s="102">
        <f t="shared" si="1"/>
        <v>2.7682638621539884E-3</v>
      </c>
      <c r="H38" s="211">
        <f t="shared" si="2"/>
        <v>-333343.15859564132</v>
      </c>
      <c r="I38" s="102">
        <f t="shared" si="3"/>
        <v>-9.2724930679672635E-3</v>
      </c>
      <c r="K38" s="103">
        <f t="shared" si="4"/>
        <v>-77.00922061445425</v>
      </c>
      <c r="L38" s="110"/>
      <c r="M38" s="110"/>
      <c r="N38" s="110"/>
      <c r="O38" s="110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CN38" s="174"/>
      <c r="CO38" s="174"/>
      <c r="CP38" s="174"/>
      <c r="CQ38" s="81"/>
      <c r="CR38" s="81"/>
    </row>
    <row r="39" spans="2:97" ht="15" hidden="1" customHeight="1">
      <c r="B39" s="80">
        <v>7144</v>
      </c>
      <c r="C39" s="100" t="str">
        <f>IF(MasterSheet!$A$1=1,MasterSheet!C95,MasterSheet!B95)</f>
        <v>Naknade za priređivanje igara na sreću</v>
      </c>
      <c r="D39" s="400">
        <v>3739669.912655978</v>
      </c>
      <c r="E39" s="102">
        <f t="shared" si="0"/>
        <v>0.10215723530078887</v>
      </c>
      <c r="F39" s="400">
        <v>6224101.3200000003</v>
      </c>
      <c r="G39" s="102">
        <f t="shared" si="1"/>
        <v>0.17313370577985676</v>
      </c>
      <c r="H39" s="211">
        <f t="shared" si="2"/>
        <v>2484431.4073440223</v>
      </c>
      <c r="I39" s="102">
        <f t="shared" si="3"/>
        <v>6.9108581977475797E-2</v>
      </c>
      <c r="K39" s="103">
        <f t="shared" si="4"/>
        <v>66.434510675289431</v>
      </c>
      <c r="L39" s="110"/>
      <c r="M39" s="110"/>
      <c r="N39" s="110"/>
      <c r="O39" s="110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CN39" s="174"/>
      <c r="CO39" s="174"/>
      <c r="CP39" s="174"/>
      <c r="CQ39" s="81"/>
      <c r="CR39" s="81"/>
    </row>
    <row r="40" spans="2:97" ht="15" hidden="1" customHeight="1">
      <c r="B40" s="80">
        <v>7148</v>
      </c>
      <c r="C40" s="100" t="str">
        <f>IF(MasterSheet!$A$1=1,MasterSheet!C96,MasterSheet!B96)</f>
        <v>Naknada za puteve</v>
      </c>
      <c r="D40" s="400">
        <v>3422867.0579243503</v>
      </c>
      <c r="E40" s="102">
        <f t="shared" si="0"/>
        <v>9.3503074765054511E-2</v>
      </c>
      <c r="F40" s="400">
        <v>15360647.609999999</v>
      </c>
      <c r="G40" s="102">
        <f t="shared" si="1"/>
        <v>0.42728190097936891</v>
      </c>
      <c r="H40" s="211">
        <f t="shared" si="2"/>
        <v>11937780.552075649</v>
      </c>
      <c r="I40" s="102">
        <f t="shared" si="3"/>
        <v>0.3320691742478834</v>
      </c>
      <c r="K40" s="103">
        <f t="shared" si="4"/>
        <v>348.76553339803974</v>
      </c>
      <c r="L40" s="107"/>
      <c r="M40" s="107"/>
      <c r="N40" s="107"/>
      <c r="O40" s="108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CN40" s="174"/>
      <c r="CO40" s="174"/>
      <c r="CP40" s="174"/>
      <c r="CQ40" s="81"/>
      <c r="CR40" s="81"/>
    </row>
    <row r="41" spans="2:97" ht="15" hidden="1" customHeight="1">
      <c r="B41" s="80">
        <v>7149</v>
      </c>
      <c r="C41" s="100" t="str">
        <f>IF(MasterSheet!$A$1=1,MasterSheet!C97,MasterSheet!B97)</f>
        <v>Ostale naknade</v>
      </c>
      <c r="D41" s="400">
        <v>3132780.7170434766</v>
      </c>
      <c r="E41" s="102">
        <f t="shared" si="0"/>
        <v>8.5578734041125371E-2</v>
      </c>
      <c r="F41" s="400">
        <v>5339201.5199999996</v>
      </c>
      <c r="G41" s="102">
        <f t="shared" si="1"/>
        <v>0.14851874954102509</v>
      </c>
      <c r="H41" s="211">
        <f t="shared" si="2"/>
        <v>2206420.8029565229</v>
      </c>
      <c r="I41" s="102">
        <f t="shared" si="3"/>
        <v>6.1375255717339428E-2</v>
      </c>
      <c r="K41" s="103">
        <f t="shared" si="4"/>
        <v>70.430106740404256</v>
      </c>
      <c r="L41" s="107"/>
      <c r="M41" s="107"/>
      <c r="N41" s="107"/>
      <c r="O41" s="108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CN41" s="81"/>
      <c r="CO41" s="81"/>
      <c r="CP41" s="81"/>
      <c r="CQ41" s="81"/>
      <c r="CR41" s="81"/>
    </row>
    <row r="42" spans="2:97" ht="15" customHeight="1">
      <c r="B42" s="80">
        <v>715</v>
      </c>
      <c r="C42" s="94" t="str">
        <f>IF(MasterSheet!$A$1=1,MasterSheet!C98,MasterSheet!B98)</f>
        <v>Ostali prihodi</v>
      </c>
      <c r="D42" s="399">
        <f>SUM(D43:D46)</f>
        <v>36966986.333032981</v>
      </c>
      <c r="E42" s="98">
        <f t="shared" si="0"/>
        <v>1.0098338113757745</v>
      </c>
      <c r="F42" s="399">
        <f>SUM(F43:F46)</f>
        <v>26569763.280000001</v>
      </c>
      <c r="G42" s="98">
        <f t="shared" si="1"/>
        <v>0.73908205246889547</v>
      </c>
      <c r="H42" s="207">
        <f t="shared" si="2"/>
        <v>-10397223.053032979</v>
      </c>
      <c r="I42" s="98">
        <f t="shared" si="3"/>
        <v>-0.28921601118655244</v>
      </c>
      <c r="K42" s="103">
        <f t="shared" si="4"/>
        <v>-28.125698317317855</v>
      </c>
      <c r="L42" s="107"/>
      <c r="M42" s="107"/>
      <c r="N42" s="107"/>
      <c r="O42" s="108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CN42" s="81"/>
      <c r="CO42" s="81"/>
      <c r="CP42" s="81"/>
      <c r="CQ42" s="81"/>
      <c r="CR42" s="81"/>
    </row>
    <row r="43" spans="2:97" ht="15" hidden="1" customHeight="1">
      <c r="B43" s="80">
        <v>7151</v>
      </c>
      <c r="C43" s="100" t="str">
        <f>IF(MasterSheet!$A$1=1,MasterSheet!C99,MasterSheet!B99)</f>
        <v>Prihodi od kapitala</v>
      </c>
      <c r="D43" s="400">
        <v>6664278.8772892393</v>
      </c>
      <c r="E43" s="102">
        <f t="shared" si="0"/>
        <v>0.1820493041573808</v>
      </c>
      <c r="F43" s="400">
        <v>1888467.47</v>
      </c>
      <c r="G43" s="102">
        <f t="shared" si="1"/>
        <v>5.2530856185646159E-2</v>
      </c>
      <c r="H43" s="211">
        <f t="shared" si="2"/>
        <v>-4775811.4072892396</v>
      </c>
      <c r="I43" s="102">
        <f t="shared" si="3"/>
        <v>-0.13284711873066019</v>
      </c>
      <c r="K43" s="103">
        <f t="shared" si="4"/>
        <v>-71.662838474008268</v>
      </c>
      <c r="L43" s="107"/>
      <c r="M43" s="107"/>
      <c r="N43" s="107"/>
      <c r="O43" s="108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CN43" s="171"/>
      <c r="CO43" s="171"/>
      <c r="CP43" s="171"/>
      <c r="CQ43" s="171"/>
      <c r="CR43" s="171"/>
      <c r="CS43" s="176"/>
    </row>
    <row r="44" spans="2:97" ht="15" hidden="1" customHeight="1">
      <c r="B44" s="80">
        <v>7152</v>
      </c>
      <c r="C44" s="100" t="str">
        <f>IF(MasterSheet!$A$1=1,MasterSheet!C100,MasterSheet!B100)</f>
        <v>Novčane kazne i oduzete imovinske koristi</v>
      </c>
      <c r="D44" s="400">
        <v>12672555.367611162</v>
      </c>
      <c r="E44" s="102">
        <f t="shared" si="0"/>
        <v>0.34617847317756612</v>
      </c>
      <c r="F44" s="400">
        <v>12627752.640000001</v>
      </c>
      <c r="G44" s="102">
        <f t="shared" si="1"/>
        <v>0.35126189273451114</v>
      </c>
      <c r="H44" s="211">
        <f t="shared" si="2"/>
        <v>-44802.727611161768</v>
      </c>
      <c r="I44" s="102">
        <f t="shared" si="3"/>
        <v>-1.2462622090422437E-3</v>
      </c>
      <c r="K44" s="103">
        <f t="shared" si="4"/>
        <v>-0.35354138381332234</v>
      </c>
      <c r="L44" s="107"/>
      <c r="M44" s="107"/>
      <c r="N44" s="107"/>
      <c r="O44" s="108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CN44" s="171"/>
      <c r="CO44" s="171"/>
      <c r="CP44" s="173"/>
      <c r="CQ44" s="173"/>
      <c r="CR44" s="240"/>
      <c r="CS44" s="176"/>
    </row>
    <row r="45" spans="2:97" ht="15" hidden="1" customHeight="1">
      <c r="B45" s="80">
        <v>7153</v>
      </c>
      <c r="C45" s="100" t="str">
        <f>IF(MasterSheet!$A$1=1,MasterSheet!C101,MasterSheet!B101)</f>
        <v>Prihodi koje organi ostvaruju vršenjem svoje djelatnosti</v>
      </c>
      <c r="D45" s="400">
        <v>2264609.4503490212</v>
      </c>
      <c r="E45" s="102">
        <f t="shared" si="0"/>
        <v>6.1862743473899008E-2</v>
      </c>
      <c r="F45" s="400">
        <v>2068334.62</v>
      </c>
      <c r="G45" s="102">
        <f t="shared" si="1"/>
        <v>5.7534159413936373E-2</v>
      </c>
      <c r="H45" s="211">
        <f t="shared" si="2"/>
        <v>-196274.83034902113</v>
      </c>
      <c r="I45" s="102">
        <f t="shared" si="3"/>
        <v>-5.4597100822321963E-3</v>
      </c>
      <c r="K45" s="103">
        <f t="shared" si="4"/>
        <v>-8.6670498667561162</v>
      </c>
      <c r="L45" s="107"/>
      <c r="M45" s="107"/>
      <c r="N45" s="107"/>
      <c r="O45" s="108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CN45" s="81"/>
      <c r="CO45" s="81"/>
      <c r="CP45" s="179"/>
      <c r="CQ45" s="179"/>
      <c r="CR45" s="179"/>
      <c r="CS45" s="176"/>
    </row>
    <row r="46" spans="2:97" ht="15" hidden="1" customHeight="1">
      <c r="B46" s="80">
        <v>7155</v>
      </c>
      <c r="C46" s="100" t="str">
        <f>IF(MasterSheet!$A$1=1,MasterSheet!C102,MasterSheet!B102)</f>
        <v>Ostali prihodi</v>
      </c>
      <c r="D46" s="400">
        <v>15365542.637783559</v>
      </c>
      <c r="E46" s="102">
        <f t="shared" si="0"/>
        <v>0.41974329056692872</v>
      </c>
      <c r="F46" s="400">
        <v>9985208.5500000007</v>
      </c>
      <c r="G46" s="102">
        <f t="shared" si="1"/>
        <v>0.27775514413480179</v>
      </c>
      <c r="H46" s="211">
        <f t="shared" si="2"/>
        <v>-5380334.0877835583</v>
      </c>
      <c r="I46" s="102">
        <f t="shared" si="3"/>
        <v>-0.14966292016461782</v>
      </c>
      <c r="K46" s="103">
        <f t="shared" si="4"/>
        <v>-35.015581386324911</v>
      </c>
      <c r="L46" s="107"/>
      <c r="M46" s="107"/>
      <c r="N46" s="107"/>
      <c r="O46" s="108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CM46" s="106"/>
      <c r="CN46" s="106"/>
      <c r="CO46" s="103"/>
      <c r="CP46" s="179"/>
      <c r="CQ46" s="179"/>
      <c r="CR46" s="179"/>
      <c r="CS46" s="176"/>
    </row>
    <row r="47" spans="2:97">
      <c r="B47" s="80">
        <v>73</v>
      </c>
      <c r="C47" s="111" t="str">
        <f>IF(MasterSheet!$A$1=1,MasterSheet!C103,MasterSheet!B103)</f>
        <v>Primici od otplate kredita i sredstva prenijeta iz prethodne godine</v>
      </c>
      <c r="D47" s="402">
        <v>5073747.8792982856</v>
      </c>
      <c r="E47" s="98">
        <f t="shared" si="0"/>
        <v>0.13860048294856955</v>
      </c>
      <c r="F47" s="399">
        <v>7929787.8700000001</v>
      </c>
      <c r="G47" s="98">
        <f t="shared" si="1"/>
        <v>0.22058020738988499</v>
      </c>
      <c r="H47" s="207">
        <f t="shared" si="2"/>
        <v>2856039.9907017145</v>
      </c>
      <c r="I47" s="98">
        <f t="shared" si="3"/>
        <v>7.9445491328482332E-2</v>
      </c>
      <c r="K47" s="103">
        <f t="shared" si="4"/>
        <v>56.290538249935935</v>
      </c>
      <c r="L47" s="107"/>
      <c r="M47" s="107"/>
      <c r="N47" s="107"/>
      <c r="O47" s="108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CM47" s="106"/>
      <c r="CN47" s="106"/>
      <c r="CO47" s="103"/>
      <c r="CP47" s="179"/>
      <c r="CQ47" s="179"/>
      <c r="CR47" s="179"/>
      <c r="CS47" s="176"/>
    </row>
    <row r="48" spans="2:97" ht="13.5" customHeight="1" thickBot="1">
      <c r="B48" s="80">
        <v>74</v>
      </c>
      <c r="C48" s="94" t="s">
        <v>123</v>
      </c>
      <c r="D48" s="403">
        <v>6592119.81022075</v>
      </c>
      <c r="E48" s="98">
        <f t="shared" ref="E48:E79" si="5">D48/D$11*100</f>
        <v>0.18007812194992079</v>
      </c>
      <c r="F48" s="434">
        <v>6598063.9000000004</v>
      </c>
      <c r="G48" s="98">
        <f t="shared" ref="G48:G69" si="6">F48/F$11*100</f>
        <v>0.1835360954534227</v>
      </c>
      <c r="H48" s="207">
        <f t="shared" si="2"/>
        <v>5944.0897792503238</v>
      </c>
      <c r="I48" s="98">
        <f>H48/H$11*100</f>
        <v>1.6534472015468076E-4</v>
      </c>
      <c r="K48" s="103">
        <f t="shared" si="4"/>
        <v>9.0169626013690163E-2</v>
      </c>
      <c r="L48" s="107"/>
      <c r="M48" s="107"/>
      <c r="N48" s="107"/>
      <c r="O48" s="108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CN48" s="225"/>
      <c r="CO48" s="225"/>
      <c r="CP48" s="179"/>
      <c r="CQ48" s="179"/>
      <c r="CR48" s="179"/>
      <c r="CS48" s="176"/>
    </row>
    <row r="49" spans="1:97" ht="15" customHeight="1" thickTop="1" thickBot="1">
      <c r="B49" s="112"/>
      <c r="C49" s="90" t="str">
        <f>IF(MasterSheet!$A$1=1,MasterSheet!C104,MasterSheet!B104)</f>
        <v>Izdaci</v>
      </c>
      <c r="D49" s="404">
        <f>+D51+D61+D67+D70+SUM(D73:D76)</f>
        <v>1564731816.1099999</v>
      </c>
      <c r="E49" s="92">
        <f t="shared" si="5"/>
        <v>42.744060319337827</v>
      </c>
      <c r="F49" s="404">
        <f>+F51+F61+F67+F70+SUM(F73:F76)</f>
        <v>1617955701.4000001</v>
      </c>
      <c r="G49" s="92">
        <f t="shared" si="6"/>
        <v>45.00612248565217</v>
      </c>
      <c r="H49" s="91">
        <f t="shared" si="2"/>
        <v>53223885.2900002</v>
      </c>
      <c r="I49" s="92">
        <f t="shared" ref="I49:I70" si="7">H49/H$11*100</f>
        <v>1.4805106829880044</v>
      </c>
      <c r="K49" s="103">
        <f t="shared" si="4"/>
        <v>3.4014701268309011</v>
      </c>
      <c r="L49" s="113"/>
      <c r="M49" s="103">
        <f>+F49+F83+F84</f>
        <v>2159698670.1599998</v>
      </c>
      <c r="N49" s="113"/>
      <c r="O49" s="108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CN49" s="81"/>
      <c r="CO49" s="81"/>
      <c r="CP49" s="179"/>
      <c r="CQ49" s="179"/>
      <c r="CR49" s="179"/>
      <c r="CS49" s="176"/>
    </row>
    <row r="50" spans="1:97" ht="13.5" customHeight="1" thickTop="1" thickBot="1">
      <c r="C50" s="90" t="str">
        <f>IF(MasterSheet!$A$1=1,MasterSheet!C105,MasterSheet!B105)</f>
        <v>Tekuća budžetska potrošnja</v>
      </c>
      <c r="D50" s="404">
        <f>+D49-D71</f>
        <v>1302871539.1099999</v>
      </c>
      <c r="E50" s="92">
        <f t="shared" si="5"/>
        <v>35.590776056765094</v>
      </c>
      <c r="F50" s="404">
        <f>+F49-F71</f>
        <v>1389952592.8300002</v>
      </c>
      <c r="G50" s="92">
        <f t="shared" si="6"/>
        <v>38.663837698416238</v>
      </c>
      <c r="H50" s="91">
        <f t="shared" si="2"/>
        <v>87081053.720000267</v>
      </c>
      <c r="I50" s="92">
        <f t="shared" si="7"/>
        <v>2.4223040015933459</v>
      </c>
      <c r="K50" s="103">
        <f t="shared" si="4"/>
        <v>6.6837789533330323</v>
      </c>
      <c r="L50" s="107"/>
      <c r="M50" s="107"/>
      <c r="N50" s="107"/>
      <c r="O50" s="108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CN50" s="225"/>
      <c r="CO50" s="225"/>
      <c r="CP50" s="179"/>
      <c r="CQ50" s="179"/>
      <c r="CR50" s="179"/>
      <c r="CS50" s="176"/>
    </row>
    <row r="51" spans="1:97" ht="13.5" customHeight="1" thickTop="1">
      <c r="A51" s="80">
        <v>41</v>
      </c>
      <c r="C51" s="94" t="s">
        <v>63</v>
      </c>
      <c r="D51" s="405">
        <f>+SUM(D52:D60)</f>
        <v>633144123.38999987</v>
      </c>
      <c r="E51" s="98">
        <f t="shared" si="5"/>
        <v>17.295711841724255</v>
      </c>
      <c r="F51" s="405">
        <f>+SUM(F52:F60)</f>
        <v>641171576.11000001</v>
      </c>
      <c r="G51" s="98">
        <f t="shared" si="6"/>
        <v>17.835251276506494</v>
      </c>
      <c r="H51" s="95">
        <f t="shared" si="2"/>
        <v>8027452.7200001478</v>
      </c>
      <c r="I51" s="98">
        <f t="shared" si="7"/>
        <v>0.2232969172465554</v>
      </c>
      <c r="K51" s="103">
        <f t="shared" si="4"/>
        <v>1.2678713145151335</v>
      </c>
      <c r="L51" s="107"/>
      <c r="M51" s="107"/>
      <c r="N51" s="107"/>
      <c r="O51" s="108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CN51" s="225"/>
      <c r="CO51" s="225"/>
      <c r="CP51" s="179"/>
      <c r="CQ51" s="179"/>
      <c r="CR51" s="179"/>
      <c r="CS51" s="176"/>
    </row>
    <row r="52" spans="1:97" ht="13.5" customHeight="1">
      <c r="B52" s="80">
        <v>411</v>
      </c>
      <c r="C52" s="94" t="s">
        <v>64</v>
      </c>
      <c r="D52" s="406">
        <v>385047204.04999989</v>
      </c>
      <c r="E52" s="98">
        <f t="shared" si="5"/>
        <v>10.518403694648562</v>
      </c>
      <c r="F52" s="435">
        <v>382177081.81999993</v>
      </c>
      <c r="G52" s="98">
        <f t="shared" si="6"/>
        <v>10.630889671896938</v>
      </c>
      <c r="H52" s="207">
        <f t="shared" si="2"/>
        <v>-2870122.2299999595</v>
      </c>
      <c r="I52" s="98">
        <f t="shared" si="7"/>
        <v>-7.9837212181025241E-2</v>
      </c>
      <c r="K52" s="103">
        <f t="shared" si="4"/>
        <v>-0.74539490218640481</v>
      </c>
      <c r="L52" s="107"/>
      <c r="M52" s="107"/>
      <c r="N52" s="107"/>
      <c r="O52" s="108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CN52" s="225"/>
      <c r="CO52" s="225"/>
      <c r="CP52" s="179"/>
      <c r="CQ52" s="179"/>
      <c r="CR52" s="179"/>
      <c r="CS52" s="176"/>
    </row>
    <row r="53" spans="1:97" ht="13.5" customHeight="1">
      <c r="B53" s="80">
        <v>412</v>
      </c>
      <c r="C53" s="94" t="s">
        <v>75</v>
      </c>
      <c r="D53" s="406">
        <v>15842220.070000002</v>
      </c>
      <c r="E53" s="98">
        <f t="shared" si="5"/>
        <v>0.43276477367716565</v>
      </c>
      <c r="F53" s="435">
        <v>14740493.810000001</v>
      </c>
      <c r="G53" s="98">
        <f t="shared" si="6"/>
        <v>0.41003129401986332</v>
      </c>
      <c r="H53" s="207">
        <f t="shared" si="2"/>
        <v>-1101726.2600000016</v>
      </c>
      <c r="I53" s="98">
        <f t="shared" si="7"/>
        <v>-3.0646344000836774E-2</v>
      </c>
      <c r="K53" s="103">
        <f t="shared" si="4"/>
        <v>-6.9543678545806387</v>
      </c>
      <c r="L53" s="107"/>
      <c r="M53" s="107"/>
      <c r="N53" s="107"/>
      <c r="O53" s="108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CN53" s="225"/>
      <c r="CO53" s="225"/>
      <c r="CP53" s="179"/>
      <c r="CQ53" s="179"/>
      <c r="CR53" s="179"/>
      <c r="CS53" s="176"/>
    </row>
    <row r="54" spans="1:97" ht="13.5" customHeight="1">
      <c r="B54" s="80">
        <v>413</v>
      </c>
      <c r="C54" s="94" t="s">
        <v>448</v>
      </c>
      <c r="D54" s="406">
        <v>27457601.48</v>
      </c>
      <c r="E54" s="98">
        <f t="shared" si="5"/>
        <v>0.75006423580189585</v>
      </c>
      <c r="F54" s="435">
        <v>25584905.469999999</v>
      </c>
      <c r="G54" s="98">
        <f t="shared" si="6"/>
        <v>0.71168659832298919</v>
      </c>
      <c r="H54" s="207">
        <f t="shared" si="2"/>
        <v>-1872696.0100000016</v>
      </c>
      <c r="I54" s="98">
        <f t="shared" si="7"/>
        <v>-5.2092146856383748E-2</v>
      </c>
      <c r="K54" s="103">
        <f t="shared" si="4"/>
        <v>-6.8203189975062628</v>
      </c>
      <c r="L54" s="107"/>
      <c r="M54" s="107"/>
      <c r="N54" s="107"/>
      <c r="O54" s="108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CN54" s="225"/>
      <c r="CO54" s="225"/>
      <c r="CP54" s="179"/>
      <c r="CQ54" s="179"/>
      <c r="CR54" s="179"/>
      <c r="CS54" s="176"/>
    </row>
    <row r="55" spans="1:97" ht="13.5" customHeight="1">
      <c r="B55" s="80">
        <v>414</v>
      </c>
      <c r="C55" s="94" t="s">
        <v>449</v>
      </c>
      <c r="D55" s="406">
        <v>55769867.960000001</v>
      </c>
      <c r="E55" s="98">
        <f t="shared" si="5"/>
        <v>1.5234755090556451</v>
      </c>
      <c r="F55" s="435">
        <v>58461656.090000004</v>
      </c>
      <c r="G55" s="98">
        <f t="shared" si="6"/>
        <v>1.6262079687496525</v>
      </c>
      <c r="H55" s="207">
        <f t="shared" si="2"/>
        <v>2691788.1300000027</v>
      </c>
      <c r="I55" s="98">
        <f t="shared" si="7"/>
        <v>7.4876553282254607E-2</v>
      </c>
      <c r="K55" s="103">
        <f t="shared" si="4"/>
        <v>4.8265994316691661</v>
      </c>
      <c r="L55" s="107"/>
      <c r="M55" s="107"/>
      <c r="N55" s="107"/>
      <c r="O55" s="108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CN55" s="225"/>
      <c r="CO55" s="225"/>
      <c r="CP55" s="179"/>
      <c r="CQ55" s="179"/>
      <c r="CR55" s="179"/>
      <c r="CS55" s="176"/>
    </row>
    <row r="56" spans="1:97" ht="13.5" customHeight="1">
      <c r="B56" s="80">
        <v>415</v>
      </c>
      <c r="C56" s="94" t="s">
        <v>450</v>
      </c>
      <c r="D56" s="406">
        <v>20966646.489999998</v>
      </c>
      <c r="E56" s="98">
        <f t="shared" si="5"/>
        <v>0.572749651432786</v>
      </c>
      <c r="F56" s="435">
        <v>20121139.949999999</v>
      </c>
      <c r="G56" s="98">
        <f t="shared" si="6"/>
        <v>0.55970289443466537</v>
      </c>
      <c r="H56" s="207">
        <f t="shared" si="2"/>
        <v>-845506.53999999911</v>
      </c>
      <c r="I56" s="98">
        <f t="shared" si="7"/>
        <v>-2.3519167347247572E-2</v>
      </c>
      <c r="K56" s="103">
        <f t="shared" si="4"/>
        <v>-4.0326264879949321</v>
      </c>
      <c r="L56" s="107"/>
      <c r="M56" s="107"/>
      <c r="N56" s="107"/>
      <c r="O56" s="108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CN56" s="225"/>
      <c r="CO56" s="225"/>
      <c r="CP56" s="179"/>
      <c r="CQ56" s="179"/>
      <c r="CR56" s="179"/>
      <c r="CS56" s="176"/>
    </row>
    <row r="57" spans="1:97" ht="13.5" customHeight="1">
      <c r="B57" s="80">
        <v>416</v>
      </c>
      <c r="C57" s="94" t="s">
        <v>80</v>
      </c>
      <c r="D57" s="406">
        <v>62935837.909999996</v>
      </c>
      <c r="E57" s="98">
        <f t="shared" si="5"/>
        <v>1.719229598437457</v>
      </c>
      <c r="F57" s="435">
        <v>81802749.749999985</v>
      </c>
      <c r="G57" s="98">
        <f t="shared" si="6"/>
        <v>2.2754792184520136</v>
      </c>
      <c r="H57" s="207">
        <f t="shared" si="2"/>
        <v>18866911.839999989</v>
      </c>
      <c r="I57" s="98">
        <f t="shared" si="7"/>
        <v>0.52481445843189667</v>
      </c>
      <c r="K57" s="103">
        <f t="shared" si="4"/>
        <v>29.978010091770273</v>
      </c>
      <c r="L57" s="107"/>
      <c r="M57" s="107"/>
      <c r="N57" s="107"/>
      <c r="O57" s="108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CN57" s="225"/>
      <c r="CO57" s="225"/>
      <c r="CP57" s="179"/>
      <c r="CQ57" s="179"/>
      <c r="CR57" s="179"/>
      <c r="CS57" s="176"/>
    </row>
    <row r="58" spans="1:97" ht="13.5" customHeight="1">
      <c r="B58" s="80">
        <v>417</v>
      </c>
      <c r="C58" s="94" t="s">
        <v>82</v>
      </c>
      <c r="D58" s="406">
        <v>8436284.1400000006</v>
      </c>
      <c r="E58" s="98">
        <f t="shared" si="5"/>
        <v>0.23045549047996289</v>
      </c>
      <c r="F58" s="435">
        <v>7918742.3199999994</v>
      </c>
      <c r="G58" s="98">
        <f t="shared" si="6"/>
        <v>0.22027295708890871</v>
      </c>
      <c r="H58" s="207">
        <f t="shared" si="2"/>
        <v>-517541.82000000123</v>
      </c>
      <c r="I58" s="98">
        <f t="shared" si="7"/>
        <v>-1.4396284473185887E-2</v>
      </c>
      <c r="K58" s="103">
        <f t="shared" si="4"/>
        <v>-6.134713001736344</v>
      </c>
      <c r="L58" s="107"/>
      <c r="M58" s="107"/>
      <c r="N58" s="107"/>
      <c r="O58" s="108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CN58" s="225"/>
      <c r="CO58" s="225"/>
      <c r="CP58" s="179"/>
      <c r="CQ58" s="179"/>
      <c r="CR58" s="179"/>
      <c r="CS58" s="176"/>
    </row>
    <row r="59" spans="1:97" ht="13.5" customHeight="1">
      <c r="B59" s="80">
        <v>418</v>
      </c>
      <c r="C59" s="94" t="s">
        <v>84</v>
      </c>
      <c r="D59" s="406">
        <v>20601365.650000002</v>
      </c>
      <c r="E59" s="98">
        <f t="shared" si="5"/>
        <v>0.56277120905837685</v>
      </c>
      <c r="F59" s="435">
        <v>19618046.830000006</v>
      </c>
      <c r="G59" s="98">
        <f t="shared" si="6"/>
        <v>0.54570852452650498</v>
      </c>
      <c r="H59" s="207">
        <f t="shared" si="2"/>
        <v>-983318.81999999657</v>
      </c>
      <c r="I59" s="98">
        <f t="shared" si="7"/>
        <v>-2.7352644585431539E-2</v>
      </c>
      <c r="K59" s="103">
        <f t="shared" si="4"/>
        <v>-4.7730759052859071</v>
      </c>
      <c r="L59" s="107"/>
      <c r="M59" s="107"/>
      <c r="N59" s="107"/>
      <c r="O59" s="108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CN59" s="225"/>
      <c r="CO59" s="225"/>
      <c r="CP59" s="179"/>
      <c r="CQ59" s="179"/>
      <c r="CR59" s="179"/>
      <c r="CS59" s="176"/>
    </row>
    <row r="60" spans="1:97" ht="13.5" customHeight="1">
      <c r="B60" s="80">
        <v>419</v>
      </c>
      <c r="C60" s="94" t="s">
        <v>86</v>
      </c>
      <c r="D60" s="406">
        <v>36087095.640000001</v>
      </c>
      <c r="E60" s="98">
        <f t="shared" si="5"/>
        <v>0.98579767913240646</v>
      </c>
      <c r="F60" s="435">
        <v>30746760.07</v>
      </c>
      <c r="G60" s="98">
        <f t="shared" si="6"/>
        <v>0.85527214901495641</v>
      </c>
      <c r="H60" s="207">
        <f t="shared" si="2"/>
        <v>-5340335.57</v>
      </c>
      <c r="I60" s="98">
        <f t="shared" si="7"/>
        <v>-0.1485502950234884</v>
      </c>
      <c r="K60" s="103">
        <f t="shared" si="4"/>
        <v>-14.798463204893153</v>
      </c>
      <c r="L60" s="107"/>
      <c r="M60" s="107"/>
      <c r="N60" s="107"/>
      <c r="O60" s="108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CN60" s="225"/>
      <c r="CO60" s="225"/>
      <c r="CP60" s="179"/>
      <c r="CQ60" s="179"/>
      <c r="CR60" s="179"/>
      <c r="CS60" s="176"/>
    </row>
    <row r="61" spans="1:97" ht="13.5" customHeight="1">
      <c r="A61" s="80">
        <v>42</v>
      </c>
      <c r="B61" s="80" t="s">
        <v>447</v>
      </c>
      <c r="C61" s="94" t="s">
        <v>87</v>
      </c>
      <c r="D61" s="405">
        <f>+SUM(D62:D66)</f>
        <v>490549453.4799999</v>
      </c>
      <c r="E61" s="98">
        <f t="shared" si="5"/>
        <v>13.40042760892725</v>
      </c>
      <c r="F61" s="405">
        <f>+SUM(F62:F66)</f>
        <v>487041860.10000014</v>
      </c>
      <c r="G61" s="98">
        <f t="shared" si="6"/>
        <v>13.547877480411513</v>
      </c>
      <c r="H61" s="95">
        <f t="shared" si="2"/>
        <v>-3507593.3799997568</v>
      </c>
      <c r="I61" s="98">
        <f t="shared" si="7"/>
        <v>-9.7569529965211288E-2</v>
      </c>
      <c r="K61" s="103">
        <f t="shared" si="4"/>
        <v>-0.71503359245772913</v>
      </c>
      <c r="L61" s="107">
        <v>88409550</v>
      </c>
      <c r="M61" s="107">
        <v>2.5813851431054098</v>
      </c>
      <c r="N61" s="107">
        <v>67725837.019999981</v>
      </c>
      <c r="O61" s="108">
        <v>1.9774613657439304</v>
      </c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CN61" s="225"/>
      <c r="CO61" s="225"/>
      <c r="CP61" s="179"/>
      <c r="CQ61" s="179"/>
      <c r="CR61" s="179"/>
      <c r="CS61" s="176"/>
    </row>
    <row r="62" spans="1:97" ht="13.5" customHeight="1">
      <c r="B62" s="80">
        <v>421</v>
      </c>
      <c r="C62" s="100" t="s">
        <v>89</v>
      </c>
      <c r="D62" s="407">
        <v>60950573.380000003</v>
      </c>
      <c r="E62" s="102">
        <f t="shared" si="5"/>
        <v>1.6649977703717869</v>
      </c>
      <c r="F62" s="436">
        <v>60836104.649999991</v>
      </c>
      <c r="G62" s="102">
        <f t="shared" si="6"/>
        <v>1.6922571953352572</v>
      </c>
      <c r="H62" s="211">
        <f t="shared" si="2"/>
        <v>-114468.73000001162</v>
      </c>
      <c r="I62" s="102">
        <f t="shared" si="7"/>
        <v>-3.1841376613091308E-3</v>
      </c>
      <c r="J62" s="112">
        <f>+F62+'Local Government'!F55</f>
        <v>61653817.389999993</v>
      </c>
      <c r="K62" s="103">
        <f t="shared" si="4"/>
        <v>-0.18780582962911296</v>
      </c>
      <c r="L62" s="107">
        <v>390350</v>
      </c>
      <c r="M62" s="107">
        <v>1.1397452997003113E-2</v>
      </c>
      <c r="N62" s="107">
        <v>133737.07999999999</v>
      </c>
      <c r="O62" s="108">
        <v>3.9048599545444982E-3</v>
      </c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CN62" s="225"/>
      <c r="CO62" s="225"/>
      <c r="CP62" s="179"/>
      <c r="CQ62" s="179"/>
      <c r="CR62" s="179"/>
      <c r="CS62" s="176"/>
    </row>
    <row r="63" spans="1:97" ht="13.5" customHeight="1">
      <c r="B63" s="80">
        <v>422</v>
      </c>
      <c r="C63" s="100" t="s">
        <v>91</v>
      </c>
      <c r="D63" s="407">
        <v>17492421.32</v>
      </c>
      <c r="E63" s="102">
        <f t="shared" si="5"/>
        <v>0.47784361788728935</v>
      </c>
      <c r="F63" s="436">
        <v>16655316.650000002</v>
      </c>
      <c r="G63" s="102">
        <f t="shared" si="6"/>
        <v>0.46329526855315545</v>
      </c>
      <c r="H63" s="211">
        <f t="shared" si="2"/>
        <v>-837104.66999999806</v>
      </c>
      <c r="I63" s="102">
        <f t="shared" si="7"/>
        <v>-2.3285455392092449E-2</v>
      </c>
      <c r="K63" s="103">
        <f t="shared" si="4"/>
        <v>-4.7855277133240151</v>
      </c>
      <c r="L63" s="107">
        <v>7046550</v>
      </c>
      <c r="M63" s="107">
        <v>0.20574541415660894</v>
      </c>
      <c r="N63" s="107">
        <v>2243210.31</v>
      </c>
      <c r="O63" s="108">
        <v>6.5497333343455325E-2</v>
      </c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CN63" s="225"/>
      <c r="CO63" s="225"/>
      <c r="CP63" s="179"/>
      <c r="CQ63" s="179"/>
      <c r="CR63" s="179"/>
      <c r="CS63" s="176"/>
    </row>
    <row r="64" spans="1:97" ht="13.5" customHeight="1">
      <c r="B64" s="80">
        <v>423</v>
      </c>
      <c r="C64" s="100" t="s">
        <v>93</v>
      </c>
      <c r="D64" s="407">
        <v>389594819.96999991</v>
      </c>
      <c r="E64" s="102">
        <f t="shared" si="5"/>
        <v>10.642631736279943</v>
      </c>
      <c r="F64" s="436">
        <v>387038896.73000014</v>
      </c>
      <c r="G64" s="102">
        <f t="shared" si="6"/>
        <v>10.766129120759912</v>
      </c>
      <c r="H64" s="211">
        <f t="shared" si="2"/>
        <v>-2555923.2399997711</v>
      </c>
      <c r="I64" s="102">
        <f t="shared" si="7"/>
        <v>-7.1097245928191055E-2</v>
      </c>
      <c r="K64" s="103"/>
      <c r="L64" s="107">
        <v>5974050</v>
      </c>
      <c r="M64" s="107">
        <v>0.17443052152362357</v>
      </c>
      <c r="N64" s="107">
        <v>5049589.919999999</v>
      </c>
      <c r="O64" s="108">
        <v>0.14743810366937546</v>
      </c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CN64" s="225"/>
      <c r="CO64" s="225"/>
      <c r="CP64" s="179"/>
      <c r="CQ64" s="179"/>
      <c r="CR64" s="179"/>
      <c r="CS64" s="176"/>
    </row>
    <row r="65" spans="1:97" ht="13.5" customHeight="1">
      <c r="B65" s="80">
        <v>424</v>
      </c>
      <c r="C65" s="100" t="s">
        <v>95</v>
      </c>
      <c r="D65" s="407">
        <v>14450000</v>
      </c>
      <c r="E65" s="102">
        <f t="shared" si="5"/>
        <v>0.39473324773950336</v>
      </c>
      <c r="F65" s="436">
        <v>14449999.999999998</v>
      </c>
      <c r="G65" s="102">
        <f t="shared" si="6"/>
        <v>0.40195072668240711</v>
      </c>
      <c r="H65" s="211">
        <f t="shared" si="2"/>
        <v>0</v>
      </c>
      <c r="I65" s="102">
        <f t="shared" si="7"/>
        <v>0</v>
      </c>
      <c r="K65" s="103"/>
      <c r="L65" s="107"/>
      <c r="M65" s="107"/>
      <c r="N65" s="107"/>
      <c r="O65" s="108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CN65" s="225"/>
      <c r="CO65" s="225"/>
      <c r="CP65" s="179"/>
      <c r="CQ65" s="179"/>
      <c r="CR65" s="179"/>
      <c r="CS65" s="176"/>
    </row>
    <row r="66" spans="1:97" ht="13.5" customHeight="1">
      <c r="B66" s="80">
        <v>425</v>
      </c>
      <c r="C66" s="100" t="s">
        <v>451</v>
      </c>
      <c r="D66" s="407">
        <v>8061638.8099999996</v>
      </c>
      <c r="E66" s="102">
        <f t="shared" si="5"/>
        <v>0.22022123664872839</v>
      </c>
      <c r="F66" s="436">
        <v>8061542.0699999994</v>
      </c>
      <c r="G66" s="102">
        <f t="shared" si="6"/>
        <v>0.22424516908078179</v>
      </c>
      <c r="H66" s="211">
        <f t="shared" si="2"/>
        <v>-96.740000000223517</v>
      </c>
      <c r="I66" s="102">
        <f t="shared" si="7"/>
        <v>-2.6909836193318973E-6</v>
      </c>
      <c r="K66" s="103"/>
      <c r="L66" s="81"/>
      <c r="M66" s="81"/>
      <c r="N66" s="81"/>
      <c r="O66" s="108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CN66" s="225"/>
      <c r="CO66" s="225"/>
      <c r="CP66" s="179"/>
      <c r="CQ66" s="179"/>
      <c r="CR66" s="179"/>
      <c r="CS66" s="176"/>
    </row>
    <row r="67" spans="1:97" ht="13.5" customHeight="1">
      <c r="A67" s="80">
        <v>43</v>
      </c>
      <c r="C67" s="94" t="s">
        <v>452</v>
      </c>
      <c r="D67" s="405">
        <f>+SUM(D68:D69)</f>
        <v>135753126.91000003</v>
      </c>
      <c r="E67" s="98">
        <f t="shared" si="5"/>
        <v>3.7083925727319915</v>
      </c>
      <c r="F67" s="405">
        <f>+SUM(F68:F69)</f>
        <v>136226214.47</v>
      </c>
      <c r="G67" s="98">
        <f t="shared" si="6"/>
        <v>3.7893581937307927</v>
      </c>
      <c r="H67" s="95">
        <f t="shared" si="2"/>
        <v>473087.55999997258</v>
      </c>
      <c r="I67" s="98">
        <f t="shared" si="7"/>
        <v>1.3159715468954733E-2</v>
      </c>
      <c r="K67" s="103"/>
      <c r="L67" s="81"/>
      <c r="M67" s="81"/>
      <c r="N67" s="81"/>
      <c r="O67" s="108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CN67" s="225"/>
      <c r="CO67" s="225"/>
      <c r="CP67" s="179"/>
      <c r="CQ67" s="179"/>
      <c r="CR67" s="179"/>
      <c r="CS67" s="176"/>
    </row>
    <row r="68" spans="1:97" ht="13.5" customHeight="1">
      <c r="A68" s="80" t="s">
        <v>447</v>
      </c>
      <c r="B68" s="80">
        <v>431</v>
      </c>
      <c r="C68" s="100" t="s">
        <v>452</v>
      </c>
      <c r="D68" s="408">
        <v>135298196.48000002</v>
      </c>
      <c r="E68" s="102">
        <f t="shared" si="5"/>
        <v>3.6959651563908547</v>
      </c>
      <c r="F68" s="437">
        <v>135771284.09999999</v>
      </c>
      <c r="G68" s="102">
        <f t="shared" si="6"/>
        <v>3.7767035506296578</v>
      </c>
      <c r="H68" s="211">
        <f t="shared" si="2"/>
        <v>473087.61999997497</v>
      </c>
      <c r="I68" s="102">
        <f t="shared" si="7"/>
        <v>1.3159717137954356E-2</v>
      </c>
      <c r="K68" s="103"/>
      <c r="L68" s="81"/>
      <c r="M68" s="81"/>
      <c r="N68" s="81"/>
      <c r="O68" s="108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CN68" s="225"/>
      <c r="CO68" s="225"/>
      <c r="CP68" s="179"/>
      <c r="CQ68" s="179"/>
      <c r="CR68" s="179"/>
      <c r="CS68" s="176"/>
    </row>
    <row r="69" spans="1:97" ht="13.5" customHeight="1" thickBot="1">
      <c r="A69" s="80" t="s">
        <v>447</v>
      </c>
      <c r="B69" s="80">
        <v>432</v>
      </c>
      <c r="C69" s="100" t="s">
        <v>453</v>
      </c>
      <c r="D69" s="409">
        <v>454930.43</v>
      </c>
      <c r="E69" s="102">
        <f t="shared" si="5"/>
        <v>1.242741634113694E-2</v>
      </c>
      <c r="F69" s="438">
        <v>454930.37</v>
      </c>
      <c r="G69" s="102">
        <f t="shared" si="6"/>
        <v>1.2654643101134698E-2</v>
      </c>
      <c r="H69" s="211">
        <f t="shared" si="2"/>
        <v>-5.9999999997671694E-2</v>
      </c>
      <c r="I69" s="102">
        <f t="shared" si="7"/>
        <v>-1.6689995570940186E-9</v>
      </c>
      <c r="K69" s="103"/>
      <c r="L69" s="81"/>
      <c r="M69" s="81"/>
      <c r="N69" s="81"/>
      <c r="O69" s="108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CN69" s="225"/>
      <c r="CO69" s="225"/>
      <c r="CP69" s="179"/>
      <c r="CQ69" s="179"/>
      <c r="CR69" s="179"/>
      <c r="CS69" s="176"/>
    </row>
    <row r="70" spans="1:97" ht="13.5" customHeight="1" thickTop="1" thickBot="1">
      <c r="B70" s="80">
        <v>44</v>
      </c>
      <c r="C70" s="341" t="s">
        <v>281</v>
      </c>
      <c r="D70" s="410">
        <f>SUM(D71:D72)</f>
        <v>285567965.24000013</v>
      </c>
      <c r="E70" s="343">
        <f t="shared" si="5"/>
        <v>7.8009114442592979</v>
      </c>
      <c r="F70" s="410">
        <f>SUM(F71:F72)</f>
        <v>256488589.41999999</v>
      </c>
      <c r="G70" s="343">
        <f t="shared" ref="G70:I72" si="8">F70/F$11*100</f>
        <v>7.1346557026376862</v>
      </c>
      <c r="H70" s="342">
        <f t="shared" si="2"/>
        <v>-29079375.820000142</v>
      </c>
      <c r="I70" s="343">
        <f t="shared" si="7"/>
        <v>-0.80889108943390153</v>
      </c>
      <c r="K70" s="103"/>
      <c r="L70" s="81"/>
      <c r="M70" s="81"/>
      <c r="N70" s="81"/>
      <c r="O70" s="108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CN70" s="225"/>
      <c r="CO70" s="225"/>
      <c r="CP70" s="179"/>
      <c r="CQ70" s="179"/>
      <c r="CR70" s="179"/>
      <c r="CS70" s="176"/>
    </row>
    <row r="71" spans="1:97" ht="13.5" customHeight="1" thickTop="1">
      <c r="C71" s="345" t="s">
        <v>491</v>
      </c>
      <c r="D71" s="411">
        <v>261860277</v>
      </c>
      <c r="E71" s="393">
        <f t="shared" si="5"/>
        <v>7.1532842625727318</v>
      </c>
      <c r="F71" s="439">
        <v>228003108.56999999</v>
      </c>
      <c r="G71" s="394">
        <f t="shared" si="8"/>
        <v>6.3422847872359354</v>
      </c>
      <c r="H71" s="239">
        <f t="shared" si="2"/>
        <v>-33857168.430000007</v>
      </c>
      <c r="I71" s="344">
        <f t="shared" si="8"/>
        <v>-0.94179331860533966</v>
      </c>
      <c r="K71" s="103"/>
      <c r="L71" s="81"/>
      <c r="M71" s="81"/>
      <c r="N71" s="81"/>
      <c r="O71" s="108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CN71" s="225"/>
      <c r="CO71" s="225"/>
      <c r="CP71" s="179"/>
      <c r="CQ71" s="179"/>
      <c r="CR71" s="179"/>
      <c r="CS71" s="176"/>
    </row>
    <row r="72" spans="1:97" ht="13.5" customHeight="1">
      <c r="C72" s="345" t="s">
        <v>130</v>
      </c>
      <c r="D72" s="406">
        <v>23707688.240000129</v>
      </c>
      <c r="E72" s="344">
        <f t="shared" si="5"/>
        <v>0.64762718168656619</v>
      </c>
      <c r="F72" s="435">
        <v>28485480.849999994</v>
      </c>
      <c r="G72" s="344">
        <f t="shared" si="8"/>
        <v>0.79237091540175031</v>
      </c>
      <c r="H72" s="239">
        <f t="shared" si="2"/>
        <v>4777792.6099998653</v>
      </c>
      <c r="I72" s="344">
        <f t="shared" si="8"/>
        <v>0.13290222917143812</v>
      </c>
      <c r="K72" s="504" t="s">
        <v>489</v>
      </c>
      <c r="L72" s="504"/>
      <c r="M72" s="504"/>
      <c r="N72" s="505"/>
      <c r="O72" s="108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CN72" s="225"/>
      <c r="CO72" s="225"/>
      <c r="CP72" s="179"/>
      <c r="CQ72" s="179"/>
      <c r="CR72" s="179"/>
      <c r="CS72" s="176"/>
    </row>
    <row r="73" spans="1:97" ht="13.5" customHeight="1">
      <c r="B73" s="80">
        <v>451</v>
      </c>
      <c r="C73" s="94" t="s">
        <v>111</v>
      </c>
      <c r="D73" s="412">
        <v>3000000</v>
      </c>
      <c r="E73" s="98">
        <f t="shared" si="5"/>
        <v>8.1951539323080289E-2</v>
      </c>
      <c r="F73" s="440">
        <v>2975830.12</v>
      </c>
      <c r="G73" s="98">
        <f t="shared" ref="G73:G80" si="9">F73/F$11*100</f>
        <v>8.2777652540996199E-2</v>
      </c>
      <c r="H73" s="207">
        <f t="shared" si="2"/>
        <v>-24169.879999999888</v>
      </c>
      <c r="I73" s="98">
        <f t="shared" ref="I73:I93" si="10">H73/H$11*100</f>
        <v>-6.7232531694301283E-4</v>
      </c>
      <c r="K73" s="103"/>
      <c r="L73" s="107"/>
      <c r="M73" s="107"/>
      <c r="N73" s="107"/>
      <c r="O73" s="108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CN73" s="225"/>
      <c r="CO73" s="225"/>
      <c r="CP73" s="179"/>
      <c r="CQ73" s="179"/>
      <c r="CR73" s="179"/>
      <c r="CS73" s="176"/>
    </row>
    <row r="74" spans="1:97" ht="13.5" customHeight="1" thickBot="1">
      <c r="B74" s="80">
        <v>47</v>
      </c>
      <c r="C74" s="94" t="s">
        <v>118</v>
      </c>
      <c r="D74" s="412">
        <v>16717147.09</v>
      </c>
      <c r="E74" s="98">
        <f t="shared" si="5"/>
        <v>0.45666531237195074</v>
      </c>
      <c r="F74" s="440">
        <v>16643694.029999999</v>
      </c>
      <c r="G74" s="98">
        <f t="shared" si="9"/>
        <v>0.46297196609260499</v>
      </c>
      <c r="H74" s="207">
        <f t="shared" si="2"/>
        <v>-73453.060000000522</v>
      </c>
      <c r="I74" s="98">
        <f t="shared" si="10"/>
        <v>-2.0432187435326411E-3</v>
      </c>
      <c r="K74" s="276"/>
      <c r="L74" s="276"/>
      <c r="M74" s="276"/>
      <c r="N74" s="276"/>
      <c r="O74" s="108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CN74" s="225"/>
      <c r="CO74" s="225"/>
      <c r="CP74" s="179"/>
      <c r="CQ74" s="179"/>
      <c r="CR74" s="179"/>
      <c r="CS74" s="176"/>
    </row>
    <row r="75" spans="1:97" ht="13.5" customHeight="1" thickTop="1" thickBot="1">
      <c r="B75" s="80">
        <v>462</v>
      </c>
      <c r="C75" s="192" t="s">
        <v>113</v>
      </c>
      <c r="D75" s="413">
        <v>0</v>
      </c>
      <c r="E75" s="194">
        <f t="shared" si="5"/>
        <v>0</v>
      </c>
      <c r="F75" s="413">
        <v>0</v>
      </c>
      <c r="G75" s="194">
        <f t="shared" si="9"/>
        <v>0</v>
      </c>
      <c r="H75" s="227">
        <f t="shared" si="2"/>
        <v>0</v>
      </c>
      <c r="I75" s="194">
        <f t="shared" si="10"/>
        <v>0</v>
      </c>
      <c r="J75" s="108"/>
      <c r="K75" s="276"/>
      <c r="L75" s="276"/>
      <c r="M75" s="276"/>
      <c r="N75" s="276"/>
      <c r="O75" s="108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CN75" s="225"/>
      <c r="CO75" s="225"/>
      <c r="CP75" s="179"/>
      <c r="CQ75" s="179"/>
      <c r="CR75" s="179"/>
      <c r="CS75" s="176"/>
    </row>
    <row r="76" spans="1:97" ht="13.5" customHeight="1" thickTop="1" thickBot="1">
      <c r="B76" s="80">
        <v>4630</v>
      </c>
      <c r="C76" s="100" t="s">
        <v>116</v>
      </c>
      <c r="D76" s="414">
        <v>0</v>
      </c>
      <c r="E76" s="340">
        <f t="shared" si="5"/>
        <v>0</v>
      </c>
      <c r="F76" s="441">
        <v>77407937.150000006</v>
      </c>
      <c r="G76" s="340">
        <f t="shared" si="9"/>
        <v>2.1532302137320833</v>
      </c>
      <c r="H76" s="339">
        <f t="shared" ref="H76:H93" si="11">+F76-D76</f>
        <v>77407937.150000006</v>
      </c>
      <c r="I76" s="340">
        <f t="shared" si="10"/>
        <v>2.1532302137320833</v>
      </c>
      <c r="J76" s="108"/>
      <c r="K76" s="276"/>
      <c r="L76" s="276"/>
      <c r="M76" s="276"/>
      <c r="N76" s="276"/>
      <c r="O76" s="108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CN76" s="225"/>
      <c r="CO76" s="225"/>
      <c r="CP76" s="179"/>
      <c r="CQ76" s="179"/>
      <c r="CR76" s="179"/>
      <c r="CS76" s="176"/>
    </row>
    <row r="77" spans="1:97" ht="13.5" customHeight="1" thickTop="1" thickBot="1">
      <c r="C77" s="355" t="s">
        <v>498</v>
      </c>
      <c r="D77" s="415">
        <f>+D16-D49</f>
        <v>-235552554.45661664</v>
      </c>
      <c r="E77" s="357">
        <f t="shared" si="5"/>
        <v>-6.4346314764011421</v>
      </c>
      <c r="F77" s="415">
        <f>+F16-F49</f>
        <v>-291247264.33000016</v>
      </c>
      <c r="G77" s="357">
        <f>F77/F$11*100</f>
        <v>-8.1015259198412934</v>
      </c>
      <c r="H77" s="356">
        <f t="shared" si="11"/>
        <v>-55694709.873383522</v>
      </c>
      <c r="I77" s="357">
        <f t="shared" si="10"/>
        <v>-1.549240768579401</v>
      </c>
      <c r="J77" s="108"/>
      <c r="K77" s="276"/>
      <c r="L77" s="276"/>
      <c r="M77" s="276"/>
      <c r="N77" s="276"/>
      <c r="O77" s="108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CN77" s="225"/>
      <c r="CO77" s="225"/>
      <c r="CP77" s="179"/>
      <c r="CQ77" s="179"/>
      <c r="CR77" s="179"/>
      <c r="CS77" s="176"/>
    </row>
    <row r="78" spans="1:97" ht="13.5" customHeight="1" thickTop="1" thickBot="1">
      <c r="B78" s="80">
        <v>990</v>
      </c>
      <c r="C78" s="191" t="s">
        <v>152</v>
      </c>
      <c r="D78" s="414">
        <v>0</v>
      </c>
      <c r="E78" s="340">
        <f t="shared" si="5"/>
        <v>0</v>
      </c>
      <c r="F78" s="400">
        <v>-15133946.66</v>
      </c>
      <c r="G78" s="340">
        <f t="shared" si="9"/>
        <v>-0.42097583789341098</v>
      </c>
      <c r="H78" s="339">
        <f t="shared" si="11"/>
        <v>-15133946.66</v>
      </c>
      <c r="I78" s="340">
        <f>H78/H$11*100</f>
        <v>-0.42097583789341098</v>
      </c>
      <c r="J78" s="108"/>
      <c r="K78" s="276"/>
      <c r="L78" s="276"/>
      <c r="M78" s="276"/>
      <c r="N78" s="276"/>
      <c r="O78" s="108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CN78" s="225"/>
      <c r="CO78" s="225"/>
      <c r="CP78" s="179"/>
      <c r="CQ78" s="179"/>
      <c r="CR78" s="179"/>
      <c r="CS78" s="176"/>
    </row>
    <row r="79" spans="1:97" ht="13.5" customHeight="1" thickTop="1" thickBot="1">
      <c r="C79" s="355" t="s">
        <v>499</v>
      </c>
      <c r="D79" s="415">
        <f>+D77-D78</f>
        <v>-235552554.45661664</v>
      </c>
      <c r="E79" s="357">
        <f t="shared" si="5"/>
        <v>-6.4346314764011421</v>
      </c>
      <c r="F79" s="415">
        <f>+F77-F78</f>
        <v>-276113317.67000014</v>
      </c>
      <c r="G79" s="357">
        <f t="shared" si="9"/>
        <v>-7.6805500819478816</v>
      </c>
      <c r="H79" s="356">
        <f t="shared" si="11"/>
        <v>-40560763.213383496</v>
      </c>
      <c r="I79" s="357">
        <f t="shared" si="10"/>
        <v>-1.1282649306859893</v>
      </c>
      <c r="J79" s="108"/>
      <c r="K79" s="381">
        <f>+F82-F79</f>
        <v>817856286.43000007</v>
      </c>
      <c r="L79" s="276"/>
      <c r="M79" s="276"/>
      <c r="N79" s="276"/>
      <c r="O79" s="108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CN79" s="225"/>
      <c r="CO79" s="225"/>
      <c r="CP79" s="179"/>
      <c r="CQ79" s="179"/>
      <c r="CR79" s="179"/>
      <c r="CS79" s="176"/>
    </row>
    <row r="80" spans="1:97" ht="13.5" customHeight="1" thickTop="1" thickBot="1">
      <c r="C80" s="355" t="s">
        <v>500</v>
      </c>
      <c r="D80" s="415">
        <f>+D77+D57</f>
        <v>-172616716.54661664</v>
      </c>
      <c r="E80" s="357">
        <f>D80/D$11*100</f>
        <v>-4.7154018779636857</v>
      </c>
      <c r="F80" s="415">
        <f>+F79+F57</f>
        <v>-194310567.92000014</v>
      </c>
      <c r="G80" s="357">
        <f t="shared" si="9"/>
        <v>-5.405070863495868</v>
      </c>
      <c r="H80" s="356">
        <f t="shared" si="11"/>
        <v>-21693851.373383492</v>
      </c>
      <c r="I80" s="357">
        <f t="shared" si="10"/>
        <v>-0.60345047225409221</v>
      </c>
      <c r="J80" s="108"/>
      <c r="K80" s="276"/>
      <c r="L80" s="276"/>
      <c r="M80" s="276"/>
      <c r="N80" s="276"/>
      <c r="O80" s="108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CN80" s="225"/>
      <c r="CO80" s="225"/>
      <c r="CP80" s="179"/>
      <c r="CQ80" s="179"/>
      <c r="CR80" s="179"/>
      <c r="CS80" s="176"/>
    </row>
    <row r="81" spans="2:97" ht="7.5" customHeight="1" thickTop="1" thickBot="1">
      <c r="C81" s="355"/>
      <c r="D81" s="415"/>
      <c r="E81" s="357"/>
      <c r="F81" s="415"/>
      <c r="G81" s="357"/>
      <c r="H81" s="356"/>
      <c r="I81" s="357"/>
      <c r="J81" s="108"/>
      <c r="K81" s="276"/>
      <c r="L81" s="276"/>
      <c r="M81" s="276"/>
      <c r="N81" s="276"/>
      <c r="O81" s="108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CN81" s="225"/>
      <c r="CO81" s="225"/>
      <c r="CP81" s="179"/>
      <c r="CQ81" s="179"/>
      <c r="CR81" s="179"/>
      <c r="CS81" s="176"/>
    </row>
    <row r="82" spans="2:97" ht="13.5" customHeight="1" thickTop="1" thickBot="1">
      <c r="C82" s="355" t="s">
        <v>0</v>
      </c>
      <c r="D82" s="415">
        <f>+SUM(D83:D85)</f>
        <v>398342084.42000002</v>
      </c>
      <c r="E82" s="357">
        <f>D82/D$11*100</f>
        <v>10.881582331794466</v>
      </c>
      <c r="F82" s="415">
        <f>+SUM(F83:F84)</f>
        <v>541742968.75999999</v>
      </c>
      <c r="G82" s="357">
        <f>F82/F$11*100</f>
        <v>15.069479582572084</v>
      </c>
      <c r="H82" s="356">
        <f t="shared" si="11"/>
        <v>143400884.33999997</v>
      </c>
      <c r="I82" s="357">
        <f t="shared" si="10"/>
        <v>3.9889335409939664</v>
      </c>
      <c r="J82" s="108"/>
      <c r="K82" s="276"/>
      <c r="L82" s="276"/>
      <c r="M82" s="276"/>
      <c r="N82" s="276"/>
      <c r="O82" s="108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CN82" s="225"/>
      <c r="CO82" s="225"/>
      <c r="CP82" s="179"/>
      <c r="CQ82" s="179"/>
      <c r="CR82" s="179"/>
      <c r="CS82" s="176"/>
    </row>
    <row r="83" spans="2:97" ht="13.5" customHeight="1" thickTop="1">
      <c r="B83" s="80">
        <v>4611</v>
      </c>
      <c r="C83" s="100" t="s">
        <v>135</v>
      </c>
      <c r="D83" s="416">
        <v>46710121.920000002</v>
      </c>
      <c r="E83" s="102">
        <f>D83/D$11*100</f>
        <v>1.2759887977709181</v>
      </c>
      <c r="F83" s="442">
        <v>221709652.11999997</v>
      </c>
      <c r="G83" s="102">
        <f>F83/F$11*100</f>
        <v>6.1672218534351337</v>
      </c>
      <c r="H83" s="211">
        <f t="shared" si="11"/>
        <v>174999530.19999999</v>
      </c>
      <c r="I83" s="102">
        <f t="shared" si="10"/>
        <v>4.8679023067799214</v>
      </c>
      <c r="J83" s="108"/>
      <c r="K83" s="276"/>
      <c r="L83" s="276"/>
      <c r="M83" s="276"/>
      <c r="N83" s="276"/>
      <c r="O83" s="108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CN83" s="225"/>
      <c r="CO83" s="225"/>
      <c r="CP83" s="179"/>
      <c r="CQ83" s="179"/>
      <c r="CR83" s="179"/>
      <c r="CS83" s="176"/>
    </row>
    <row r="84" spans="2:97" ht="13.5" customHeight="1" thickBot="1">
      <c r="B84" s="80">
        <v>4612</v>
      </c>
      <c r="C84" s="100" t="s">
        <v>137</v>
      </c>
      <c r="D84" s="417">
        <v>317770882.5</v>
      </c>
      <c r="E84" s="102">
        <f>D84/D$11*100</f>
        <v>8.6806043243095576</v>
      </c>
      <c r="F84" s="442">
        <v>320033316.63999999</v>
      </c>
      <c r="G84" s="102">
        <f>F84/F$11*100</f>
        <v>8.9022577291369487</v>
      </c>
      <c r="H84" s="211">
        <f t="shared" si="11"/>
        <v>2262434.1399999857</v>
      </c>
      <c r="I84" s="102">
        <f t="shared" si="10"/>
        <v>6.2933359629348179E-2</v>
      </c>
      <c r="K84" s="276"/>
      <c r="L84" s="276"/>
      <c r="M84" s="276"/>
      <c r="N84" s="276"/>
      <c r="O84" s="108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CN84" s="225"/>
      <c r="CO84" s="225"/>
      <c r="CP84" s="179"/>
      <c r="CQ84" s="179"/>
      <c r="CR84" s="179"/>
      <c r="CS84" s="176"/>
    </row>
    <row r="85" spans="2:97" ht="13.5" customHeight="1" thickTop="1" thickBot="1">
      <c r="B85" s="80">
        <v>4630</v>
      </c>
      <c r="C85" s="376" t="s">
        <v>116</v>
      </c>
      <c r="D85" s="416">
        <v>33861080</v>
      </c>
      <c r="E85" s="378">
        <f>D85/D$11*100</f>
        <v>0.92498920971398912</v>
      </c>
      <c r="F85" s="443"/>
      <c r="G85" s="380"/>
      <c r="H85" s="379"/>
      <c r="I85" s="380"/>
      <c r="K85" s="276"/>
      <c r="L85" s="276"/>
      <c r="M85" s="276"/>
      <c r="N85" s="276"/>
      <c r="O85" s="108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CN85" s="225"/>
      <c r="CO85" s="225"/>
      <c r="CP85" s="179"/>
      <c r="CQ85" s="179"/>
      <c r="CR85" s="179"/>
      <c r="CS85" s="176"/>
    </row>
    <row r="86" spans="2:97" ht="13.5" customHeight="1" thickTop="1" thickBot="1">
      <c r="C86" s="355" t="s">
        <v>141</v>
      </c>
      <c r="D86" s="415">
        <f>+D77-D82+D93</f>
        <v>-634081638.83661723</v>
      </c>
      <c r="E86" s="357">
        <f>D86/D$11*100</f>
        <v>-17.32132211972074</v>
      </c>
      <c r="F86" s="415">
        <f>+F79-F82+F93</f>
        <v>-825496718.84000003</v>
      </c>
      <c r="G86" s="357">
        <f>F86/F$11*100</f>
        <v>-22.962560969666491</v>
      </c>
      <c r="H86" s="356">
        <f t="shared" si="11"/>
        <v>-191415080.0033828</v>
      </c>
      <c r="I86" s="357">
        <f t="shared" si="10"/>
        <v>-5.3245280626526528</v>
      </c>
      <c r="J86" s="106">
        <v>546532229.36000001</v>
      </c>
      <c r="K86" s="353">
        <f>+J86+F86</f>
        <v>-278964489.48000002</v>
      </c>
      <c r="L86" s="276"/>
      <c r="M86" s="276"/>
      <c r="N86" s="276"/>
      <c r="O86" s="108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CN86" s="225"/>
      <c r="CO86" s="225"/>
      <c r="CP86" s="179"/>
      <c r="CQ86" s="179"/>
      <c r="CR86" s="179"/>
      <c r="CS86" s="176"/>
    </row>
    <row r="87" spans="2:97" ht="6.6" customHeight="1" thickTop="1" thickBot="1">
      <c r="C87" s="355"/>
      <c r="D87" s="415"/>
      <c r="E87" s="357"/>
      <c r="F87" s="415"/>
      <c r="G87" s="357"/>
      <c r="H87" s="356"/>
      <c r="I87" s="357"/>
      <c r="J87" s="106"/>
      <c r="K87" s="353"/>
      <c r="L87" s="276"/>
      <c r="M87" s="276"/>
      <c r="N87" s="276"/>
      <c r="O87" s="108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CN87" s="225"/>
      <c r="CO87" s="225"/>
      <c r="CP87" s="179"/>
      <c r="CQ87" s="179"/>
      <c r="CR87" s="179"/>
      <c r="CS87" s="176"/>
    </row>
    <row r="88" spans="2:97" ht="13.5" customHeight="1" thickTop="1" thickBot="1">
      <c r="C88" s="355" t="s">
        <v>121</v>
      </c>
      <c r="D88" s="415">
        <f>+SUM(D89:D92)</f>
        <v>634081638.83661723</v>
      </c>
      <c r="E88" s="357">
        <f t="shared" ref="E88:E93" si="12">D88/D$11*100</f>
        <v>17.32132211972074</v>
      </c>
      <c r="F88" s="415">
        <f>SUM(F89:F92)</f>
        <v>825499520.90999997</v>
      </c>
      <c r="G88" s="357">
        <f t="shared" ref="G88:G93" si="13">F88/F$11*100</f>
        <v>22.962638913892974</v>
      </c>
      <c r="H88" s="356">
        <f t="shared" si="11"/>
        <v>191417882.07338274</v>
      </c>
      <c r="I88" s="357">
        <f t="shared" si="10"/>
        <v>5.3246060068791357</v>
      </c>
      <c r="K88" s="276"/>
      <c r="L88" s="276"/>
      <c r="M88" s="276"/>
      <c r="N88" s="276"/>
      <c r="O88" s="108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CN88" s="225"/>
      <c r="CO88" s="225"/>
      <c r="CP88" s="179"/>
      <c r="CQ88" s="179"/>
      <c r="CR88" s="179"/>
      <c r="CS88" s="176"/>
    </row>
    <row r="89" spans="2:97" ht="13.5" customHeight="1" thickTop="1">
      <c r="B89" s="80">
        <v>7511</v>
      </c>
      <c r="C89" s="100" t="s">
        <v>144</v>
      </c>
      <c r="D89" s="400">
        <v>0</v>
      </c>
      <c r="E89" s="102">
        <f t="shared" si="12"/>
        <v>0</v>
      </c>
      <c r="F89" s="444">
        <v>175248203.14000002</v>
      </c>
      <c r="G89" s="102">
        <f t="shared" si="13"/>
        <v>4.8748195572255444</v>
      </c>
      <c r="H89" s="211">
        <f t="shared" si="11"/>
        <v>175248203.14000002</v>
      </c>
      <c r="I89" s="102">
        <f t="shared" si="10"/>
        <v>4.8748195572255444</v>
      </c>
      <c r="K89" s="276"/>
      <c r="L89" s="276"/>
      <c r="M89" s="276"/>
      <c r="N89" s="276"/>
      <c r="O89" s="108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CN89" s="225"/>
      <c r="CO89" s="225"/>
      <c r="CP89" s="179"/>
      <c r="CQ89" s="179"/>
      <c r="CR89" s="179"/>
      <c r="CS89" s="176"/>
    </row>
    <row r="90" spans="2:97" ht="13.5" customHeight="1">
      <c r="B90" s="80">
        <v>7512</v>
      </c>
      <c r="C90" s="100" t="s">
        <v>122</v>
      </c>
      <c r="D90" s="418">
        <v>634081638.83661723</v>
      </c>
      <c r="E90" s="102">
        <f t="shared" si="12"/>
        <v>17.32132211972074</v>
      </c>
      <c r="F90" s="444">
        <v>657542120.07999992</v>
      </c>
      <c r="G90" s="102">
        <f t="shared" si="13"/>
        <v>18.290625120446133</v>
      </c>
      <c r="H90" s="211">
        <f t="shared" si="11"/>
        <v>23460481.243382692</v>
      </c>
      <c r="I90" s="102">
        <f t="shared" si="10"/>
        <v>0.65259221343229457</v>
      </c>
      <c r="K90" s="276"/>
      <c r="L90" s="276"/>
      <c r="M90" s="276"/>
      <c r="N90" s="276"/>
      <c r="O90" s="108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CN90" s="225"/>
      <c r="CO90" s="225"/>
      <c r="CP90" s="179"/>
      <c r="CQ90" s="179"/>
      <c r="CR90" s="179"/>
      <c r="CS90" s="176"/>
    </row>
    <row r="91" spans="2:97" ht="13.5" customHeight="1">
      <c r="B91" s="80">
        <v>72</v>
      </c>
      <c r="C91" s="114" t="s">
        <v>329</v>
      </c>
      <c r="D91" s="400">
        <v>0</v>
      </c>
      <c r="E91" s="116">
        <f t="shared" si="12"/>
        <v>0</v>
      </c>
      <c r="F91" s="444">
        <v>7843144.3499999996</v>
      </c>
      <c r="G91" s="116">
        <f t="shared" si="13"/>
        <v>0.21817007411470699</v>
      </c>
      <c r="H91" s="211">
        <f t="shared" si="11"/>
        <v>7843144.3499999996</v>
      </c>
      <c r="I91" s="116">
        <f t="shared" si="10"/>
        <v>0.21817007411470699</v>
      </c>
      <c r="K91" s="276"/>
      <c r="L91" s="276"/>
      <c r="M91" s="276"/>
      <c r="N91" s="276"/>
      <c r="O91" s="108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CN91" s="225"/>
      <c r="CO91" s="225"/>
      <c r="CP91" s="179"/>
      <c r="CQ91" s="179"/>
      <c r="CR91" s="179"/>
      <c r="CS91" s="176"/>
    </row>
    <row r="92" spans="2:97" ht="13.5" customHeight="1" thickBot="1">
      <c r="B92" s="80">
        <v>990</v>
      </c>
      <c r="C92" s="114" t="s">
        <v>515</v>
      </c>
      <c r="D92" s="400">
        <v>0</v>
      </c>
      <c r="E92" s="116">
        <f t="shared" si="12"/>
        <v>0</v>
      </c>
      <c r="F92" s="400">
        <v>-15133946.66</v>
      </c>
      <c r="G92" s="116">
        <f t="shared" si="13"/>
        <v>-0.42097583789341098</v>
      </c>
      <c r="H92" s="211">
        <f>+F92-D92</f>
        <v>-15133946.66</v>
      </c>
      <c r="I92" s="116">
        <f>H92/H$11*100</f>
        <v>-0.42097583789341098</v>
      </c>
      <c r="K92" s="276"/>
      <c r="L92" s="276"/>
      <c r="M92" s="276"/>
      <c r="N92" s="276"/>
      <c r="O92" s="108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CN92" s="225"/>
      <c r="CO92" s="225"/>
      <c r="CP92" s="179"/>
      <c r="CQ92" s="179"/>
      <c r="CR92" s="179"/>
      <c r="CS92" s="176"/>
    </row>
    <row r="93" spans="2:97" ht="13.5" customHeight="1" thickTop="1" thickBot="1">
      <c r="C93" s="192" t="s">
        <v>125</v>
      </c>
      <c r="D93" s="419">
        <v>-186999.96000051501</v>
      </c>
      <c r="E93" s="194">
        <f t="shared" si="12"/>
        <v>-5.1083115251322154E-3</v>
      </c>
      <c r="F93" s="445">
        <v>-7640432.4100000001</v>
      </c>
      <c r="G93" s="194">
        <f t="shared" si="13"/>
        <v>-0.21253130514652702</v>
      </c>
      <c r="H93" s="193">
        <f t="shared" si="11"/>
        <v>-7453432.4499994852</v>
      </c>
      <c r="I93" s="194">
        <f t="shared" si="10"/>
        <v>-0.20732959097270087</v>
      </c>
      <c r="K93" s="276"/>
      <c r="L93" s="276"/>
      <c r="M93" s="276"/>
      <c r="N93" s="276"/>
      <c r="O93" s="108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CN93" s="225"/>
      <c r="CO93" s="225"/>
      <c r="CP93" s="179"/>
      <c r="CQ93" s="179"/>
      <c r="CR93" s="179"/>
      <c r="CS93" s="176"/>
    </row>
    <row r="94" spans="2:97" s="273" customFormat="1" ht="13.5" thickTop="1">
      <c r="C94" s="273" t="str">
        <f>IF([2]MasterSheet!$A$1=1,[2]MasterSheet!C151,[2]MasterSheet!B151)</f>
        <v>Izvor: Ministarstvo finansija Crne Gore</v>
      </c>
      <c r="F94" s="446"/>
      <c r="K94" s="291"/>
      <c r="L94" s="276"/>
      <c r="M94" s="276"/>
      <c r="N94" s="276"/>
      <c r="O94" s="278"/>
      <c r="P94" s="276"/>
      <c r="Q94" s="276"/>
      <c r="R94" s="276"/>
      <c r="S94" s="276"/>
      <c r="T94" s="276"/>
      <c r="U94" s="276"/>
      <c r="V94" s="276"/>
      <c r="W94" s="276"/>
      <c r="X94" s="276"/>
      <c r="Y94" s="276"/>
      <c r="Z94" s="276"/>
      <c r="AA94" s="276"/>
      <c r="AB94" s="276"/>
    </row>
    <row r="95" spans="2:97" s="273" customFormat="1">
      <c r="F95" s="447">
        <v>5356215.67</v>
      </c>
      <c r="I95" s="353"/>
      <c r="K95" s="276"/>
      <c r="L95" s="276"/>
      <c r="M95" s="276"/>
      <c r="N95" s="276"/>
      <c r="O95" s="278"/>
      <c r="P95" s="276"/>
      <c r="Q95" s="276"/>
      <c r="R95" s="276"/>
      <c r="S95" s="276"/>
      <c r="T95" s="276"/>
      <c r="U95" s="276"/>
      <c r="V95" s="276"/>
      <c r="W95" s="276"/>
      <c r="X95" s="276"/>
      <c r="Y95" s="276"/>
      <c r="Z95" s="276"/>
      <c r="AA95" s="276"/>
      <c r="AB95" s="276"/>
    </row>
    <row r="96" spans="2:97" s="273" customFormat="1">
      <c r="D96" s="277"/>
      <c r="F96" s="446"/>
      <c r="K96" s="276"/>
      <c r="L96" s="276"/>
      <c r="M96" s="276"/>
      <c r="N96" s="276"/>
      <c r="O96" s="286"/>
    </row>
    <row r="97" spans="3:15" s="273" customFormat="1">
      <c r="F97" s="446"/>
      <c r="O97" s="286"/>
    </row>
    <row r="98" spans="3:15" s="273" customFormat="1" hidden="1">
      <c r="C98" s="287"/>
      <c r="F98" s="446"/>
      <c r="K98" s="277" t="e">
        <f>+#REF!+#REF!</f>
        <v>#REF!</v>
      </c>
      <c r="O98" s="286"/>
    </row>
    <row r="99" spans="3:15" s="273" customFormat="1" hidden="1">
      <c r="C99" s="288" t="s">
        <v>482</v>
      </c>
      <c r="D99" s="282">
        <f>D90+D89-D82</f>
        <v>235739554.41661721</v>
      </c>
      <c r="E99" s="281"/>
      <c r="F99" s="448">
        <f>F90+F89-F82</f>
        <v>291047354.45999992</v>
      </c>
      <c r="G99" s="283"/>
      <c r="H99" s="353"/>
      <c r="I99" s="353"/>
      <c r="O99" s="286"/>
    </row>
    <row r="100" spans="3:15" s="273" customFormat="1" hidden="1">
      <c r="C100" s="288" t="s">
        <v>483</v>
      </c>
      <c r="D100" s="282">
        <v>20000000</v>
      </c>
      <c r="E100" s="281"/>
      <c r="F100" s="448">
        <v>20000000</v>
      </c>
      <c r="G100" s="283"/>
      <c r="H100" s="353"/>
      <c r="I100" s="353"/>
      <c r="O100" s="286"/>
    </row>
    <row r="101" spans="3:15" s="273" customFormat="1" ht="14.25" hidden="1">
      <c r="C101" s="290" t="s">
        <v>484</v>
      </c>
      <c r="D101" s="282">
        <f>240000000+D100-(D90+D89)</f>
        <v>-374081638.83661723</v>
      </c>
      <c r="E101" s="281"/>
      <c r="F101" s="448">
        <f>240000000+F100-(F90+F89)</f>
        <v>-572790323.21999991</v>
      </c>
      <c r="G101" s="283"/>
      <c r="H101" s="353"/>
      <c r="I101" s="353"/>
      <c r="L101" s="374">
        <v>381.1</v>
      </c>
      <c r="O101" s="286"/>
    </row>
    <row r="102" spans="3:15" s="273" customFormat="1" ht="15" hidden="1" thickBot="1">
      <c r="C102" s="288" t="s">
        <v>485</v>
      </c>
      <c r="D102" s="291"/>
      <c r="E102" s="281"/>
      <c r="F102" s="449"/>
      <c r="G102" s="281"/>
      <c r="H102" s="276"/>
      <c r="I102" s="276"/>
      <c r="L102" s="375">
        <v>1561.8</v>
      </c>
      <c r="O102" s="286"/>
    </row>
    <row r="103" spans="3:15" s="273" customFormat="1" ht="13.5" hidden="1" thickBot="1">
      <c r="C103" s="288" t="s">
        <v>486</v>
      </c>
      <c r="D103" s="292">
        <f>D99+D100+D101</f>
        <v>-118342084.42000002</v>
      </c>
      <c r="E103" s="281"/>
      <c r="F103" s="450">
        <f>F99+F100+F101</f>
        <v>-261742968.75999999</v>
      </c>
      <c r="G103" s="283">
        <f>F103/F$11*100</f>
        <v>-7.2808149824977573</v>
      </c>
      <c r="H103" s="353"/>
      <c r="I103" s="353"/>
      <c r="L103" s="273">
        <f>SUM(L101:L102)</f>
        <v>1942.9</v>
      </c>
      <c r="O103" s="286"/>
    </row>
    <row r="104" spans="3:15" s="273" customFormat="1" hidden="1">
      <c r="C104" s="288"/>
      <c r="D104" s="293"/>
      <c r="E104" s="281"/>
      <c r="F104" s="451"/>
      <c r="G104" s="281"/>
      <c r="H104" s="276"/>
      <c r="I104" s="276"/>
      <c r="L104" s="273">
        <f>+L101/$D$11*100000000</f>
        <v>10.410577212008633</v>
      </c>
      <c r="O104" s="286"/>
    </row>
    <row r="105" spans="3:15" s="273" customFormat="1" hidden="1">
      <c r="C105" s="288"/>
      <c r="D105" s="281"/>
      <c r="E105" s="281"/>
      <c r="F105" s="452"/>
      <c r="G105" s="281"/>
      <c r="H105" s="276"/>
      <c r="I105" s="276"/>
      <c r="L105" s="273">
        <f>+L102/$D$11*100000000</f>
        <v>42.663971371595593</v>
      </c>
      <c r="O105" s="286"/>
    </row>
    <row r="106" spans="3:15" s="273" customFormat="1" hidden="1">
      <c r="C106" s="288" t="s">
        <v>465</v>
      </c>
      <c r="D106" s="282"/>
      <c r="E106" s="281"/>
      <c r="F106" s="448"/>
      <c r="G106" s="283"/>
      <c r="H106" s="353"/>
      <c r="I106" s="353"/>
      <c r="J106" s="273">
        <v>2018</v>
      </c>
      <c r="K106" s="273">
        <v>2020</v>
      </c>
      <c r="L106" s="273">
        <f>+L103/$D$11*100000000</f>
        <v>53.074548583604226</v>
      </c>
      <c r="O106" s="286"/>
    </row>
    <row r="107" spans="3:15" s="273" customFormat="1" ht="13.5" hidden="1" thickBot="1">
      <c r="C107" s="294"/>
      <c r="F107" s="446"/>
      <c r="O107" s="286"/>
    </row>
    <row r="108" spans="3:15" s="273" customFormat="1" ht="13.5" hidden="1" thickBot="1">
      <c r="C108" s="288" t="s">
        <v>466</v>
      </c>
      <c r="D108" s="292">
        <f>D103+D106</f>
        <v>-118342084.42000002</v>
      </c>
      <c r="E108" s="281"/>
      <c r="F108" s="450">
        <f>F103+F106</f>
        <v>-261742968.75999999</v>
      </c>
      <c r="G108" s="283">
        <f>F108/F$11*100</f>
        <v>-7.2808149824977573</v>
      </c>
      <c r="H108" s="353"/>
      <c r="I108" s="353"/>
      <c r="J108" s="273">
        <v>62</v>
      </c>
      <c r="K108" s="273">
        <v>60</v>
      </c>
      <c r="O108" s="286"/>
    </row>
    <row r="109" spans="3:15" s="273" customFormat="1" ht="13.5" hidden="1" thickBot="1">
      <c r="F109" s="446"/>
      <c r="O109" s="286"/>
    </row>
    <row r="110" spans="3:15" s="295" customFormat="1" ht="13.5" hidden="1" thickBot="1">
      <c r="C110" s="296" t="s">
        <v>476</v>
      </c>
      <c r="D110" s="299" t="e">
        <f>#REF!+D108</f>
        <v>#REF!</v>
      </c>
      <c r="E110" s="297"/>
      <c r="F110" s="453" t="e">
        <f>#REF!+F108</f>
        <v>#REF!</v>
      </c>
      <c r="G110" s="300" t="e">
        <f>F110/F$11*100</f>
        <v>#REF!</v>
      </c>
      <c r="H110" s="354"/>
      <c r="I110" s="354"/>
      <c r="O110" s="301"/>
    </row>
    <row r="111" spans="3:15" hidden="1"/>
    <row r="112" spans="3:15" ht="13.5" hidden="1" thickBot="1"/>
    <row r="113" spans="3:3" ht="13.5" hidden="1" thickBot="1">
      <c r="C113" s="223">
        <v>166553072.60000002</v>
      </c>
    </row>
    <row r="114" spans="3:3" ht="13.5" hidden="1" thickBot="1">
      <c r="C114" s="223">
        <v>442860948.83999997</v>
      </c>
    </row>
    <row r="115" spans="3:3" ht="13.5" hidden="1" thickBot="1">
      <c r="C115" s="223">
        <v>405003981.30000001</v>
      </c>
    </row>
    <row r="116" spans="3:3" ht="13.5" hidden="1" thickBot="1">
      <c r="C116" s="223">
        <v>173837481.49000001</v>
      </c>
    </row>
  </sheetData>
  <sheetProtection formatCells="0" formatColumns="0" formatRows="0" sort="0" autoFilter="0"/>
  <mergeCells count="8">
    <mergeCell ref="C14:C15"/>
    <mergeCell ref="F14:G14"/>
    <mergeCell ref="D14:E14"/>
    <mergeCell ref="K72:N72"/>
    <mergeCell ref="D11:E11"/>
    <mergeCell ref="F11:G11"/>
    <mergeCell ref="H11:I11"/>
    <mergeCell ref="H14:I14"/>
  </mergeCells>
  <conditionalFormatting sqref="H16:H48">
    <cfRule type="cellIs" dxfId="0" priority="1" operator="lessThan">
      <formula>-3</formula>
    </cfRule>
  </conditionalFormatting>
  <printOptions horizontalCentered="1" verticalCentered="1"/>
  <pageMargins left="0" right="0" top="0.19685039370078741" bottom="0.19685039370078741" header="0" footer="0"/>
  <pageSetup paperSize="9" scale="1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6" r:id="rId4" name="List Box 8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1019175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BZ89"/>
  <sheetViews>
    <sheetView zoomScale="85" zoomScaleNormal="85" workbookViewId="0">
      <selection activeCell="R53" sqref="Q53:R53"/>
    </sheetView>
  </sheetViews>
  <sheetFormatPr defaultColWidth="9.28515625" defaultRowHeight="12.75"/>
  <cols>
    <col min="1" max="2" width="9.28515625" style="80" customWidth="1"/>
    <col min="3" max="3" width="55.7109375" style="80" bestFit="1" customWidth="1"/>
    <col min="4" max="9" width="8.7109375" style="80" customWidth="1"/>
    <col min="10" max="10" width="9.28515625" style="80" hidden="1" customWidth="1"/>
    <col min="11" max="13" width="9.28515625" style="80" customWidth="1"/>
    <col min="14" max="14" width="12.28515625" style="80" bestFit="1" customWidth="1"/>
    <col min="15" max="70" width="9.28515625" style="80" customWidth="1"/>
    <col min="71" max="71" width="9.28515625" style="80"/>
    <col min="72" max="72" width="15.42578125" style="80" customWidth="1"/>
    <col min="73" max="73" width="12.7109375" style="80" customWidth="1"/>
    <col min="74" max="74" width="11.7109375" style="80" customWidth="1"/>
    <col min="75" max="16384" width="9.28515625" style="80"/>
  </cols>
  <sheetData>
    <row r="1" spans="2:70" ht="15" customHeight="1">
      <c r="C1" s="81"/>
      <c r="D1" s="338">
        <v>3</v>
      </c>
      <c r="E1" s="338">
        <v>4</v>
      </c>
      <c r="F1" s="338">
        <v>5</v>
      </c>
      <c r="G1" s="338">
        <v>6</v>
      </c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</row>
    <row r="2" spans="2:70" ht="15" hidden="1" customHeight="1">
      <c r="C2" s="81"/>
      <c r="D2" s="135"/>
      <c r="E2" s="145">
        <v>2014</v>
      </c>
      <c r="F2" s="146">
        <v>2017</v>
      </c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</row>
    <row r="3" spans="2:70" ht="15" hidden="1" customHeight="1">
      <c r="C3" s="81"/>
      <c r="D3" s="137"/>
      <c r="E3" s="138">
        <v>5.4037200000000007</v>
      </c>
      <c r="F3" s="139">
        <v>6.0799999999999965</v>
      </c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</row>
    <row r="4" spans="2:70" ht="15" hidden="1" customHeight="1">
      <c r="C4" s="81"/>
      <c r="D4" s="128"/>
      <c r="E4" s="125">
        <v>3.54</v>
      </c>
      <c r="F4" s="126">
        <v>4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</row>
    <row r="5" spans="2:70" ht="15" hidden="1" customHeight="1">
      <c r="C5" s="81"/>
      <c r="D5" s="141"/>
      <c r="E5" s="142">
        <v>1.8</v>
      </c>
      <c r="F5" s="157">
        <v>2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</row>
    <row r="6" spans="2:70" ht="15" hidden="1" customHeight="1">
      <c r="C6" s="81"/>
      <c r="D6" s="144"/>
      <c r="E6" s="156">
        <v>2.3E-2</v>
      </c>
      <c r="F6" s="156">
        <v>5.1999999999999998E-2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</row>
    <row r="7" spans="2:70" ht="15" hidden="1" customHeight="1">
      <c r="C7" s="81"/>
      <c r="D7" s="130"/>
      <c r="E7" s="130"/>
      <c r="F7" s="13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</row>
    <row r="8" spans="2:70" ht="15" hidden="1" customHeight="1">
      <c r="C8" s="81"/>
      <c r="D8" s="124"/>
      <c r="E8" s="147">
        <f>+F16/D16*100-100</f>
        <v>3.9047724464031432</v>
      </c>
      <c r="F8" s="153" t="e">
        <f>+#REF!/#REF!*100-100</f>
        <v>#REF!</v>
      </c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</row>
    <row r="9" spans="2:70" ht="15" hidden="1" customHeight="1">
      <c r="C9" s="81"/>
      <c r="D9" s="133"/>
      <c r="E9" s="148" t="e">
        <f>+F16/#REF!*100-100</f>
        <v>#REF!</v>
      </c>
      <c r="F9" s="154" t="e">
        <f>+#REF!/#REF!*100-100</f>
        <v>#REF!</v>
      </c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</row>
    <row r="10" spans="2:70" ht="15" customHeight="1" thickBot="1">
      <c r="C10" s="81"/>
      <c r="D10" s="82"/>
      <c r="E10" s="82"/>
      <c r="F10" s="82"/>
      <c r="G10" s="82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</row>
    <row r="11" spans="2:70" ht="18.75" customHeight="1" thickTop="1" thickBot="1">
      <c r="C11" s="195" t="str">
        <f>+'Cental Budget'!C11</f>
        <v>BDP (u mil. €)</v>
      </c>
      <c r="D11" s="511">
        <f>+'Cental Budget'!D11</f>
        <v>3660700000</v>
      </c>
      <c r="E11" s="511">
        <f>+'Cental Budget'!E11</f>
        <v>0</v>
      </c>
      <c r="F11" s="512">
        <f>+'Cental Budget'!F11</f>
        <v>3594968000</v>
      </c>
      <c r="G11" s="513"/>
      <c r="H11" s="510">
        <f>+'Cental Budget'!F11</f>
        <v>3594968000</v>
      </c>
      <c r="I11" s="510">
        <f>+'Cental Budget'!K11</f>
        <v>0</v>
      </c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</row>
    <row r="12" spans="2:70" ht="19.5" customHeight="1" thickTop="1">
      <c r="C12" s="81"/>
      <c r="D12" s="83"/>
      <c r="E12" s="83"/>
      <c r="F12" s="82"/>
      <c r="G12" s="82"/>
      <c r="H12" s="84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</row>
    <row r="13" spans="2:70" ht="17.25" customHeight="1" thickBot="1">
      <c r="B13" s="85"/>
      <c r="C13" s="86"/>
      <c r="D13" s="118"/>
      <c r="E13" s="118"/>
      <c r="F13" s="118"/>
      <c r="G13" s="118"/>
      <c r="H13" s="84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</row>
    <row r="14" spans="2:70" ht="15.75" customHeight="1" thickTop="1">
      <c r="B14" s="87"/>
      <c r="C14" s="506" t="s">
        <v>259</v>
      </c>
      <c r="D14" s="508" t="s">
        <v>440</v>
      </c>
      <c r="E14" s="509"/>
      <c r="F14" s="508" t="s">
        <v>516</v>
      </c>
      <c r="G14" s="509"/>
      <c r="H14" s="508" t="s">
        <v>490</v>
      </c>
      <c r="I14" s="509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</row>
    <row r="15" spans="2:70" ht="15" customHeight="1" thickBot="1">
      <c r="C15" s="507" t="str">
        <f>IF(MasterSheet!$A$1=1,MasterSheet!B71,MasterSheet!B70)</f>
        <v>Budžet Crne Gore</v>
      </c>
      <c r="D15" s="201" t="s">
        <v>263</v>
      </c>
      <c r="E15" s="202" t="s">
        <v>150</v>
      </c>
      <c r="F15" s="201" t="s">
        <v>263</v>
      </c>
      <c r="G15" s="202" t="s">
        <v>150</v>
      </c>
      <c r="H15" s="201" t="s">
        <v>263</v>
      </c>
      <c r="I15" s="202" t="s">
        <v>150</v>
      </c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</row>
    <row r="16" spans="2:70" ht="15" customHeight="1" thickTop="1" thickBot="1">
      <c r="B16" s="80">
        <v>7</v>
      </c>
      <c r="C16" s="204" t="str">
        <f>IF(MasterSheet!$A$1=1,MasterSheet!C72,MasterSheet!B72)</f>
        <v>Izvorni prihodi</v>
      </c>
      <c r="D16" s="182">
        <f>+D17+D21+D27+D35+D41</f>
        <v>191623488.64264548</v>
      </c>
      <c r="E16" s="183">
        <f t="shared" ref="E16:E39" si="0">+D16/D$11*100</f>
        <v>5.2346132882411966</v>
      </c>
      <c r="F16" s="182">
        <f>+F17+F21+F27+F35+F40+F41</f>
        <v>199105949.82799998</v>
      </c>
      <c r="G16" s="183">
        <f t="shared" ref="G16:G47" si="1">+F16/F$11*100</f>
        <v>5.5384623681768508</v>
      </c>
      <c r="H16" s="182">
        <f>+F16-D16</f>
        <v>7482461.185354501</v>
      </c>
      <c r="I16" s="183">
        <f t="shared" ref="I16:I40" si="2">+H16/H$11*100</f>
        <v>0.20813707341357421</v>
      </c>
      <c r="J16" s="81">
        <f>+F16/D16*100-100</f>
        <v>3.9047724464031432</v>
      </c>
      <c r="K16" s="81"/>
      <c r="L16" s="81">
        <f>+F16/D16</f>
        <v>1.0390477244640315</v>
      </c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</row>
    <row r="17" spans="2:75" ht="15" customHeight="1" thickTop="1">
      <c r="B17" s="80">
        <v>711</v>
      </c>
      <c r="C17" s="94" t="str">
        <f>IF(MasterSheet!$A$1=1,MasterSheet!C73,MasterSheet!B73)</f>
        <v>Porezi</v>
      </c>
      <c r="D17" s="184">
        <f>SUM(D18:D20)</f>
        <v>113015793.439504</v>
      </c>
      <c r="E17" s="185">
        <f t="shared" si="0"/>
        <v>3.087272746728877</v>
      </c>
      <c r="F17" s="184">
        <f>SUM(F18:F20)</f>
        <v>120035467.418</v>
      </c>
      <c r="G17" s="185">
        <f t="shared" si="1"/>
        <v>3.3389856993998275</v>
      </c>
      <c r="H17" s="184">
        <f t="shared" ref="H17:H80" si="3">+F17-D17</f>
        <v>7019673.9784960002</v>
      </c>
      <c r="I17" s="185">
        <f t="shared" si="2"/>
        <v>0.19526387935848108</v>
      </c>
      <c r="J17" s="81">
        <f t="shared" ref="J17:J41" si="4">+F17/D17*100-100</f>
        <v>6.2112327532819904</v>
      </c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</row>
    <row r="18" spans="2:75" ht="15" customHeight="1">
      <c r="B18" s="80">
        <v>7111</v>
      </c>
      <c r="C18" s="100" t="str">
        <f>IF(MasterSheet!$A$1=1,MasterSheet!C74,MasterSheet!B74)</f>
        <v>Porez na dohodak fizičkih lica</v>
      </c>
      <c r="D18" s="392">
        <v>31996973.971620001</v>
      </c>
      <c r="E18" s="186">
        <f t="shared" si="0"/>
        <v>0.87406709021826434</v>
      </c>
      <c r="F18" s="392">
        <v>30961599.59</v>
      </c>
      <c r="G18" s="186">
        <f t="shared" si="1"/>
        <v>0.86124826674395993</v>
      </c>
      <c r="H18" s="211">
        <f t="shared" si="3"/>
        <v>-1035374.381620001</v>
      </c>
      <c r="I18" s="186">
        <f t="shared" si="2"/>
        <v>-2.8800656406955526E-2</v>
      </c>
      <c r="J18" s="81">
        <f t="shared" si="4"/>
        <v>-3.2358509355863987</v>
      </c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</row>
    <row r="19" spans="2:75" ht="15" customHeight="1">
      <c r="B19" s="80">
        <v>7113</v>
      </c>
      <c r="C19" s="100" t="str">
        <f>IF(MasterSheet!$A$1=1,MasterSheet!C76,MasterSheet!B76)</f>
        <v>Porez na promet nepokretnosti</v>
      </c>
      <c r="D19" s="392">
        <v>14400000</v>
      </c>
      <c r="E19" s="186">
        <f t="shared" si="0"/>
        <v>0.39336738875078542</v>
      </c>
      <c r="F19" s="392">
        <v>13076258.108000001</v>
      </c>
      <c r="G19" s="186">
        <f t="shared" si="1"/>
        <v>0.36373781652576603</v>
      </c>
      <c r="H19" s="211">
        <f t="shared" si="3"/>
        <v>-1323741.8919999991</v>
      </c>
      <c r="I19" s="186">
        <f t="shared" si="2"/>
        <v>-3.6822077192342158E-2</v>
      </c>
      <c r="J19" s="81">
        <f t="shared" si="4"/>
        <v>-9.1926520277777684</v>
      </c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3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</row>
    <row r="20" spans="2:75" ht="15" customHeight="1">
      <c r="B20" s="80">
        <v>7117</v>
      </c>
      <c r="C20" s="100" t="s">
        <v>11</v>
      </c>
      <c r="D20" s="392">
        <v>66618819.467884004</v>
      </c>
      <c r="E20" s="186">
        <f t="shared" si="0"/>
        <v>1.8198382677598275</v>
      </c>
      <c r="F20" s="392">
        <v>75997609.719999999</v>
      </c>
      <c r="G20" s="186">
        <f t="shared" si="1"/>
        <v>2.1139996161301018</v>
      </c>
      <c r="H20" s="211">
        <f t="shared" si="3"/>
        <v>9378790.2521159947</v>
      </c>
      <c r="I20" s="186">
        <f t="shared" si="2"/>
        <v>0.2608866129577786</v>
      </c>
      <c r="J20" s="81">
        <f t="shared" si="4"/>
        <v>14.078289478902235</v>
      </c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3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3"/>
      <c r="AV20" s="173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</row>
    <row r="21" spans="2:75" ht="15" customHeight="1">
      <c r="B21" s="80">
        <v>713</v>
      </c>
      <c r="C21" s="94" t="str">
        <f>IF(MasterSheet!$A$1=1,MasterSheet!C86,MasterSheet!B86)</f>
        <v>Takse</v>
      </c>
      <c r="D21" s="95">
        <f>+SUM(D22:D26)</f>
        <v>6935951.3256000001</v>
      </c>
      <c r="E21" s="215">
        <f t="shared" si="0"/>
        <v>0.18947062926762642</v>
      </c>
      <c r="F21" s="95">
        <f>+SUM(F22:F26)</f>
        <v>5281653.3100000005</v>
      </c>
      <c r="G21" s="215">
        <f t="shared" si="1"/>
        <v>0.14691795059093712</v>
      </c>
      <c r="H21" s="95">
        <f t="shared" si="3"/>
        <v>-1654298.0155999996</v>
      </c>
      <c r="I21" s="215">
        <f t="shared" si="2"/>
        <v>-4.601704425741758E-2</v>
      </c>
      <c r="J21" s="81">
        <f t="shared" si="4"/>
        <v>-23.851061490211549</v>
      </c>
      <c r="BU21" s="81"/>
      <c r="BV21" s="81"/>
      <c r="BW21" s="81"/>
    </row>
    <row r="22" spans="2:75" ht="15" hidden="1" customHeight="1">
      <c r="B22" s="80">
        <v>7131</v>
      </c>
      <c r="C22" s="100" t="str">
        <f>IF(MasterSheet!$A$1=1,MasterSheet!C87,MasterSheet!B87)</f>
        <v>Administrativne takse</v>
      </c>
      <c r="D22" s="392">
        <v>1909293.936</v>
      </c>
      <c r="E22" s="186">
        <f t="shared" si="0"/>
        <v>5.2156525691807579E-2</v>
      </c>
      <c r="F22" s="392">
        <v>1294629.26</v>
      </c>
      <c r="G22" s="186">
        <f t="shared" si="1"/>
        <v>3.6012261027080071E-2</v>
      </c>
      <c r="H22" s="211">
        <f t="shared" si="3"/>
        <v>-614664.67599999998</v>
      </c>
      <c r="I22" s="186">
        <f t="shared" si="2"/>
        <v>-1.7097917867419127E-2</v>
      </c>
      <c r="J22" s="81">
        <f t="shared" si="4"/>
        <v>-32.193297449408547</v>
      </c>
      <c r="BU22" s="81"/>
      <c r="BV22" s="81"/>
      <c r="BW22" s="81"/>
    </row>
    <row r="23" spans="2:75" ht="15" hidden="1" customHeight="1">
      <c r="B23" s="80">
        <v>7133</v>
      </c>
      <c r="C23" s="100" t="str">
        <f>IF(MasterSheet!$A$1=1,MasterSheet!C89,MasterSheet!B89)</f>
        <v>Boravišne takse</v>
      </c>
      <c r="D23" s="392">
        <v>0</v>
      </c>
      <c r="E23" s="186">
        <f t="shared" si="0"/>
        <v>0</v>
      </c>
      <c r="F23" s="392">
        <v>0</v>
      </c>
      <c r="G23" s="186">
        <f t="shared" si="1"/>
        <v>0</v>
      </c>
      <c r="H23" s="211">
        <f t="shared" si="3"/>
        <v>0</v>
      </c>
      <c r="I23" s="186">
        <f t="shared" si="2"/>
        <v>0</v>
      </c>
      <c r="J23" s="81" t="e">
        <f t="shared" si="4"/>
        <v>#DIV/0!</v>
      </c>
      <c r="BU23" s="174"/>
      <c r="BV23" s="174"/>
      <c r="BW23" s="174"/>
    </row>
    <row r="24" spans="2:75" ht="15" hidden="1" customHeight="1">
      <c r="B24" s="80">
        <v>7134</v>
      </c>
      <c r="C24" s="100" t="s">
        <v>454</v>
      </c>
      <c r="D24" s="392">
        <v>0</v>
      </c>
      <c r="E24" s="186">
        <f t="shared" si="0"/>
        <v>0</v>
      </c>
      <c r="F24" s="392">
        <v>0</v>
      </c>
      <c r="G24" s="186">
        <f t="shared" si="1"/>
        <v>0</v>
      </c>
      <c r="H24" s="211">
        <f t="shared" si="3"/>
        <v>0</v>
      </c>
      <c r="I24" s="186">
        <f t="shared" si="2"/>
        <v>0</v>
      </c>
      <c r="J24" s="81" t="e">
        <f t="shared" si="4"/>
        <v>#DIV/0!</v>
      </c>
      <c r="BU24" s="174"/>
      <c r="BV24" s="174"/>
      <c r="BW24" s="174"/>
    </row>
    <row r="25" spans="2:75" ht="15" hidden="1" customHeight="1">
      <c r="B25" s="80">
        <v>7135</v>
      </c>
      <c r="C25" s="100" t="s">
        <v>36</v>
      </c>
      <c r="D25" s="392">
        <v>4862206.2066000002</v>
      </c>
      <c r="E25" s="186">
        <f t="shared" si="0"/>
        <v>0.13282176104570165</v>
      </c>
      <c r="F25" s="392">
        <v>3588409.31</v>
      </c>
      <c r="G25" s="186">
        <f t="shared" si="1"/>
        <v>9.9817559154907642E-2</v>
      </c>
      <c r="H25" s="211">
        <f t="shared" si="3"/>
        <v>-1273796.8966000001</v>
      </c>
      <c r="I25" s="186">
        <f t="shared" si="2"/>
        <v>-3.5432774272260562E-2</v>
      </c>
      <c r="J25" s="81">
        <f t="shared" si="4"/>
        <v>-26.197920089669111</v>
      </c>
      <c r="BU25" s="174"/>
      <c r="BV25" s="174"/>
      <c r="BW25" s="174"/>
    </row>
    <row r="26" spans="2:75" ht="15" hidden="1" customHeight="1">
      <c r="B26" s="80">
        <v>7136</v>
      </c>
      <c r="C26" s="100" t="s">
        <v>37</v>
      </c>
      <c r="D26" s="392">
        <v>164451.18299999999</v>
      </c>
      <c r="E26" s="186">
        <f t="shared" si="0"/>
        <v>4.4923425301171905E-3</v>
      </c>
      <c r="F26" s="392">
        <v>398614.73999999993</v>
      </c>
      <c r="G26" s="186">
        <f t="shared" si="1"/>
        <v>1.1088130408949397E-2</v>
      </c>
      <c r="H26" s="211">
        <f t="shared" si="3"/>
        <v>234163.55699999994</v>
      </c>
      <c r="I26" s="186">
        <f t="shared" si="2"/>
        <v>6.5136478822620941E-3</v>
      </c>
      <c r="J26" s="81">
        <f t="shared" si="4"/>
        <v>142.39092278223376</v>
      </c>
      <c r="BU26" s="174"/>
      <c r="BV26" s="174"/>
      <c r="BW26" s="174"/>
    </row>
    <row r="27" spans="2:75" ht="15" customHeight="1">
      <c r="B27" s="80">
        <v>714</v>
      </c>
      <c r="C27" s="94" t="str">
        <f>IF(MasterSheet!$A$1=1,MasterSheet!C91,MasterSheet!B91)</f>
        <v>Naknade</v>
      </c>
      <c r="D27" s="95">
        <f>+SUM(D28:D34)</f>
        <v>54963809.952748001</v>
      </c>
      <c r="E27" s="215">
        <f t="shared" si="0"/>
        <v>1.5014562775629796</v>
      </c>
      <c r="F27" s="207">
        <f>+SUM(F28:F34)</f>
        <v>54060686.439999998</v>
      </c>
      <c r="G27" s="215">
        <f t="shared" si="1"/>
        <v>1.5037876954676648</v>
      </c>
      <c r="H27" s="207">
        <f t="shared" si="3"/>
        <v>-903123.51274800301</v>
      </c>
      <c r="I27" s="215">
        <f t="shared" si="2"/>
        <v>-2.5121879047268376E-2</v>
      </c>
      <c r="J27" s="81">
        <f t="shared" si="4"/>
        <v>-1.6431239274068048</v>
      </c>
      <c r="BU27" s="174"/>
      <c r="BV27" s="174"/>
      <c r="BW27" s="174"/>
    </row>
    <row r="28" spans="2:75" ht="15" hidden="1" customHeight="1">
      <c r="B28" s="80">
        <v>7141</v>
      </c>
      <c r="C28" s="100" t="str">
        <f>IF(MasterSheet!$A$1=1,MasterSheet!C92,MasterSheet!B92)</f>
        <v>Naknade za korišćenje dobara od opšteg interesa</v>
      </c>
      <c r="D28" s="219">
        <v>0</v>
      </c>
      <c r="E28" s="220">
        <f t="shared" si="0"/>
        <v>0</v>
      </c>
      <c r="F28" s="219">
        <v>2062471.0300000003</v>
      </c>
      <c r="G28" s="220">
        <f t="shared" si="1"/>
        <v>5.7371053928713701E-2</v>
      </c>
      <c r="H28" s="211">
        <f t="shared" si="3"/>
        <v>2062471.0300000003</v>
      </c>
      <c r="I28" s="220">
        <f t="shared" si="2"/>
        <v>5.7371053928713701E-2</v>
      </c>
      <c r="J28" s="81" t="e">
        <f t="shared" si="4"/>
        <v>#DIV/0!</v>
      </c>
      <c r="BU28" s="174"/>
      <c r="BV28" s="174"/>
      <c r="BW28" s="174"/>
    </row>
    <row r="29" spans="2:75" ht="15" hidden="1" customHeight="1">
      <c r="B29" s="80">
        <v>7142</v>
      </c>
      <c r="C29" s="100" t="str">
        <f>IF(MasterSheet!$A$1=1,MasterSheet!C93,MasterSheet!B93)</f>
        <v>Naknade za korišćenje prirodnih dobara</v>
      </c>
      <c r="D29" s="211">
        <v>9175773.9156000018</v>
      </c>
      <c r="E29" s="216">
        <f t="shared" si="0"/>
        <v>0.25065626562132931</v>
      </c>
      <c r="F29" s="211">
        <v>6775803.9800000004</v>
      </c>
      <c r="G29" s="216">
        <f t="shared" si="1"/>
        <v>0.18848023070024547</v>
      </c>
      <c r="H29" s="211">
        <f t="shared" si="3"/>
        <v>-2399969.9356000014</v>
      </c>
      <c r="I29" s="216">
        <f t="shared" si="2"/>
        <v>-6.6759145995179972E-2</v>
      </c>
      <c r="J29" s="81">
        <f t="shared" si="4"/>
        <v>-26.155504240571375</v>
      </c>
      <c r="BU29" s="174"/>
      <c r="BV29" s="174"/>
      <c r="BW29" s="174"/>
    </row>
    <row r="30" spans="2:75" ht="15" hidden="1" customHeight="1">
      <c r="B30" s="80">
        <v>7143</v>
      </c>
      <c r="C30" s="100" t="s">
        <v>456</v>
      </c>
      <c r="D30" s="211">
        <v>37444000</v>
      </c>
      <c r="E30" s="216">
        <f t="shared" si="0"/>
        <v>1.0228644794711395</v>
      </c>
      <c r="F30" s="211"/>
      <c r="G30" s="216">
        <f t="shared" si="1"/>
        <v>0</v>
      </c>
      <c r="H30" s="211">
        <f t="shared" si="3"/>
        <v>-37444000</v>
      </c>
      <c r="I30" s="216">
        <f t="shared" si="2"/>
        <v>-1.0415669903042253</v>
      </c>
      <c r="J30" s="81">
        <f t="shared" si="4"/>
        <v>-100</v>
      </c>
      <c r="BU30" s="174"/>
      <c r="BV30" s="174"/>
      <c r="BW30" s="174"/>
    </row>
    <row r="31" spans="2:75" ht="15" hidden="1" customHeight="1">
      <c r="B31" s="80">
        <v>7145</v>
      </c>
      <c r="C31" s="100" t="s">
        <v>458</v>
      </c>
      <c r="D31" s="219">
        <v>0</v>
      </c>
      <c r="E31" s="216">
        <f t="shared" si="0"/>
        <v>0</v>
      </c>
      <c r="F31" s="219">
        <v>38329051.369999997</v>
      </c>
      <c r="G31" s="216">
        <f t="shared" si="1"/>
        <v>1.0661861627141047</v>
      </c>
      <c r="H31" s="211">
        <f t="shared" si="3"/>
        <v>38329051.369999997</v>
      </c>
      <c r="I31" s="216">
        <f t="shared" si="2"/>
        <v>1.0661861627141047</v>
      </c>
      <c r="J31" s="81" t="e">
        <f t="shared" si="4"/>
        <v>#DIV/0!</v>
      </c>
      <c r="BU31" s="174"/>
      <c r="BV31" s="174"/>
      <c r="BW31" s="174"/>
    </row>
    <row r="32" spans="2:75" ht="26.1" hidden="1" customHeight="1">
      <c r="B32" s="214">
        <v>7147</v>
      </c>
      <c r="C32" s="213" t="s">
        <v>455</v>
      </c>
      <c r="D32" s="219">
        <v>2411459.6526000001</v>
      </c>
      <c r="E32" s="216">
        <f t="shared" si="0"/>
        <v>6.5874276848690141E-2</v>
      </c>
      <c r="F32" s="219">
        <v>3487049.5300000003</v>
      </c>
      <c r="G32" s="216">
        <f t="shared" si="1"/>
        <v>9.6998068689345782E-2</v>
      </c>
      <c r="H32" s="211">
        <f t="shared" si="3"/>
        <v>1075589.8774000001</v>
      </c>
      <c r="I32" s="216">
        <f t="shared" si="2"/>
        <v>2.9919317151084521E-2</v>
      </c>
      <c r="J32" s="81">
        <f t="shared" si="4"/>
        <v>44.603270730253143</v>
      </c>
      <c r="BU32" s="174"/>
      <c r="BV32" s="174"/>
      <c r="BW32" s="174"/>
    </row>
    <row r="33" spans="1:78" ht="15" hidden="1" customHeight="1">
      <c r="B33" s="80">
        <v>7148</v>
      </c>
      <c r="C33" s="100" t="str">
        <f>IF(MasterSheet!$A$1=1,MasterSheet!C96,MasterSheet!B96)</f>
        <v>Naknada za puteve</v>
      </c>
      <c r="D33" s="392"/>
      <c r="E33" s="216">
        <f>+D33/D$11*100</f>
        <v>0</v>
      </c>
      <c r="F33" s="392"/>
      <c r="G33" s="216">
        <f t="shared" si="1"/>
        <v>0</v>
      </c>
      <c r="H33" s="211">
        <f>+F33-D33</f>
        <v>0</v>
      </c>
      <c r="I33" s="216">
        <f t="shared" si="2"/>
        <v>0</v>
      </c>
      <c r="J33" s="81" t="e">
        <f>+F33/D33*100-100</f>
        <v>#DIV/0!</v>
      </c>
      <c r="BU33" s="174"/>
      <c r="BV33" s="174"/>
      <c r="BW33" s="174"/>
      <c r="BX33" s="81"/>
      <c r="BY33" s="81"/>
    </row>
    <row r="34" spans="1:78" ht="15" hidden="1" customHeight="1">
      <c r="B34" s="80">
        <v>7149</v>
      </c>
      <c r="C34" s="100" t="str">
        <f>IF(MasterSheet!$A$1=1,MasterSheet!C97,MasterSheet!B97)</f>
        <v>Ostale naknade</v>
      </c>
      <c r="D34" s="392">
        <v>5932576.3845480001</v>
      </c>
      <c r="E34" s="186">
        <f>+D34/D$11*100</f>
        <v>0.16206125562182097</v>
      </c>
      <c r="F34" s="392">
        <v>3406310.5300000003</v>
      </c>
      <c r="G34" s="186">
        <f t="shared" si="1"/>
        <v>9.475217943525506E-2</v>
      </c>
      <c r="H34" s="211">
        <f>+F34-D34</f>
        <v>-2526265.8545479998</v>
      </c>
      <c r="I34" s="186">
        <f t="shared" si="2"/>
        <v>-7.0272276541766154E-2</v>
      </c>
      <c r="J34" s="81">
        <f>+F34/D34*100-100</f>
        <v>-42.582946949118373</v>
      </c>
      <c r="BU34" s="81"/>
      <c r="BV34" s="81"/>
      <c r="BW34" s="81"/>
      <c r="BX34" s="81"/>
      <c r="BY34" s="81"/>
    </row>
    <row r="35" spans="1:78" ht="15" customHeight="1">
      <c r="B35" s="80">
        <v>715</v>
      </c>
      <c r="C35" s="94" t="str">
        <f>IF(MasterSheet!$A$1=1,MasterSheet!C98,MasterSheet!B98)</f>
        <v>Ostali prihodi</v>
      </c>
      <c r="D35" s="187">
        <f>+SUM(D36:D39)</f>
        <v>13707933.924793474</v>
      </c>
      <c r="E35" s="188">
        <f t="shared" si="0"/>
        <v>0.3744620953586329</v>
      </c>
      <c r="F35" s="187">
        <f>+SUM(F36:F39)</f>
        <v>12492829.039999999</v>
      </c>
      <c r="G35" s="188">
        <f t="shared" si="1"/>
        <v>0.34750876892367327</v>
      </c>
      <c r="H35" s="187">
        <f t="shared" si="3"/>
        <v>-1215104.8847934753</v>
      </c>
      <c r="I35" s="188">
        <f t="shared" si="2"/>
        <v>-3.3800158577029761E-2</v>
      </c>
      <c r="J35" s="81">
        <f t="shared" si="4"/>
        <v>-8.8642452718255385</v>
      </c>
      <c r="BU35" s="81"/>
      <c r="BV35" s="81"/>
      <c r="BW35" s="81"/>
      <c r="BX35" s="81"/>
      <c r="BY35" s="81"/>
    </row>
    <row r="36" spans="1:78" ht="15" hidden="1" customHeight="1">
      <c r="B36" s="80">
        <v>7151</v>
      </c>
      <c r="C36" s="100" t="str">
        <f>IF(MasterSheet!$A$1=1,MasterSheet!C99,MasterSheet!B99)</f>
        <v>Prihodi od kapitala</v>
      </c>
      <c r="D36" s="392">
        <v>2549371.6640000003</v>
      </c>
      <c r="E36" s="186">
        <f t="shared" si="0"/>
        <v>6.9641644057147553E-2</v>
      </c>
      <c r="F36" s="392">
        <v>2333126.7100000004</v>
      </c>
      <c r="G36" s="186">
        <f t="shared" si="1"/>
        <v>6.4899790763088869E-2</v>
      </c>
      <c r="H36" s="211">
        <f t="shared" si="3"/>
        <v>-216244.95399999991</v>
      </c>
      <c r="I36" s="186">
        <f t="shared" si="2"/>
        <v>-6.0152122077303588E-3</v>
      </c>
      <c r="J36" s="81">
        <f t="shared" si="4"/>
        <v>-8.4822843625989179</v>
      </c>
      <c r="BU36" s="175"/>
      <c r="BV36" s="175"/>
      <c r="BW36" s="175"/>
      <c r="BX36" s="175"/>
      <c r="BY36" s="175"/>
      <c r="BZ36" s="176"/>
    </row>
    <row r="37" spans="1:78" ht="15" hidden="1" customHeight="1">
      <c r="B37" s="80">
        <v>7152</v>
      </c>
      <c r="C37" s="100" t="str">
        <f>IF(MasterSheet!$A$1=1,MasterSheet!C100,MasterSheet!B100)</f>
        <v>Novčane kazne i oduzete imovinske koristi</v>
      </c>
      <c r="D37" s="392">
        <v>764409.64174400002</v>
      </c>
      <c r="E37" s="186">
        <f t="shared" si="0"/>
        <v>2.0881515604775042E-2</v>
      </c>
      <c r="F37" s="392">
        <v>571857.4099999998</v>
      </c>
      <c r="G37" s="186">
        <f t="shared" si="1"/>
        <v>1.5907162734132816E-2</v>
      </c>
      <c r="H37" s="211">
        <f t="shared" si="3"/>
        <v>-192552.23174400022</v>
      </c>
      <c r="I37" s="186">
        <f t="shared" si="2"/>
        <v>-5.3561598251778662E-3</v>
      </c>
      <c r="J37" s="81">
        <f t="shared" si="4"/>
        <v>-25.189665492011898</v>
      </c>
      <c r="BU37" s="175"/>
      <c r="BV37" s="175"/>
      <c r="BW37" s="177"/>
      <c r="BX37" s="177"/>
      <c r="BY37" s="178"/>
      <c r="BZ37" s="176"/>
    </row>
    <row r="38" spans="1:78" ht="15" hidden="1" customHeight="1">
      <c r="B38" s="80">
        <v>7153</v>
      </c>
      <c r="C38" s="100" t="str">
        <f>IF(MasterSheet!$A$1=1,MasterSheet!C101,MasterSheet!B101)</f>
        <v>Prihodi koje organi ostvaruju vršenjem svoje djelatnosti</v>
      </c>
      <c r="D38" s="392">
        <v>4398453.0910494728</v>
      </c>
      <c r="E38" s="186">
        <f t="shared" si="0"/>
        <v>0.12015333381728829</v>
      </c>
      <c r="F38" s="392">
        <v>3193246.12</v>
      </c>
      <c r="G38" s="186">
        <f t="shared" si="1"/>
        <v>8.8825439336316772E-2</v>
      </c>
      <c r="H38" s="211">
        <f t="shared" si="3"/>
        <v>-1205206.9710494727</v>
      </c>
      <c r="I38" s="186">
        <f t="shared" si="2"/>
        <v>-3.3524831682770824E-2</v>
      </c>
      <c r="J38" s="81">
        <f t="shared" si="4"/>
        <v>-27.400700794149188</v>
      </c>
      <c r="BU38" s="81"/>
      <c r="BV38" s="81"/>
      <c r="BW38" s="179"/>
      <c r="BX38" s="179"/>
      <c r="BY38" s="179"/>
      <c r="BZ38" s="176"/>
    </row>
    <row r="39" spans="1:78" ht="15" hidden="1" customHeight="1">
      <c r="B39" s="80">
        <v>7154</v>
      </c>
      <c r="C39" s="100" t="str">
        <f>IF(MasterSheet!$A$1=1,MasterSheet!C102,MasterSheet!B102)</f>
        <v>Ostali prihodi</v>
      </c>
      <c r="D39" s="392">
        <v>5995699.5280000009</v>
      </c>
      <c r="E39" s="186">
        <f t="shared" si="0"/>
        <v>0.16378560187942198</v>
      </c>
      <c r="F39" s="392">
        <v>6394598.7999999989</v>
      </c>
      <c r="G39" s="186">
        <f t="shared" si="1"/>
        <v>0.17787637609013485</v>
      </c>
      <c r="H39" s="211">
        <f t="shared" si="3"/>
        <v>398899.27199999802</v>
      </c>
      <c r="I39" s="186">
        <f t="shared" si="2"/>
        <v>1.1096045138649301E-2</v>
      </c>
      <c r="J39" s="81">
        <f t="shared" si="4"/>
        <v>6.6530897710456145</v>
      </c>
      <c r="BT39" s="106"/>
      <c r="BU39" s="106"/>
      <c r="BV39" s="103"/>
      <c r="BW39" s="179"/>
      <c r="BX39" s="179"/>
      <c r="BY39" s="179"/>
      <c r="BZ39" s="176"/>
    </row>
    <row r="40" spans="1:78">
      <c r="B40" s="80">
        <v>73</v>
      </c>
      <c r="C40" s="111" t="str">
        <f>IF(MasterSheet!$A$1=1,MasterSheet!C103,MasterSheet!B103)</f>
        <v>Primici od otplate kredita i sredstva prenijeta iz prethodne godine</v>
      </c>
      <c r="D40" s="187">
        <v>0</v>
      </c>
      <c r="E40" s="188">
        <f t="shared" ref="E40:E62" si="5">+D40/D$11*100</f>
        <v>0</v>
      </c>
      <c r="F40" s="187">
        <v>301707.61</v>
      </c>
      <c r="G40" s="188">
        <f t="shared" si="1"/>
        <v>8.3924977913572528E-3</v>
      </c>
      <c r="H40" s="207">
        <f t="shared" si="3"/>
        <v>301707.61</v>
      </c>
      <c r="I40" s="188">
        <f t="shared" si="2"/>
        <v>8.3924977913572528E-3</v>
      </c>
      <c r="J40" s="81" t="e">
        <f t="shared" si="4"/>
        <v>#DIV/0!</v>
      </c>
      <c r="BT40" s="106"/>
      <c r="BU40" s="106"/>
      <c r="BV40" s="103"/>
      <c r="BW40" s="179"/>
      <c r="BX40" s="179"/>
      <c r="BY40" s="179"/>
      <c r="BZ40" s="176"/>
    </row>
    <row r="41" spans="1:78" ht="13.5" customHeight="1" thickBot="1">
      <c r="B41" s="80">
        <v>74</v>
      </c>
      <c r="C41" s="94" t="s">
        <v>123</v>
      </c>
      <c r="D41" s="187">
        <v>3000000</v>
      </c>
      <c r="E41" s="188">
        <f t="shared" si="5"/>
        <v>8.1951539323080289E-2</v>
      </c>
      <c r="F41" s="187">
        <v>6933606.0099999998</v>
      </c>
      <c r="G41" s="188">
        <f t="shared" si="1"/>
        <v>0.1928697560033914</v>
      </c>
      <c r="H41" s="205">
        <f t="shared" si="3"/>
        <v>3933606.01</v>
      </c>
      <c r="I41" s="188">
        <f>+H41/H$11*100</f>
        <v>0.10941977814545219</v>
      </c>
      <c r="J41" s="81">
        <f t="shared" si="4"/>
        <v>131.12020033333334</v>
      </c>
      <c r="BU41" s="181"/>
      <c r="BV41" s="181"/>
      <c r="BW41" s="179"/>
      <c r="BX41" s="179"/>
      <c r="BY41" s="179"/>
      <c r="BZ41" s="176"/>
    </row>
    <row r="42" spans="1:78" ht="15" customHeight="1" thickTop="1" thickBot="1">
      <c r="B42" s="112"/>
      <c r="C42" s="204" t="str">
        <f>IF(MasterSheet!$A$1=1,MasterSheet!C104,MasterSheet!B104)</f>
        <v>Izdaci</v>
      </c>
      <c r="D42" s="206">
        <f>+D44+D54+D56+SUM(D59:D62)</f>
        <v>177247072.33414942</v>
      </c>
      <c r="E42" s="217">
        <f t="shared" si="5"/>
        <v>4.8418901394309675</v>
      </c>
      <c r="F42" s="206">
        <f>+F44+F54+F56+SUM(F59:F62)</f>
        <v>210595268.31300002</v>
      </c>
      <c r="G42" s="217">
        <f t="shared" si="1"/>
        <v>5.8580568259022057</v>
      </c>
      <c r="H42" s="206">
        <f t="shared" si="3"/>
        <v>33348195.978850603</v>
      </c>
      <c r="I42" s="217">
        <f t="shared" ref="I42:I77" si="6">+H42/H$11*100</f>
        <v>0.92763540534576672</v>
      </c>
      <c r="BU42" s="81"/>
      <c r="BV42" s="81"/>
      <c r="BW42" s="179"/>
      <c r="BX42" s="179"/>
      <c r="BY42" s="179"/>
      <c r="BZ42" s="176"/>
    </row>
    <row r="43" spans="1:78" ht="13.5" customHeight="1" thickTop="1" thickBot="1">
      <c r="C43" s="204" t="str">
        <f>IF(MasterSheet!$A$1=1,MasterSheet!C105,MasterSheet!B105)</f>
        <v>Tekuća budžetska potrošnja</v>
      </c>
      <c r="D43" s="206">
        <f>+D42-D59</f>
        <v>142247072.33414942</v>
      </c>
      <c r="E43" s="217">
        <f t="shared" si="5"/>
        <v>3.8857888473283642</v>
      </c>
      <c r="F43" s="206">
        <f>+F42-F59</f>
        <v>170462425.41300002</v>
      </c>
      <c r="G43" s="217">
        <f t="shared" si="1"/>
        <v>4.7416952087751554</v>
      </c>
      <c r="H43" s="206">
        <f t="shared" si="3"/>
        <v>28215353.078850597</v>
      </c>
      <c r="I43" s="217">
        <f t="shared" si="6"/>
        <v>0.78485686322800641</v>
      </c>
      <c r="BU43" s="181"/>
      <c r="BV43" s="181"/>
      <c r="BW43" s="179"/>
      <c r="BX43" s="179"/>
      <c r="BY43" s="179"/>
      <c r="BZ43" s="176"/>
    </row>
    <row r="44" spans="1:78" ht="13.5" customHeight="1" thickTop="1">
      <c r="A44" s="80">
        <v>41</v>
      </c>
      <c r="C44" s="94" t="s">
        <v>63</v>
      </c>
      <c r="D44" s="95">
        <f>+SUM(D45:D53)</f>
        <v>63265369.140000008</v>
      </c>
      <c r="E44" s="215">
        <f t="shared" si="5"/>
        <v>1.7282314622886337</v>
      </c>
      <c r="F44" s="207">
        <f>+SUM(F45:F53)</f>
        <v>81103981.883000001</v>
      </c>
      <c r="G44" s="215">
        <f t="shared" si="1"/>
        <v>2.2560418307756844</v>
      </c>
      <c r="H44" s="207">
        <f t="shared" si="3"/>
        <v>17838612.742999993</v>
      </c>
      <c r="I44" s="215">
        <f t="shared" si="6"/>
        <v>0.4962106128065672</v>
      </c>
      <c r="BU44" s="181"/>
      <c r="BV44" s="181"/>
      <c r="BW44" s="179"/>
      <c r="BX44" s="179"/>
      <c r="BY44" s="179"/>
      <c r="BZ44" s="176"/>
    </row>
    <row r="45" spans="1:78" ht="13.5" customHeight="1">
      <c r="B45" s="80">
        <v>411</v>
      </c>
      <c r="C45" s="94" t="s">
        <v>64</v>
      </c>
      <c r="D45" s="207">
        <v>36040618.039999999</v>
      </c>
      <c r="E45" s="188">
        <f t="shared" si="5"/>
        <v>0.98452804217772549</v>
      </c>
      <c r="F45" s="207">
        <v>46614673.850000001</v>
      </c>
      <c r="G45" s="188">
        <f t="shared" si="1"/>
        <v>1.2966645002125192</v>
      </c>
      <c r="H45" s="207">
        <f t="shared" si="3"/>
        <v>10574055.810000002</v>
      </c>
      <c r="I45" s="188">
        <f t="shared" si="6"/>
        <v>0.29413490773770457</v>
      </c>
      <c r="BU45" s="181"/>
      <c r="BV45" s="181"/>
      <c r="BW45" s="179"/>
      <c r="BX45" s="179"/>
      <c r="BY45" s="179"/>
      <c r="BZ45" s="176"/>
    </row>
    <row r="46" spans="1:78" ht="13.5" customHeight="1">
      <c r="B46" s="80">
        <v>412</v>
      </c>
      <c r="C46" s="94" t="s">
        <v>75</v>
      </c>
      <c r="D46" s="207">
        <v>2483676.67</v>
      </c>
      <c r="E46" s="188">
        <f t="shared" si="5"/>
        <v>6.7847042095774024E-2</v>
      </c>
      <c r="F46" s="207">
        <v>5051688.9400000004</v>
      </c>
      <c r="G46" s="188">
        <f t="shared" si="1"/>
        <v>0.14052111006273213</v>
      </c>
      <c r="H46" s="207">
        <f t="shared" si="3"/>
        <v>2568012.2700000005</v>
      </c>
      <c r="I46" s="188">
        <f t="shared" si="6"/>
        <v>7.1433522356805418E-2</v>
      </c>
      <c r="BU46" s="181"/>
      <c r="BV46" s="181"/>
      <c r="BW46" s="179"/>
      <c r="BX46" s="179"/>
      <c r="BY46" s="179"/>
      <c r="BZ46" s="176"/>
    </row>
    <row r="47" spans="1:78" ht="13.5" customHeight="1">
      <c r="B47" s="80">
        <v>413</v>
      </c>
      <c r="C47" s="94" t="s">
        <v>448</v>
      </c>
      <c r="D47" s="207">
        <v>15003900.02</v>
      </c>
      <c r="E47" s="188">
        <f t="shared" si="5"/>
        <v>0.40986423416286505</v>
      </c>
      <c r="F47" s="207">
        <v>6695243.5399999991</v>
      </c>
      <c r="G47" s="188">
        <f t="shared" si="1"/>
        <v>0.18623930838883682</v>
      </c>
      <c r="H47" s="207">
        <f t="shared" si="3"/>
        <v>-8308656.4800000004</v>
      </c>
      <c r="I47" s="188">
        <f t="shared" si="6"/>
        <v>-0.23111906642840774</v>
      </c>
      <c r="BU47" s="181"/>
      <c r="BV47" s="181"/>
      <c r="BW47" s="179"/>
      <c r="BX47" s="179"/>
      <c r="BY47" s="179"/>
      <c r="BZ47" s="176"/>
    </row>
    <row r="48" spans="1:78" ht="13.5" customHeight="1">
      <c r="B48" s="80">
        <v>414</v>
      </c>
      <c r="C48" s="94" t="s">
        <v>449</v>
      </c>
      <c r="D48" s="207">
        <v>0</v>
      </c>
      <c r="E48" s="215">
        <f t="shared" si="5"/>
        <v>0</v>
      </c>
      <c r="F48" s="207">
        <v>9875543.7130000014</v>
      </c>
      <c r="G48" s="215">
        <f t="shared" ref="G48:G66" si="7">+F48/F$11*100</f>
        <v>0.2747046347283203</v>
      </c>
      <c r="H48" s="207">
        <f t="shared" si="3"/>
        <v>9875543.7130000014</v>
      </c>
      <c r="I48" s="215">
        <f t="shared" si="6"/>
        <v>0.2747046347283203</v>
      </c>
      <c r="BU48" s="181"/>
      <c r="BV48" s="181"/>
      <c r="BW48" s="179"/>
      <c r="BX48" s="179"/>
      <c r="BY48" s="179"/>
      <c r="BZ48" s="176"/>
    </row>
    <row r="49" spans="1:78" ht="13.5" customHeight="1">
      <c r="B49" s="80">
        <v>415</v>
      </c>
      <c r="C49" s="94" t="s">
        <v>450</v>
      </c>
      <c r="D49" s="207">
        <v>3981477.42</v>
      </c>
      <c r="E49" s="188">
        <f t="shared" si="5"/>
        <v>0.10876273444969541</v>
      </c>
      <c r="F49" s="207">
        <v>4761373.5799999982</v>
      </c>
      <c r="G49" s="188">
        <f t="shared" si="7"/>
        <v>0.13244550660812551</v>
      </c>
      <c r="H49" s="207">
        <f t="shared" si="3"/>
        <v>779896.15999999829</v>
      </c>
      <c r="I49" s="188">
        <f t="shared" si="6"/>
        <v>2.1694105761163891E-2</v>
      </c>
      <c r="BU49" s="181"/>
      <c r="BV49" s="181"/>
      <c r="BW49" s="179"/>
      <c r="BX49" s="179"/>
      <c r="BY49" s="179"/>
      <c r="BZ49" s="176"/>
    </row>
    <row r="50" spans="1:78" ht="13.5" customHeight="1">
      <c r="B50" s="80">
        <v>416</v>
      </c>
      <c r="C50" s="94" t="s">
        <v>80</v>
      </c>
      <c r="D50" s="207">
        <v>3347292.06</v>
      </c>
      <c r="E50" s="188">
        <f t="shared" si="5"/>
        <v>9.1438578960308131E-2</v>
      </c>
      <c r="F50" s="207">
        <v>4442822.2999999989</v>
      </c>
      <c r="G50" s="188">
        <f t="shared" si="7"/>
        <v>0.12358447418725281</v>
      </c>
      <c r="H50" s="207">
        <f t="shared" si="3"/>
        <v>1095530.2399999988</v>
      </c>
      <c r="I50" s="188">
        <f t="shared" si="6"/>
        <v>3.0473991423567576E-2</v>
      </c>
      <c r="BU50" s="181"/>
      <c r="BV50" s="181"/>
      <c r="BW50" s="179"/>
      <c r="BX50" s="179"/>
      <c r="BY50" s="179"/>
      <c r="BZ50" s="176"/>
    </row>
    <row r="51" spans="1:78" ht="13.5" customHeight="1">
      <c r="B51" s="80">
        <v>417</v>
      </c>
      <c r="C51" s="94" t="s">
        <v>82</v>
      </c>
      <c r="D51" s="207">
        <v>435777.18</v>
      </c>
      <c r="E51" s="188">
        <f t="shared" si="5"/>
        <v>1.1904203567623679E-2</v>
      </c>
      <c r="F51" s="207">
        <v>583055.70000000007</v>
      </c>
      <c r="G51" s="188">
        <f t="shared" si="7"/>
        <v>1.6218661751648416E-2</v>
      </c>
      <c r="H51" s="207">
        <f t="shared" si="3"/>
        <v>147278.52000000008</v>
      </c>
      <c r="I51" s="188">
        <f t="shared" si="6"/>
        <v>4.0967964109833539E-3</v>
      </c>
      <c r="BU51" s="181"/>
      <c r="BV51" s="181"/>
      <c r="BW51" s="179"/>
      <c r="BX51" s="179"/>
      <c r="BY51" s="179"/>
      <c r="BZ51" s="176"/>
    </row>
    <row r="52" spans="1:78" ht="13.5" customHeight="1">
      <c r="B52" s="80">
        <v>418</v>
      </c>
      <c r="C52" s="94" t="s">
        <v>84</v>
      </c>
      <c r="D52" s="207">
        <v>758994.65</v>
      </c>
      <c r="E52" s="188">
        <f t="shared" si="5"/>
        <v>2.0733593301827519E-2</v>
      </c>
      <c r="F52" s="207">
        <v>667323.80999999994</v>
      </c>
      <c r="G52" s="188">
        <f t="shared" si="7"/>
        <v>1.8562719056191876E-2</v>
      </c>
      <c r="H52" s="207">
        <f t="shared" si="3"/>
        <v>-91670.840000000084</v>
      </c>
      <c r="I52" s="188">
        <f t="shared" si="6"/>
        <v>-2.549976522739565E-3</v>
      </c>
      <c r="BU52" s="181"/>
      <c r="BV52" s="181"/>
      <c r="BW52" s="179"/>
      <c r="BX52" s="179"/>
      <c r="BY52" s="179"/>
      <c r="BZ52" s="176"/>
    </row>
    <row r="53" spans="1:78" ht="13.5" customHeight="1">
      <c r="B53" s="80">
        <v>419</v>
      </c>
      <c r="C53" s="94" t="s">
        <v>86</v>
      </c>
      <c r="D53" s="207">
        <v>1213633.1000000001</v>
      </c>
      <c r="E53" s="188">
        <f t="shared" si="5"/>
        <v>3.3153033572813941E-2</v>
      </c>
      <c r="F53" s="207">
        <v>2412256.4500000002</v>
      </c>
      <c r="G53" s="188">
        <f t="shared" si="7"/>
        <v>6.7100915780057016E-2</v>
      </c>
      <c r="H53" s="207">
        <f t="shared" si="3"/>
        <v>1198623.3500000001</v>
      </c>
      <c r="I53" s="188">
        <f t="shared" si="6"/>
        <v>3.334169733916964E-2</v>
      </c>
      <c r="BU53" s="181"/>
      <c r="BV53" s="181"/>
      <c r="BW53" s="179"/>
      <c r="BX53" s="179"/>
      <c r="BY53" s="179"/>
      <c r="BZ53" s="176"/>
    </row>
    <row r="54" spans="1:78" ht="13.5" customHeight="1">
      <c r="A54" s="80">
        <v>42</v>
      </c>
      <c r="B54" s="80" t="s">
        <v>447</v>
      </c>
      <c r="C54" s="94" t="s">
        <v>87</v>
      </c>
      <c r="D54" s="187">
        <f>SUM(D55:D55)</f>
        <v>584518.25250000018</v>
      </c>
      <c r="E54" s="188">
        <f t="shared" si="5"/>
        <v>1.596739018493731E-2</v>
      </c>
      <c r="F54" s="207">
        <f>SUM(F55:F55)</f>
        <v>817712.74</v>
      </c>
      <c r="G54" s="188">
        <f t="shared" si="7"/>
        <v>2.2746036682384934E-2</v>
      </c>
      <c r="H54" s="207">
        <f t="shared" si="3"/>
        <v>233194.48749999981</v>
      </c>
      <c r="I54" s="188">
        <f t="shared" si="6"/>
        <v>6.4866916061561549E-3</v>
      </c>
      <c r="BU54" s="181"/>
      <c r="BV54" s="181"/>
      <c r="BW54" s="179"/>
      <c r="BX54" s="179"/>
      <c r="BY54" s="179"/>
      <c r="BZ54" s="176"/>
    </row>
    <row r="55" spans="1:78" ht="13.5" hidden="1" customHeight="1">
      <c r="B55" s="80">
        <v>421</v>
      </c>
      <c r="C55" s="100" t="s">
        <v>89</v>
      </c>
      <c r="D55" s="219">
        <v>584518.25250000018</v>
      </c>
      <c r="E55" s="186">
        <f t="shared" si="5"/>
        <v>1.596739018493731E-2</v>
      </c>
      <c r="F55" s="211">
        <v>817712.74</v>
      </c>
      <c r="G55" s="186">
        <f t="shared" si="7"/>
        <v>2.2746036682384934E-2</v>
      </c>
      <c r="H55" s="211">
        <f t="shared" si="3"/>
        <v>233194.48749999981</v>
      </c>
      <c r="I55" s="186">
        <f t="shared" si="6"/>
        <v>6.4866916061561549E-3</v>
      </c>
      <c r="BU55" s="181"/>
      <c r="BV55" s="181"/>
      <c r="BW55" s="179"/>
      <c r="BX55" s="179"/>
      <c r="BY55" s="179"/>
      <c r="BZ55" s="176"/>
    </row>
    <row r="56" spans="1:78" ht="13.5" customHeight="1" thickBot="1">
      <c r="A56" s="80">
        <v>43</v>
      </c>
      <c r="C56" s="94" t="s">
        <v>452</v>
      </c>
      <c r="D56" s="95">
        <f>+SUM(D57:D58)</f>
        <v>32336274.093349405</v>
      </c>
      <c r="E56" s="215">
        <f t="shared" si="5"/>
        <v>0.88333581264100869</v>
      </c>
      <c r="F56" s="207">
        <f>+F57+F58</f>
        <v>37814642.710000001</v>
      </c>
      <c r="G56" s="215">
        <f t="shared" si="7"/>
        <v>1.0518770322851276</v>
      </c>
      <c r="H56" s="207">
        <f t="shared" si="3"/>
        <v>5478368.6166505963</v>
      </c>
      <c r="I56" s="215">
        <f t="shared" si="6"/>
        <v>0.15238991325237378</v>
      </c>
      <c r="BU56" s="181"/>
      <c r="BV56" s="181"/>
      <c r="BW56" s="179"/>
      <c r="BX56" s="179"/>
      <c r="BY56" s="179"/>
      <c r="BZ56" s="176"/>
    </row>
    <row r="57" spans="1:78" ht="13.5" hidden="1" customHeight="1">
      <c r="A57" s="80" t="s">
        <v>447</v>
      </c>
      <c r="B57" s="80">
        <v>431</v>
      </c>
      <c r="C57" s="100" t="s">
        <v>452</v>
      </c>
      <c r="D57" s="205">
        <v>32336274.093349405</v>
      </c>
      <c r="E57" s="186">
        <f t="shared" si="5"/>
        <v>0.88333581264100869</v>
      </c>
      <c r="F57" s="211">
        <v>20827970.48</v>
      </c>
      <c r="G57" s="186">
        <f t="shared" si="7"/>
        <v>0.57936455846060386</v>
      </c>
      <c r="H57" s="211">
        <f t="shared" si="3"/>
        <v>-11508303.613349404</v>
      </c>
      <c r="I57" s="186">
        <f t="shared" si="6"/>
        <v>-0.32012256057214983</v>
      </c>
      <c r="BU57" s="181"/>
      <c r="BV57" s="181"/>
      <c r="BW57" s="179"/>
      <c r="BX57" s="179"/>
      <c r="BY57" s="179"/>
      <c r="BZ57" s="176"/>
    </row>
    <row r="58" spans="1:78" ht="13.5" hidden="1" customHeight="1" thickBot="1">
      <c r="A58" s="80" t="s">
        <v>447</v>
      </c>
      <c r="B58" s="80">
        <v>432</v>
      </c>
      <c r="C58" s="100" t="s">
        <v>453</v>
      </c>
      <c r="D58" s="207">
        <v>0</v>
      </c>
      <c r="E58" s="215">
        <f t="shared" si="5"/>
        <v>0</v>
      </c>
      <c r="F58" s="211">
        <v>16986672.23</v>
      </c>
      <c r="G58" s="215">
        <f t="shared" si="7"/>
        <v>0.47251247382452366</v>
      </c>
      <c r="H58" s="211">
        <f t="shared" si="3"/>
        <v>16986672.23</v>
      </c>
      <c r="I58" s="215">
        <f t="shared" si="6"/>
        <v>0.47251247382452366</v>
      </c>
      <c r="BU58" s="181"/>
      <c r="BV58" s="181"/>
      <c r="BW58" s="179"/>
      <c r="BX58" s="179"/>
      <c r="BY58" s="179"/>
      <c r="BZ58" s="176"/>
    </row>
    <row r="59" spans="1:78" ht="13.5" customHeight="1" thickTop="1" thickBot="1">
      <c r="B59" s="80">
        <v>44</v>
      </c>
      <c r="C59" s="204" t="s">
        <v>281</v>
      </c>
      <c r="D59" s="206">
        <v>35000000</v>
      </c>
      <c r="E59" s="217">
        <f t="shared" si="5"/>
        <v>0.95610129210260342</v>
      </c>
      <c r="F59" s="206">
        <v>40132842.900000006</v>
      </c>
      <c r="G59" s="217">
        <f t="shared" si="7"/>
        <v>1.1163616171270512</v>
      </c>
      <c r="H59" s="206">
        <f t="shared" si="3"/>
        <v>5132842.900000006</v>
      </c>
      <c r="I59" s="217">
        <f t="shared" si="6"/>
        <v>0.14277854211776031</v>
      </c>
      <c r="BU59" s="181"/>
      <c r="BV59" s="181"/>
      <c r="BW59" s="179"/>
      <c r="BX59" s="179"/>
      <c r="BY59" s="179"/>
      <c r="BZ59" s="176"/>
    </row>
    <row r="60" spans="1:78" ht="13.5" customHeight="1" thickTop="1">
      <c r="B60" s="80">
        <v>451</v>
      </c>
      <c r="C60" s="346" t="s">
        <v>111</v>
      </c>
      <c r="D60" s="348">
        <v>2206408.9481500001</v>
      </c>
      <c r="E60" s="185">
        <f t="shared" si="5"/>
        <v>6.0272869892370316E-2</v>
      </c>
      <c r="F60" s="349">
        <v>1723394.15</v>
      </c>
      <c r="G60" s="185">
        <f t="shared" si="7"/>
        <v>4.793906788600065E-2</v>
      </c>
      <c r="H60" s="349">
        <f t="shared" si="3"/>
        <v>-483014.79815000016</v>
      </c>
      <c r="I60" s="185">
        <f t="shared" si="6"/>
        <v>-1.3435858070224831E-2</v>
      </c>
      <c r="BU60" s="181"/>
      <c r="BV60" s="181"/>
      <c r="BW60" s="179"/>
      <c r="BX60" s="179"/>
      <c r="BY60" s="179"/>
      <c r="BZ60" s="176"/>
    </row>
    <row r="61" spans="1:78" ht="13.5" customHeight="1">
      <c r="B61" s="80">
        <v>47</v>
      </c>
      <c r="C61" s="94" t="s">
        <v>118</v>
      </c>
      <c r="D61" s="99">
        <v>3854501.9001500001</v>
      </c>
      <c r="E61" s="188">
        <f t="shared" si="5"/>
        <v>0.10529412134701013</v>
      </c>
      <c r="F61" s="207">
        <v>1883983.68</v>
      </c>
      <c r="G61" s="188">
        <f t="shared" si="7"/>
        <v>5.2406132126906271E-2</v>
      </c>
      <c r="H61" s="207">
        <f t="shared" si="3"/>
        <v>-1970518.2201500002</v>
      </c>
      <c r="I61" s="188">
        <f t="shared" si="6"/>
        <v>-5.4813233946727762E-2</v>
      </c>
      <c r="BU61" s="181"/>
      <c r="BV61" s="181"/>
      <c r="BW61" s="179"/>
      <c r="BX61" s="179"/>
      <c r="BY61" s="179"/>
      <c r="BZ61" s="176"/>
    </row>
    <row r="62" spans="1:78" ht="13.5" customHeight="1" thickBot="1">
      <c r="B62" s="80">
        <v>4630</v>
      </c>
      <c r="C62" s="347" t="s">
        <v>116</v>
      </c>
      <c r="D62" s="219">
        <v>40000000</v>
      </c>
      <c r="E62" s="469">
        <f t="shared" si="5"/>
        <v>1.0926871909744038</v>
      </c>
      <c r="F62" s="350">
        <v>47118710.25</v>
      </c>
      <c r="G62" s="351">
        <f t="shared" si="7"/>
        <v>1.310685109019051</v>
      </c>
      <c r="H62" s="350">
        <f t="shared" si="3"/>
        <v>7118710.25</v>
      </c>
      <c r="I62" s="351">
        <f t="shared" si="6"/>
        <v>0.19801873757986163</v>
      </c>
      <c r="BU62" s="181"/>
      <c r="BV62" s="181"/>
      <c r="BW62" s="179"/>
      <c r="BX62" s="179"/>
      <c r="BY62" s="179"/>
      <c r="BZ62" s="176"/>
    </row>
    <row r="63" spans="1:78" ht="13.5" customHeight="1" thickTop="1" thickBot="1">
      <c r="C63" s="204" t="s">
        <v>498</v>
      </c>
      <c r="D63" s="206">
        <f>+D16-D42+D79</f>
        <v>14376416.308496058</v>
      </c>
      <c r="E63" s="217">
        <f>+D63/D$11*100</f>
        <v>0.39272314881022907</v>
      </c>
      <c r="F63" s="206">
        <f>+F16-F42</f>
        <v>-11489318.485000044</v>
      </c>
      <c r="G63" s="217">
        <f t="shared" si="7"/>
        <v>-0.31959445772535511</v>
      </c>
      <c r="H63" s="206">
        <f t="shared" si="3"/>
        <v>-25865734.793496102</v>
      </c>
      <c r="I63" s="217">
        <f t="shared" si="6"/>
        <v>-0.71949833193219248</v>
      </c>
      <c r="BU63" s="181"/>
      <c r="BV63" s="181"/>
      <c r="BW63" s="179"/>
      <c r="BX63" s="179"/>
      <c r="BY63" s="179"/>
      <c r="BZ63" s="176"/>
    </row>
    <row r="64" spans="1:78" ht="13.5" customHeight="1" thickTop="1" thickBot="1">
      <c r="B64" s="80">
        <v>990</v>
      </c>
      <c r="C64" s="206" t="s">
        <v>152</v>
      </c>
      <c r="D64" s="206"/>
      <c r="E64" s="217"/>
      <c r="F64" s="206">
        <v>-22526157.100000009</v>
      </c>
      <c r="G64" s="217">
        <f t="shared" si="7"/>
        <v>-0.62660243707315355</v>
      </c>
      <c r="H64" s="206">
        <f t="shared" si="3"/>
        <v>-22526157.100000009</v>
      </c>
      <c r="I64" s="217">
        <f t="shared" si="6"/>
        <v>-0.62660243707315355</v>
      </c>
      <c r="N64" s="472"/>
      <c r="BU64" s="181"/>
      <c r="BV64" s="181"/>
      <c r="BW64" s="179"/>
      <c r="BX64" s="179"/>
      <c r="BY64" s="179"/>
      <c r="BZ64" s="176"/>
    </row>
    <row r="65" spans="2:78" ht="13.5" customHeight="1" thickTop="1" thickBot="1">
      <c r="C65" s="204" t="s">
        <v>514</v>
      </c>
      <c r="D65" s="206">
        <f>+D63-D64</f>
        <v>14376416.308496058</v>
      </c>
      <c r="E65" s="217">
        <f>+D65/D$11*100</f>
        <v>0.39272314881022907</v>
      </c>
      <c r="F65" s="206">
        <f>+F63-F64</f>
        <v>11036838.614999965</v>
      </c>
      <c r="G65" s="217">
        <f t="shared" si="7"/>
        <v>0.3070079793477985</v>
      </c>
      <c r="H65" s="206">
        <f t="shared" si="3"/>
        <v>-3339577.6934960932</v>
      </c>
      <c r="I65" s="217">
        <f t="shared" si="6"/>
        <v>-9.2895894859038888E-2</v>
      </c>
      <c r="BU65" s="181"/>
      <c r="BV65" s="181"/>
      <c r="BW65" s="179"/>
      <c r="BX65" s="179"/>
      <c r="BY65" s="179"/>
      <c r="BZ65" s="176"/>
    </row>
    <row r="66" spans="2:78" ht="13.5" customHeight="1" thickTop="1" thickBot="1">
      <c r="C66" s="204" t="s">
        <v>500</v>
      </c>
      <c r="D66" s="203">
        <f>+D63+D50</f>
        <v>17723708.368496057</v>
      </c>
      <c r="E66" s="217">
        <f>+D66/D$11*100</f>
        <v>0.48416172777053723</v>
      </c>
      <c r="F66" s="206">
        <f>+F65+F50</f>
        <v>15479660.914999964</v>
      </c>
      <c r="G66" s="217">
        <f t="shared" si="7"/>
        <v>0.43059245353505132</v>
      </c>
      <c r="H66" s="206">
        <f t="shared" si="3"/>
        <v>-2244047.4534960929</v>
      </c>
      <c r="I66" s="217">
        <f t="shared" si="6"/>
        <v>-6.2421903435471271E-2</v>
      </c>
      <c r="N66" s="106"/>
      <c r="BU66" s="181"/>
      <c r="BV66" s="181"/>
      <c r="BW66" s="179"/>
      <c r="BX66" s="179"/>
      <c r="BY66" s="179"/>
      <c r="BZ66" s="176"/>
    </row>
    <row r="67" spans="2:78" ht="7.15" customHeight="1" thickTop="1" thickBot="1">
      <c r="C67" s="204"/>
      <c r="D67" s="203"/>
      <c r="E67" s="217"/>
      <c r="F67" s="206"/>
      <c r="G67" s="217"/>
      <c r="H67" s="206"/>
      <c r="I67" s="217"/>
      <c r="BU67" s="181"/>
      <c r="BV67" s="181"/>
      <c r="BW67" s="179"/>
      <c r="BX67" s="179"/>
      <c r="BY67" s="179"/>
      <c r="BZ67" s="176"/>
    </row>
    <row r="68" spans="2:78" ht="13.5" customHeight="1" thickTop="1" thickBot="1">
      <c r="C68" s="204" t="s">
        <v>0</v>
      </c>
      <c r="D68" s="203">
        <f>+SUM(D69:D71)</f>
        <v>9000000</v>
      </c>
      <c r="E68" s="217">
        <f>+D68/D$11*100</f>
        <v>0.24585461796924082</v>
      </c>
      <c r="F68" s="206">
        <f>+SUM(F69:F70)</f>
        <v>26924043.32</v>
      </c>
      <c r="G68" s="217">
        <f>+F68/F$11*100</f>
        <v>0.74893693963339869</v>
      </c>
      <c r="H68" s="206">
        <f t="shared" si="3"/>
        <v>17924043.32</v>
      </c>
      <c r="I68" s="217">
        <f t="shared" si="6"/>
        <v>0.49858700605958106</v>
      </c>
      <c r="BU68" s="181"/>
      <c r="BV68" s="181"/>
      <c r="BW68" s="179"/>
      <c r="BX68" s="179"/>
      <c r="BY68" s="179"/>
      <c r="BZ68" s="176"/>
    </row>
    <row r="69" spans="2:78" ht="13.5" customHeight="1" thickTop="1">
      <c r="B69" s="80">
        <v>4611</v>
      </c>
      <c r="C69" s="100" t="s">
        <v>135</v>
      </c>
      <c r="D69" s="221">
        <v>4500000</v>
      </c>
      <c r="E69" s="189">
        <f>+D69/D$11*100</f>
        <v>0.12292730898462041</v>
      </c>
      <c r="F69" s="221">
        <v>24886206.350000001</v>
      </c>
      <c r="G69" s="189">
        <f>+F69/F$11*100</f>
        <v>0.69225112295853541</v>
      </c>
      <c r="H69" s="221">
        <f t="shared" si="3"/>
        <v>20386206.350000001</v>
      </c>
      <c r="I69" s="189">
        <f t="shared" si="6"/>
        <v>0.56707615617162666</v>
      </c>
      <c r="BU69" s="181"/>
      <c r="BV69" s="181"/>
      <c r="BW69" s="179"/>
      <c r="BX69" s="179"/>
      <c r="BY69" s="179"/>
      <c r="BZ69" s="176"/>
    </row>
    <row r="70" spans="2:78" ht="13.5" customHeight="1">
      <c r="B70" s="80">
        <v>4612</v>
      </c>
      <c r="C70" s="100" t="s">
        <v>137</v>
      </c>
      <c r="D70" s="219">
        <v>4500000</v>
      </c>
      <c r="E70" s="186">
        <f>+D70/D$11*100</f>
        <v>0.12292730898462041</v>
      </c>
      <c r="F70" s="219">
        <v>2037836.9700000002</v>
      </c>
      <c r="G70" s="186">
        <f>+F70/F$11*100</f>
        <v>5.6685816674863318E-2</v>
      </c>
      <c r="H70" s="219">
        <f t="shared" si="3"/>
        <v>-2462163.0299999998</v>
      </c>
      <c r="I70" s="186">
        <f t="shared" si="6"/>
        <v>-6.8489150112045497E-2</v>
      </c>
      <c r="BU70" s="181"/>
      <c r="BV70" s="181"/>
      <c r="BW70" s="179"/>
      <c r="BX70" s="179"/>
      <c r="BY70" s="179"/>
      <c r="BZ70" s="176"/>
    </row>
    <row r="71" spans="2:78" ht="13.5" customHeight="1" thickBot="1">
      <c r="C71" s="100" t="s">
        <v>116</v>
      </c>
      <c r="D71" s="219"/>
      <c r="E71" s="186"/>
      <c r="F71" s="219"/>
      <c r="G71" s="186"/>
      <c r="H71" s="219"/>
      <c r="I71" s="186"/>
      <c r="BU71" s="181"/>
      <c r="BV71" s="181"/>
      <c r="BW71" s="179"/>
      <c r="BX71" s="179"/>
      <c r="BY71" s="179"/>
      <c r="BZ71" s="176"/>
    </row>
    <row r="72" spans="2:78" ht="13.5" customHeight="1" thickTop="1" thickBot="1">
      <c r="C72" s="204" t="s">
        <v>141</v>
      </c>
      <c r="D72" s="206">
        <f>+D63-D68+D80</f>
        <v>-8000000.0000000428</v>
      </c>
      <c r="E72" s="217">
        <f>+D72/D$11*100</f>
        <v>-0.21853743819488192</v>
      </c>
      <c r="F72" s="206">
        <f>+F65-F68+F80</f>
        <v>-27670976.159999993</v>
      </c>
      <c r="G72" s="217">
        <f>+F72/F$11*100</f>
        <v>-0.76971411595318762</v>
      </c>
      <c r="H72" s="206">
        <f>+H65-H68+H80</f>
        <v>-19670976.159999952</v>
      </c>
      <c r="I72" s="217">
        <f t="shared" si="6"/>
        <v>-0.54718084166534864</v>
      </c>
      <c r="BU72" s="181"/>
      <c r="BV72" s="181"/>
      <c r="BW72" s="179"/>
      <c r="BX72" s="179"/>
      <c r="BY72" s="179"/>
      <c r="BZ72" s="176"/>
    </row>
    <row r="73" spans="2:78" ht="5.65" customHeight="1" thickTop="1" thickBot="1">
      <c r="C73" s="204"/>
      <c r="D73" s="203"/>
      <c r="E73" s="217"/>
      <c r="F73" s="206"/>
      <c r="G73" s="217"/>
      <c r="H73" s="206"/>
      <c r="I73" s="217"/>
      <c r="BU73" s="181"/>
      <c r="BV73" s="181"/>
      <c r="BW73" s="179"/>
      <c r="BX73" s="179"/>
      <c r="BY73" s="179"/>
      <c r="BZ73" s="176"/>
    </row>
    <row r="74" spans="2:78" ht="13.5" customHeight="1" thickTop="1" thickBot="1">
      <c r="C74" s="204" t="s">
        <v>121</v>
      </c>
      <c r="D74" s="203">
        <f>+SUM(D75:D79)</f>
        <v>8000000</v>
      </c>
      <c r="E74" s="217">
        <f>+D74/D$11*100</f>
        <v>0.21853743819488075</v>
      </c>
      <c r="F74" s="203">
        <f>+SUM(F75:F79)</f>
        <v>27670976.159999993</v>
      </c>
      <c r="G74" s="217">
        <f>+F74/F$11*100</f>
        <v>0.76971411595318762</v>
      </c>
      <c r="H74" s="206">
        <f t="shared" si="3"/>
        <v>19670976.159999993</v>
      </c>
      <c r="I74" s="217">
        <f t="shared" si="6"/>
        <v>0.54718084166534986</v>
      </c>
      <c r="BU74" s="181"/>
      <c r="BV74" s="181"/>
      <c r="BW74" s="179"/>
      <c r="BX74" s="179"/>
      <c r="BY74" s="179"/>
      <c r="BZ74" s="176"/>
    </row>
    <row r="75" spans="2:78" ht="13.5" customHeight="1" thickTop="1">
      <c r="B75" s="80">
        <v>7511</v>
      </c>
      <c r="C75" s="100" t="s">
        <v>144</v>
      </c>
      <c r="D75" s="221">
        <v>6000000</v>
      </c>
      <c r="E75" s="189">
        <f>+D75/D$11*100</f>
        <v>0.16390307864616058</v>
      </c>
      <c r="F75" s="221">
        <v>43804891.43</v>
      </c>
      <c r="G75" s="189">
        <f>+F75/F$11*100</f>
        <v>1.2185057399676438</v>
      </c>
      <c r="H75" s="221">
        <f t="shared" si="3"/>
        <v>37804891.43</v>
      </c>
      <c r="I75" s="189">
        <f t="shared" si="6"/>
        <v>1.0516057842517652</v>
      </c>
      <c r="K75" s="112"/>
      <c r="BU75" s="181"/>
      <c r="BV75" s="181"/>
      <c r="BW75" s="179"/>
      <c r="BX75" s="179"/>
      <c r="BY75" s="179"/>
      <c r="BZ75" s="176"/>
    </row>
    <row r="76" spans="2:78" ht="13.5" customHeight="1">
      <c r="B76" s="80">
        <v>7512</v>
      </c>
      <c r="C76" s="100" t="s">
        <v>122</v>
      </c>
      <c r="D76" s="219"/>
      <c r="E76" s="186">
        <f>+D76/D$11*100</f>
        <v>0</v>
      </c>
      <c r="F76" s="219">
        <v>3170050.35</v>
      </c>
      <c r="G76" s="186">
        <f>+F76/F$11*100</f>
        <v>8.8180210505350812E-2</v>
      </c>
      <c r="H76" s="219">
        <f t="shared" si="3"/>
        <v>3170050.35</v>
      </c>
      <c r="I76" s="186">
        <f t="shared" si="6"/>
        <v>8.8180210505350812E-2</v>
      </c>
      <c r="BU76" s="181"/>
      <c r="BV76" s="181"/>
      <c r="BW76" s="179"/>
      <c r="BX76" s="179"/>
      <c r="BY76" s="179"/>
      <c r="BZ76" s="176"/>
    </row>
    <row r="77" spans="2:78" ht="13.5" customHeight="1">
      <c r="B77" s="80">
        <v>72</v>
      </c>
      <c r="C77" s="114" t="s">
        <v>329</v>
      </c>
      <c r="D77" s="219">
        <v>2000000</v>
      </c>
      <c r="E77" s="186">
        <f>+D77/D$11*100</f>
        <v>5.4634359548720188E-2</v>
      </c>
      <c r="F77" s="219">
        <v>1832083.79</v>
      </c>
      <c r="G77" s="186">
        <f>+F77/F$11*100</f>
        <v>5.0962450569796446E-2</v>
      </c>
      <c r="H77" s="219">
        <f t="shared" si="3"/>
        <v>-167916.20999999996</v>
      </c>
      <c r="I77" s="186">
        <f t="shared" si="6"/>
        <v>-4.6708680021630231E-3</v>
      </c>
      <c r="BU77" s="181"/>
      <c r="BV77" s="181"/>
      <c r="BW77" s="179"/>
      <c r="BX77" s="179"/>
      <c r="BY77" s="179"/>
      <c r="BZ77" s="176"/>
    </row>
    <row r="78" spans="2:78" ht="13.5" customHeight="1" thickBot="1">
      <c r="B78" s="80">
        <v>990</v>
      </c>
      <c r="C78" s="347" t="s">
        <v>152</v>
      </c>
      <c r="D78" s="219"/>
      <c r="E78" s="186"/>
      <c r="F78" s="219">
        <f>+F64</f>
        <v>-22526157.100000009</v>
      </c>
      <c r="G78" s="186">
        <f>+G64</f>
        <v>-0.62660243707315355</v>
      </c>
      <c r="H78" s="219">
        <f t="shared" ref="H78" si="8">+F78-D78</f>
        <v>-22526157.100000009</v>
      </c>
      <c r="I78" s="186">
        <f t="shared" ref="I78" si="9">+H78/H$11*100</f>
        <v>-0.62660243707315355</v>
      </c>
      <c r="BU78" s="181"/>
      <c r="BV78" s="181"/>
      <c r="BW78" s="179"/>
      <c r="BX78" s="179"/>
      <c r="BY78" s="179"/>
      <c r="BZ78" s="176"/>
    </row>
    <row r="79" spans="2:78" ht="13.5" customHeight="1" thickTop="1" thickBot="1">
      <c r="B79" s="80">
        <v>999</v>
      </c>
      <c r="C79" s="100" t="s">
        <v>457</v>
      </c>
      <c r="D79" s="221">
        <v>0</v>
      </c>
      <c r="E79" s="189">
        <f>+D79/D$11*100</f>
        <v>0</v>
      </c>
      <c r="F79" s="221">
        <v>1390107.69</v>
      </c>
      <c r="G79" s="189">
        <f>+F79/F$11*100</f>
        <v>3.8668151983550343E-2</v>
      </c>
      <c r="H79" s="221">
        <f t="shared" si="3"/>
        <v>1390107.69</v>
      </c>
      <c r="I79" s="189">
        <f>+H79/H$11*100</f>
        <v>3.8668151983550343E-2</v>
      </c>
      <c r="BU79" s="181"/>
      <c r="BV79" s="181"/>
      <c r="BW79" s="179"/>
      <c r="BX79" s="179"/>
      <c r="BY79" s="179"/>
      <c r="BZ79" s="176"/>
    </row>
    <row r="80" spans="2:78" ht="13.5" customHeight="1" thickTop="1" thickBot="1">
      <c r="C80" s="192" t="s">
        <v>125</v>
      </c>
      <c r="D80" s="193">
        <v>-13376416.308496101</v>
      </c>
      <c r="E80" s="218">
        <f>+D80/D$11*100</f>
        <v>-0.36540596903587019</v>
      </c>
      <c r="F80" s="227">
        <v>-11783771.454999957</v>
      </c>
      <c r="G80" s="218">
        <f>+F80/F$11*100</f>
        <v>-0.32778515566758754</v>
      </c>
      <c r="H80" s="227">
        <f t="shared" si="3"/>
        <v>1592644.8534961436</v>
      </c>
      <c r="I80" s="218">
        <f>+H80/H$11*100</f>
        <v>4.4302059253271339E-2</v>
      </c>
      <c r="BU80" s="181"/>
      <c r="BV80" s="181"/>
      <c r="BW80" s="179"/>
      <c r="BX80" s="179"/>
      <c r="BY80" s="179"/>
      <c r="BZ80" s="176"/>
    </row>
    <row r="81" spans="3:11" ht="13.5" thickTop="1">
      <c r="C81" s="119" t="str">
        <f>IF(MasterSheet!$A$1=1,MasterSheet!C151,MasterSheet!B151)</f>
        <v>Izvor: Ministarstvo finansija Crne Gore</v>
      </c>
      <c r="I81" s="81"/>
    </row>
    <row r="82" spans="3:11" ht="14.25" hidden="1" thickTop="1" thickBot="1">
      <c r="C82" s="117"/>
      <c r="D82" s="81"/>
      <c r="E82" s="81"/>
      <c r="F82" s="221">
        <f>+F74+F72</f>
        <v>0</v>
      </c>
      <c r="G82" s="81"/>
      <c r="I82" s="81"/>
      <c r="K82" s="391"/>
    </row>
    <row r="83" spans="3:11" ht="14.25" hidden="1" thickTop="1" thickBot="1">
      <c r="F83" s="227"/>
      <c r="K83" s="391"/>
    </row>
    <row r="84" spans="3:11" ht="13.5" hidden="1" thickTop="1">
      <c r="F84" s="221">
        <f>+F80-F82</f>
        <v>-11783771.454999957</v>
      </c>
    </row>
    <row r="85" spans="3:11" hidden="1">
      <c r="C85" s="162"/>
    </row>
    <row r="86" spans="3:11" hidden="1">
      <c r="D86" s="112">
        <f>+D16-D42-D63</f>
        <v>0</v>
      </c>
      <c r="E86" s="262">
        <f>+E16-E42-E63</f>
        <v>0</v>
      </c>
      <c r="F86" s="263">
        <f>+F16-F42-F63</f>
        <v>0</v>
      </c>
      <c r="G86" s="262">
        <f>+G16-G42-G63</f>
        <v>0</v>
      </c>
    </row>
    <row r="88" spans="3:11">
      <c r="F88" s="391"/>
    </row>
    <row r="89" spans="3:11">
      <c r="D89" s="470"/>
      <c r="F89" s="391"/>
    </row>
  </sheetData>
  <sheetProtection formatCells="0" formatColumns="0" formatRows="0" sort="0" autoFilter="0"/>
  <mergeCells count="7">
    <mergeCell ref="C14:C15"/>
    <mergeCell ref="H14:I14"/>
    <mergeCell ref="H11:I11"/>
    <mergeCell ref="D11:E11"/>
    <mergeCell ref="F11:G11"/>
    <mergeCell ref="D14:E14"/>
    <mergeCell ref="F14:G14"/>
  </mergeCells>
  <printOptions horizontalCentered="1" verticalCentered="1"/>
  <pageMargins left="0" right="0" top="0.19685039370078741" bottom="0.19685039370078741" header="0" footer="0"/>
  <pageSetup paperSize="9" scale="1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1019175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CB79"/>
  <sheetViews>
    <sheetView zoomScale="85" zoomScaleNormal="85" workbookViewId="0">
      <selection activeCell="AB35" sqref="AB35"/>
    </sheetView>
  </sheetViews>
  <sheetFormatPr defaultColWidth="9.28515625" defaultRowHeight="12.75"/>
  <cols>
    <col min="1" max="2" width="9.28515625" style="80" customWidth="1"/>
    <col min="3" max="3" width="55.7109375" style="80" bestFit="1" customWidth="1"/>
    <col min="4" max="4" width="8.7109375" style="454" customWidth="1"/>
    <col min="5" max="9" width="8.7109375" style="80" customWidth="1"/>
    <col min="10" max="10" width="11.42578125" style="96" hidden="1" customWidth="1"/>
    <col min="11" max="11" width="13.42578125" style="80" hidden="1" customWidth="1"/>
    <col min="12" max="12" width="13.28515625" style="80" hidden="1" customWidth="1"/>
    <col min="13" max="19" width="9.28515625" style="80" hidden="1" customWidth="1"/>
    <col min="20" max="72" width="9.28515625" style="80" customWidth="1"/>
    <col min="73" max="73" width="9.28515625" style="80"/>
    <col min="74" max="74" width="15.42578125" style="80" customWidth="1"/>
    <col min="75" max="75" width="12.7109375" style="80" customWidth="1"/>
    <col min="76" max="76" width="11.7109375" style="80" customWidth="1"/>
    <col min="77" max="16384" width="9.28515625" style="80"/>
  </cols>
  <sheetData>
    <row r="1" spans="2:72" s="163" customFormat="1" ht="15" customHeight="1">
      <c r="C1" s="161"/>
      <c r="D1" s="120">
        <v>3</v>
      </c>
      <c r="E1" s="120">
        <v>4</v>
      </c>
      <c r="F1" s="120">
        <v>5</v>
      </c>
      <c r="G1" s="120">
        <v>6</v>
      </c>
      <c r="H1" s="120"/>
      <c r="I1" s="120"/>
      <c r="J1" s="96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</row>
    <row r="2" spans="2:72" ht="15" hidden="1" customHeight="1">
      <c r="C2" s="81"/>
      <c r="D2" s="455"/>
      <c r="E2" s="145">
        <v>2014</v>
      </c>
      <c r="F2" s="146">
        <v>2017</v>
      </c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</row>
    <row r="3" spans="2:72" ht="15" hidden="1" customHeight="1">
      <c r="C3" s="81"/>
      <c r="D3" s="456"/>
      <c r="E3" s="138">
        <v>5.4037200000000007</v>
      </c>
      <c r="F3" s="139">
        <v>6.0799999999999965</v>
      </c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</row>
    <row r="4" spans="2:72" ht="15" hidden="1" customHeight="1">
      <c r="C4" s="81"/>
      <c r="D4" s="457"/>
      <c r="E4" s="125">
        <v>3.54</v>
      </c>
      <c r="F4" s="126">
        <v>4</v>
      </c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</row>
    <row r="5" spans="2:72" ht="15" hidden="1" customHeight="1">
      <c r="C5" s="81"/>
      <c r="D5" s="458"/>
      <c r="E5" s="142">
        <v>1.8</v>
      </c>
      <c r="F5" s="157">
        <v>2</v>
      </c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</row>
    <row r="6" spans="2:72" ht="15" hidden="1" customHeight="1">
      <c r="C6" s="81"/>
      <c r="D6" s="459"/>
      <c r="E6" s="156">
        <v>2.3E-2</v>
      </c>
      <c r="F6" s="156">
        <v>5.1999999999999998E-2</v>
      </c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</row>
    <row r="7" spans="2:72" ht="15" hidden="1" customHeight="1">
      <c r="C7" s="81"/>
      <c r="D7" s="460"/>
      <c r="E7" s="130"/>
      <c r="F7" s="13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</row>
    <row r="8" spans="2:72" ht="15" hidden="1" customHeight="1">
      <c r="C8" s="81"/>
      <c r="D8" s="455"/>
      <c r="E8" s="147">
        <f>+F16/D16*100-100</f>
        <v>0.3295388965462962</v>
      </c>
      <c r="F8" s="153" t="e">
        <f>+#REF!/#REF!*100-100</f>
        <v>#REF!</v>
      </c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</row>
    <row r="9" spans="2:72" ht="15" hidden="1" customHeight="1">
      <c r="C9" s="81"/>
      <c r="D9" s="461"/>
      <c r="E9" s="148" t="e">
        <f>+F16/#REF!*100-100</f>
        <v>#REF!</v>
      </c>
      <c r="F9" s="154" t="e">
        <f>+#REF!/#REF!*100-100</f>
        <v>#REF!</v>
      </c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</row>
    <row r="10" spans="2:72" ht="15" customHeight="1" thickBot="1">
      <c r="C10" s="81"/>
      <c r="D10" s="120"/>
      <c r="E10" s="82"/>
      <c r="F10" s="82"/>
      <c r="G10" s="82"/>
      <c r="H10" s="82"/>
      <c r="I10" s="82"/>
      <c r="K10" s="81" t="s">
        <v>493</v>
      </c>
      <c r="L10" s="81" t="s">
        <v>494</v>
      </c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</row>
    <row r="11" spans="2:72" ht="18.75" customHeight="1" thickTop="1" thickBot="1">
      <c r="C11" s="372" t="str">
        <f>IF(MasterSheet!$A$1=1,MasterSheet!B67,MasterSheet!B66)</f>
        <v>BDP (u mil. €)</v>
      </c>
      <c r="D11" s="499">
        <f>+'Cental Budget'!D11:E11</f>
        <v>3660700000</v>
      </c>
      <c r="E11" s="499"/>
      <c r="F11" s="499">
        <f>+'Cental Budget'!F11:G11</f>
        <v>3594968000</v>
      </c>
      <c r="G11" s="499"/>
      <c r="H11" s="499">
        <f>+'Cental Budget'!H11:I11</f>
        <v>3594968000</v>
      </c>
      <c r="I11" s="499"/>
      <c r="J11" s="96" t="s">
        <v>495</v>
      </c>
      <c r="K11" s="190">
        <f>+D16</f>
        <v>1520802750.2960286</v>
      </c>
      <c r="L11" s="190">
        <f>+F16</f>
        <v>1525814386.898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</row>
    <row r="12" spans="2:72" ht="19.5" customHeight="1" thickTop="1">
      <c r="C12" s="247"/>
      <c r="D12" s="462"/>
      <c r="E12" s="83"/>
      <c r="F12" s="82"/>
      <c r="G12" s="82"/>
      <c r="H12" s="82"/>
      <c r="I12" s="82"/>
      <c r="J12" s="96" t="s">
        <v>62</v>
      </c>
      <c r="K12" s="190">
        <f>+D36</f>
        <v>1741978888.4441493</v>
      </c>
      <c r="L12" s="190">
        <f>+F36</f>
        <v>1828550969.7129998</v>
      </c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</row>
    <row r="13" spans="2:72" ht="17.25" customHeight="1" thickBot="1">
      <c r="B13" s="85"/>
      <c r="C13" s="248"/>
      <c r="D13" s="429"/>
      <c r="E13" s="235"/>
      <c r="F13" s="235"/>
      <c r="G13" s="235"/>
      <c r="H13" s="352"/>
      <c r="I13" s="352"/>
      <c r="J13" s="96" t="s">
        <v>496</v>
      </c>
      <c r="K13" s="190">
        <f>+D62</f>
        <v>-221176138.14812064</v>
      </c>
      <c r="L13" s="190">
        <f>+F62</f>
        <v>-302736582.81499982</v>
      </c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</row>
    <row r="14" spans="2:72" ht="15.75" customHeight="1" thickTop="1">
      <c r="B14" s="87"/>
      <c r="C14" s="500" t="s">
        <v>235</v>
      </c>
      <c r="D14" s="502" t="s">
        <v>440</v>
      </c>
      <c r="E14" s="503"/>
      <c r="F14" s="502" t="s">
        <v>516</v>
      </c>
      <c r="G14" s="503"/>
      <c r="H14" s="502" t="s">
        <v>492</v>
      </c>
      <c r="I14" s="503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</row>
    <row r="15" spans="2:72" ht="15" customHeight="1" thickBot="1">
      <c r="C15" s="501" t="str">
        <f>IF(MasterSheet!$A$1=1,MasterSheet!B71,MasterSheet!B70)</f>
        <v>Budžet Crne Gore</v>
      </c>
      <c r="D15" s="463" t="s">
        <v>263</v>
      </c>
      <c r="E15" s="244" t="s">
        <v>150</v>
      </c>
      <c r="F15" s="243" t="s">
        <v>263</v>
      </c>
      <c r="G15" s="244" t="s">
        <v>150</v>
      </c>
      <c r="H15" s="243" t="s">
        <v>263</v>
      </c>
      <c r="I15" s="244" t="s">
        <v>150</v>
      </c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</row>
    <row r="16" spans="2:72" ht="15" customHeight="1" thickTop="1" thickBot="1">
      <c r="C16" s="251" t="str">
        <f>IF(MasterSheet!$A$1=1,MasterSheet!C72,MasterSheet!B72)</f>
        <v>Izvorni prihodi</v>
      </c>
      <c r="D16" s="464">
        <f>D17+D26+SUM(D31:D35)</f>
        <v>1520802750.2960286</v>
      </c>
      <c r="E16" s="246">
        <f t="shared" ref="E16:E78" si="0">D16/D$11*100</f>
        <v>41.544042131177875</v>
      </c>
      <c r="F16" s="464">
        <f>F17+F26+SUM(F31:F35)</f>
        <v>1525814386.898</v>
      </c>
      <c r="G16" s="246">
        <f t="shared" ref="G16:G47" si="1">F16/F$11*100</f>
        <v>42.443058933987729</v>
      </c>
      <c r="H16" s="249">
        <f>+F16-D16</f>
        <v>5011636.6019713879</v>
      </c>
      <c r="I16" s="246">
        <f t="shared" ref="I16:I34" si="2">H16/H$11*100</f>
        <v>0.13940698782218333</v>
      </c>
      <c r="J16" s="96">
        <f>+F16/D16*100-100</f>
        <v>0.3295388965462962</v>
      </c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471">
        <f>+'Cental Budget'!F16/'Public Expenditure'!F16</f>
        <v>0.86950840709217259</v>
      </c>
      <c r="V16" s="81"/>
      <c r="W16" s="190">
        <f>+F16-'Cental Budget'!F16-'Local Government'!F16</f>
        <v>0</v>
      </c>
      <c r="X16" s="81"/>
      <c r="Y16" s="190">
        <f>+H16-'Cental Budget'!H16-'Local Government'!H16</f>
        <v>2.0861625671386719E-7</v>
      </c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</row>
    <row r="17" spans="2:77" ht="15" customHeight="1" thickTop="1">
      <c r="B17" s="80">
        <v>711</v>
      </c>
      <c r="C17" s="94" t="str">
        <f>IF(MasterSheet!$A$1=1,MasterSheet!C73,MasterSheet!B73)</f>
        <v>Porezi</v>
      </c>
      <c r="D17" s="252">
        <f>SUM(D18:D25)</f>
        <v>945688413.00884557</v>
      </c>
      <c r="E17" s="96">
        <f t="shared" si="0"/>
        <v>25.833540388691933</v>
      </c>
      <c r="F17" s="252">
        <f>SUM(F18:F25)</f>
        <v>925573053.77799988</v>
      </c>
      <c r="G17" s="96">
        <f t="shared" si="1"/>
        <v>25.74635028122642</v>
      </c>
      <c r="H17" s="207">
        <f t="shared" ref="H17:H78" si="3">+F17-D17</f>
        <v>-20115359.23084569</v>
      </c>
      <c r="I17" s="371">
        <f t="shared" si="2"/>
        <v>-0.55954209413952194</v>
      </c>
      <c r="J17" s="96">
        <f t="shared" ref="J17:J62" si="4">+F17/D17*100-100</f>
        <v>-2.1270599231353344</v>
      </c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</row>
    <row r="18" spans="2:77" ht="15" customHeight="1">
      <c r="B18" s="80">
        <v>7111</v>
      </c>
      <c r="C18" s="100" t="str">
        <f>IF(MasterSheet!$A$1=1,MasterSheet!C74,MasterSheet!B74)</f>
        <v>Porez na dohodak fizičkih lica</v>
      </c>
      <c r="D18" s="400">
        <f>+IF(ISNUMBER(VLOOKUP($B18,'Cental Budget'!$B$16:$J$96,'Public Expenditure'!D$1,FALSE)),VLOOKUP($B18,'Cental Budget'!$B$16:$J$96,'Public Expenditure'!D$1,FALSE),0)+IF(ISNUMBER(VLOOKUP('Public Expenditure'!$B18,'Local Government'!$B$16:$I$80,'Public Expenditure'!D$1,FALSE)),VLOOKUP('Public Expenditure'!$B18,'Local Government'!$B$16:$I$80,'Public Expenditure'!D$1,FALSE),0)</f>
        <v>139926616.79695937</v>
      </c>
      <c r="E18" s="102">
        <f t="shared" si="0"/>
        <v>3.8224005462605342</v>
      </c>
      <c r="F18" s="400">
        <f>+IF(ISNUMBER(VLOOKUP($B18,'Cental Budget'!$B$16:$J$96,'Public Expenditure'!F$1,FALSE)),VLOOKUP($B18,'Cental Budget'!$B$16:$J$96,'Public Expenditure'!F$1,FALSE),0)+IF(ISNUMBER(VLOOKUP('Public Expenditure'!$B18,'Local Government'!$B$16:$I$80,'Public Expenditure'!F$1,FALSE)),VLOOKUP('Public Expenditure'!$B18,'Local Government'!$B$16:$I$80,'Public Expenditure'!F$1,FALSE),0)</f>
        <v>135727918.74999997</v>
      </c>
      <c r="G18" s="102">
        <f t="shared" si="1"/>
        <v>3.7754972714638901</v>
      </c>
      <c r="H18" s="211">
        <f t="shared" si="3"/>
        <v>-4198698.0469594002</v>
      </c>
      <c r="I18" s="102">
        <f t="shared" si="2"/>
        <v>-0.11679375301697817</v>
      </c>
      <c r="J18" s="96">
        <f t="shared" si="4"/>
        <v>-3.0006428677196766</v>
      </c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</row>
    <row r="19" spans="2:77" ht="15" customHeight="1">
      <c r="B19" s="80">
        <v>7112</v>
      </c>
      <c r="C19" s="100" t="str">
        <f>IF(MasterSheet!$A$1=1,MasterSheet!C75,MasterSheet!B75)</f>
        <v>Porez na dobit pravnih lica</v>
      </c>
      <c r="D19" s="400">
        <f>+IF(ISNUMBER(VLOOKUP($B19,'Cental Budget'!$B$16:$J$96,'Public Expenditure'!D$1,FALSE)),VLOOKUP($B19,'Cental Budget'!$B$16:$J$96,'Public Expenditure'!D$1,FALSE),0)+IF(ISNUMBER(VLOOKUP('Public Expenditure'!$B19,'Local Government'!$B$16:$I$80,'Public Expenditure'!D$1,FALSE)),VLOOKUP('Public Expenditure'!$B19,'Local Government'!$B$16:$I$80,'Public Expenditure'!D$1,FALSE),0)</f>
        <v>46635558.440057509</v>
      </c>
      <c r="E19" s="102">
        <f t="shared" si="0"/>
        <v>1.2739519337847272</v>
      </c>
      <c r="F19" s="400">
        <f>+IF(ISNUMBER(VLOOKUP($B19,'Cental Budget'!$B$16:$J$96,'Public Expenditure'!F$1,FALSE)),VLOOKUP($B19,'Cental Budget'!$B$16:$J$96,'Public Expenditure'!F$1,FALSE),0)+IF(ISNUMBER(VLOOKUP('Public Expenditure'!$B19,'Local Government'!$B$16:$I$80,'Public Expenditure'!F$1,FALSE)),VLOOKUP('Public Expenditure'!$B19,'Local Government'!$B$16:$I$80,'Public Expenditure'!F$1,FALSE),0)</f>
        <v>42151728.179999992</v>
      </c>
      <c r="G19" s="102">
        <f t="shared" si="1"/>
        <v>1.1725202610982906</v>
      </c>
      <c r="H19" s="211">
        <f t="shared" si="3"/>
        <v>-4483830.2600575164</v>
      </c>
      <c r="I19" s="102">
        <f t="shared" si="2"/>
        <v>-0.12472517864018585</v>
      </c>
      <c r="J19" s="96">
        <f t="shared" si="4"/>
        <v>-9.6146168504034506</v>
      </c>
      <c r="K19" s="171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3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V19" s="81"/>
    </row>
    <row r="20" spans="2:77" ht="15" customHeight="1">
      <c r="B20" s="80">
        <v>7113</v>
      </c>
      <c r="C20" s="100" t="str">
        <f>IF(MasterSheet!$A$1=1,MasterSheet!C76,MasterSheet!B76)</f>
        <v>Porez na promet nepokretnosti</v>
      </c>
      <c r="D20" s="400">
        <f>+IF(ISNUMBER(VLOOKUP($B20,'Cental Budget'!$B$16:$J$96,'Public Expenditure'!D$1,FALSE)),VLOOKUP($B20,'Cental Budget'!$B$16:$J$96,'Public Expenditure'!D$1,FALSE),0)+IF(ISNUMBER(VLOOKUP('Public Expenditure'!$B20,'Local Government'!$B$16:$I$80,'Public Expenditure'!D$1,FALSE)),VLOOKUP('Public Expenditure'!$B20,'Local Government'!$B$16:$I$80,'Public Expenditure'!D$1,FALSE),0)</f>
        <v>15955527.855144408</v>
      </c>
      <c r="E20" s="102">
        <f t="shared" si="0"/>
        <v>0.43586002281378988</v>
      </c>
      <c r="F20" s="400">
        <f>+IF(ISNUMBER(VLOOKUP($B20,'Cental Budget'!$B$16:$J$96,'Public Expenditure'!F$1,FALSE)),VLOOKUP($B20,'Cental Budget'!$B$16:$J$96,'Public Expenditure'!F$1,FALSE),0)+IF(ISNUMBER(VLOOKUP('Public Expenditure'!$B20,'Local Government'!$B$16:$I$80,'Public Expenditure'!F$1,FALSE)),VLOOKUP('Public Expenditure'!$B20,'Local Government'!$B$16:$I$80,'Public Expenditure'!F$1,FALSE),0)</f>
        <v>14563053.488000002</v>
      </c>
      <c r="G20" s="102">
        <f t="shared" si="1"/>
        <v>0.40509549703919479</v>
      </c>
      <c r="H20" s="211">
        <f t="shared" si="3"/>
        <v>-1392474.3671444058</v>
      </c>
      <c r="I20" s="102">
        <f t="shared" si="2"/>
        <v>-3.8733985035316193E-2</v>
      </c>
      <c r="J20" s="96">
        <f t="shared" si="4"/>
        <v>-8.7272221877350233</v>
      </c>
      <c r="K20" s="171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3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3"/>
      <c r="AX20" s="173"/>
      <c r="AY20" s="173"/>
      <c r="AZ20" s="173"/>
      <c r="BA20" s="173"/>
      <c r="BB20" s="173"/>
      <c r="BC20" s="173"/>
      <c r="BD20" s="173"/>
      <c r="BE20" s="173"/>
      <c r="BF20" s="173"/>
      <c r="BG20" s="173"/>
      <c r="BH20" s="173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</row>
    <row r="21" spans="2:77" ht="15" customHeight="1">
      <c r="B21" s="80">
        <v>7114</v>
      </c>
      <c r="C21" s="100" t="str">
        <f>IF(MasterSheet!$A$1=1,MasterSheet!C77,MasterSheet!B77)</f>
        <v>Porez na dodatu vrijednost</v>
      </c>
      <c r="D21" s="400">
        <f>+IF(ISNUMBER(VLOOKUP($B21,'Cental Budget'!$B$16:$J$96,'Public Expenditure'!D$1,FALSE)),VLOOKUP($B21,'Cental Budget'!$B$16:$J$96,'Public Expenditure'!D$1,FALSE),0)+IF(ISNUMBER(VLOOKUP('Public Expenditure'!$B21,'Local Government'!$B$16:$I$80,'Public Expenditure'!D$1,FALSE)),VLOOKUP('Public Expenditure'!$B21,'Local Government'!$B$16:$I$80,'Public Expenditure'!D$1,FALSE),0)</f>
        <v>480245150.3960529</v>
      </c>
      <c r="E21" s="102">
        <f t="shared" si="0"/>
        <v>13.11894310913358</v>
      </c>
      <c r="F21" s="400">
        <f>+IF(ISNUMBER(VLOOKUP($B21,'Cental Budget'!$B$16:$J$96,'Public Expenditure'!F$1,FALSE)),VLOOKUP($B21,'Cental Budget'!$B$16:$J$96,'Public Expenditure'!F$1,FALSE),0)+IF(ISNUMBER(VLOOKUP('Public Expenditure'!$B21,'Local Government'!$B$16:$I$80,'Public Expenditure'!F$1,FALSE)),VLOOKUP('Public Expenditure'!$B21,'Local Government'!$B$16:$I$80,'Public Expenditure'!F$1,FALSE),0)</f>
        <v>457115481.22000003</v>
      </c>
      <c r="G21" s="102">
        <f t="shared" si="1"/>
        <v>12.715425595443408</v>
      </c>
      <c r="H21" s="211">
        <f t="shared" si="3"/>
        <v>-23129669.176052868</v>
      </c>
      <c r="I21" s="102">
        <f t="shared" si="2"/>
        <v>-0.64339012686769037</v>
      </c>
      <c r="J21" s="96">
        <f t="shared" si="4"/>
        <v>-4.8162212896846768</v>
      </c>
      <c r="K21" s="370">
        <f>+F21/D21*100-100</f>
        <v>-4.8162212896846768</v>
      </c>
    </row>
    <row r="22" spans="2:77" ht="15" customHeight="1">
      <c r="B22" s="80">
        <v>7115</v>
      </c>
      <c r="C22" s="100" t="str">
        <f>IF(MasterSheet!$A$1=1,MasterSheet!C78,MasterSheet!B78)</f>
        <v>Akcize</v>
      </c>
      <c r="D22" s="400">
        <f>+IF(ISNUMBER(VLOOKUP($B22,'Cental Budget'!$B$16:$J$96,'Public Expenditure'!D$1,FALSE)),VLOOKUP($B22,'Cental Budget'!$B$16:$J$96,'Public Expenditure'!D$1,FALSE),0)+IF(ISNUMBER(VLOOKUP('Public Expenditure'!$B22,'Local Government'!$B$16:$I$80,'Public Expenditure'!D$1,FALSE)),VLOOKUP('Public Expenditure'!$B22,'Local Government'!$B$16:$I$80,'Public Expenditure'!D$1,FALSE),0)</f>
        <v>167709791.42762002</v>
      </c>
      <c r="E22" s="102">
        <f t="shared" si="0"/>
        <v>4.5813585223487312</v>
      </c>
      <c r="F22" s="400">
        <f>+IF(ISNUMBER(VLOOKUP($B22,'Cental Budget'!$B$16:$J$96,'Public Expenditure'!F$1,FALSE)),VLOOKUP($B22,'Cental Budget'!$B$16:$J$96,'Public Expenditure'!F$1,FALSE),0)+IF(ISNUMBER(VLOOKUP('Public Expenditure'!$B22,'Local Government'!$B$16:$I$80,'Public Expenditure'!F$1,FALSE)),VLOOKUP('Public Expenditure'!$B22,'Local Government'!$B$16:$I$80,'Public Expenditure'!F$1,FALSE),0)</f>
        <v>170010238.31999999</v>
      </c>
      <c r="G22" s="102">
        <f t="shared" si="1"/>
        <v>4.7291168744756558</v>
      </c>
      <c r="H22" s="211">
        <f t="shared" si="3"/>
        <v>2300446.8923799694</v>
      </c>
      <c r="I22" s="102">
        <f t="shared" si="2"/>
        <v>6.39907474108245E-2</v>
      </c>
      <c r="J22" s="96">
        <f t="shared" si="4"/>
        <v>1.3716831156949922</v>
      </c>
      <c r="K22" s="370">
        <f>+F22/D22*100-100</f>
        <v>1.3716831156949922</v>
      </c>
    </row>
    <row r="23" spans="2:77" ht="15" customHeight="1">
      <c r="B23" s="80">
        <v>7116</v>
      </c>
      <c r="C23" s="100" t="str">
        <f>IF(MasterSheet!$A$1=1,MasterSheet!C79,MasterSheet!B79)</f>
        <v>Porez na međunarodnu trgovinu i transakcije</v>
      </c>
      <c r="D23" s="400">
        <f>+IF(ISNUMBER(VLOOKUP($B23,'Cental Budget'!$B$16:$J$96,'Public Expenditure'!D$1,FALSE)),VLOOKUP($B23,'Cental Budget'!$B$16:$J$96,'Public Expenditure'!D$1,FALSE),0)+IF(ISNUMBER(VLOOKUP('Public Expenditure'!$B23,'Local Government'!$B$16:$I$80,'Public Expenditure'!D$1,FALSE)),VLOOKUP('Public Expenditure'!$B23,'Local Government'!$B$16:$I$80,'Public Expenditure'!D$1,FALSE),0)</f>
        <v>22876442.345086303</v>
      </c>
      <c r="E23" s="102">
        <f t="shared" si="0"/>
        <v>0.62491988813850641</v>
      </c>
      <c r="F23" s="400">
        <f>+IF(ISNUMBER(VLOOKUP($B23,'Cental Budget'!$B$16:$J$96,'Public Expenditure'!F$1,FALSE)),VLOOKUP($B23,'Cental Budget'!$B$16:$J$96,'Public Expenditure'!F$1,FALSE),0)+IF(ISNUMBER(VLOOKUP('Public Expenditure'!$B23,'Local Government'!$B$16:$I$80,'Public Expenditure'!F$1,FALSE)),VLOOKUP('Public Expenditure'!$B23,'Local Government'!$B$16:$I$80,'Public Expenditure'!F$1,FALSE),0)</f>
        <v>22887481.920000002</v>
      </c>
      <c r="G23" s="102">
        <f t="shared" si="1"/>
        <v>0.63665328648266128</v>
      </c>
      <c r="H23" s="211">
        <f t="shared" si="3"/>
        <v>11039.57491369918</v>
      </c>
      <c r="I23" s="102">
        <f t="shared" si="2"/>
        <v>3.0708409403641928E-4</v>
      </c>
      <c r="J23" s="96">
        <f t="shared" si="4"/>
        <v>4.8257393991463005E-2</v>
      </c>
      <c r="K23" s="81"/>
      <c r="BW23" s="174"/>
      <c r="BX23" s="174"/>
      <c r="BY23" s="81"/>
    </row>
    <row r="24" spans="2:77" ht="15" customHeight="1">
      <c r="B24" s="80">
        <v>7117</v>
      </c>
      <c r="C24" s="100" t="s">
        <v>11</v>
      </c>
      <c r="D24" s="400">
        <f>+IF(ISNUMBER(VLOOKUP($B24,'Cental Budget'!$B$16:$J$96,'Public Expenditure'!D$1,FALSE)),VLOOKUP($B24,'Cental Budget'!$B$16:$J$96,'Public Expenditure'!D$1,FALSE),0)+IF(ISNUMBER(VLOOKUP('Public Expenditure'!$B24,'Local Government'!$B$16:$I$80,'Public Expenditure'!D$1,FALSE)),VLOOKUP('Public Expenditure'!$B24,'Local Government'!$B$16:$I$80,'Public Expenditure'!D$1,FALSE),0)</f>
        <v>66618819.467884004</v>
      </c>
      <c r="E24" s="102">
        <f t="shared" si="0"/>
        <v>1.8198382677598275</v>
      </c>
      <c r="F24" s="400">
        <f>+IF(ISNUMBER(VLOOKUP($B24,'Cental Budget'!$B$16:$J$96,'Public Expenditure'!F$1,FALSE)),VLOOKUP($B24,'Cental Budget'!$B$16:$J$96,'Public Expenditure'!F$1,FALSE),0)+IF(ISNUMBER(VLOOKUP('Public Expenditure'!$B24,'Local Government'!$B$16:$I$80,'Public Expenditure'!F$1,FALSE)),VLOOKUP('Public Expenditure'!$B24,'Local Government'!$B$16:$I$80,'Public Expenditure'!F$1,FALSE),0)</f>
        <v>75997609.719999999</v>
      </c>
      <c r="G24" s="102">
        <f t="shared" si="1"/>
        <v>2.1139996161301018</v>
      </c>
      <c r="H24" s="211">
        <f t="shared" si="3"/>
        <v>9378790.2521159947</v>
      </c>
      <c r="I24" s="102">
        <f t="shared" si="2"/>
        <v>0.2608866129577786</v>
      </c>
      <c r="J24" s="96">
        <f t="shared" si="4"/>
        <v>14.078289478902235</v>
      </c>
      <c r="K24" s="370">
        <f>+F24/D24*100-100</f>
        <v>14.078289478902235</v>
      </c>
      <c r="BW24" s="174"/>
      <c r="BX24" s="174"/>
      <c r="BY24" s="81"/>
    </row>
    <row r="25" spans="2:77" ht="15" customHeight="1">
      <c r="B25" s="80">
        <v>7118</v>
      </c>
      <c r="C25" s="100" t="str">
        <f>IF(MasterSheet!$A$1=1,MasterSheet!C80,MasterSheet!B80)</f>
        <v>Ostali republički prihodi</v>
      </c>
      <c r="D25" s="400">
        <f>+IF(ISNUMBER(VLOOKUP($B25,'Cental Budget'!$B$16:$J$96,'Public Expenditure'!D$1,FALSE)),VLOOKUP($B25,'Cental Budget'!$B$16:$J$96,'Public Expenditure'!D$1,FALSE),0)+IF(ISNUMBER(VLOOKUP('Public Expenditure'!$B25,'Local Government'!$B$16:$I$80,'Public Expenditure'!D$1,FALSE)),VLOOKUP('Public Expenditure'!$B25,'Local Government'!$B$16:$I$80,'Public Expenditure'!D$1,FALSE),0)</f>
        <v>5720506.2800410194</v>
      </c>
      <c r="E25" s="102">
        <f t="shared" si="0"/>
        <v>0.15626809845223644</v>
      </c>
      <c r="F25" s="400">
        <f>+IF(ISNUMBER(VLOOKUP($B25,'Cental Budget'!$B$16:$J$96,'Public Expenditure'!F$1,FALSE)),VLOOKUP($B25,'Cental Budget'!$B$16:$J$96,'Public Expenditure'!F$1,FALSE),0)+IF(ISNUMBER(VLOOKUP('Public Expenditure'!$B25,'Local Government'!$B$16:$I$80,'Public Expenditure'!F$1,FALSE)),VLOOKUP('Public Expenditure'!$B25,'Local Government'!$B$16:$I$80,'Public Expenditure'!F$1,FALSE),0)</f>
        <v>7119542.1799999997</v>
      </c>
      <c r="G25" s="102">
        <f t="shared" si="1"/>
        <v>0.19804187909322141</v>
      </c>
      <c r="H25" s="211">
        <f t="shared" si="3"/>
        <v>1399035.8999589803</v>
      </c>
      <c r="I25" s="102">
        <f t="shared" si="2"/>
        <v>3.8916504958012986E-2</v>
      </c>
      <c r="J25" s="96">
        <f t="shared" si="4"/>
        <v>24.456504922304688</v>
      </c>
      <c r="K25" s="81"/>
      <c r="BW25" s="174"/>
      <c r="BX25" s="174"/>
      <c r="BY25" s="81"/>
    </row>
    <row r="26" spans="2:77" ht="15" customHeight="1">
      <c r="B26" s="80">
        <v>712</v>
      </c>
      <c r="C26" s="94" t="str">
        <f>IF(MasterSheet!$A$1=1,MasterSheet!C81,MasterSheet!B81)</f>
        <v>Doprinosi</v>
      </c>
      <c r="D26" s="252">
        <f>SUM(D27:D30)</f>
        <v>417492172.75320089</v>
      </c>
      <c r="E26" s="98">
        <f t="shared" si="0"/>
        <v>11.40470873748739</v>
      </c>
      <c r="F26" s="252">
        <f>SUM(F27:F30)</f>
        <v>437288820.67000002</v>
      </c>
      <c r="G26" s="98">
        <f t="shared" si="1"/>
        <v>12.163914134145283</v>
      </c>
      <c r="H26" s="207">
        <f t="shared" si="3"/>
        <v>19796647.916799128</v>
      </c>
      <c r="I26" s="98">
        <f t="shared" si="2"/>
        <v>0.55067661010610192</v>
      </c>
      <c r="J26" s="96">
        <f t="shared" si="4"/>
        <v>4.7418009746740495</v>
      </c>
      <c r="K26" s="370">
        <f>+F26/D26*100-100</f>
        <v>4.7418009746740495</v>
      </c>
      <c r="BW26" s="174"/>
      <c r="BX26" s="174"/>
      <c r="BY26" s="81"/>
    </row>
    <row r="27" spans="2:77" ht="15" hidden="1" customHeight="1">
      <c r="B27" s="80">
        <v>7121</v>
      </c>
      <c r="C27" s="100" t="str">
        <f>IF(MasterSheet!$A$1=1,MasterSheet!C82,MasterSheet!B82)</f>
        <v>Doprinosi za penzijsko i invalidsko osiguranje</v>
      </c>
      <c r="D27" s="400">
        <f>+IF(ISNUMBER(VLOOKUP($B27,'Cental Budget'!$B$16:$J$96,'Public Expenditure'!D$1,FALSE)),VLOOKUP($B27,'Cental Budget'!$B$16:$J$96,'Public Expenditure'!D$1,FALSE),0)+IF(ISNUMBER(VLOOKUP('Public Expenditure'!$B27,'Local Government'!$B$16:$I$80,'Public Expenditure'!D$1,FALSE)),VLOOKUP('Public Expenditure'!$B27,'Local Government'!$B$16:$I$80,'Public Expenditure'!D$1,FALSE),0)</f>
        <v>246405399.04978585</v>
      </c>
      <c r="E27" s="102">
        <f t="shared" si="0"/>
        <v>6.7311005832159374</v>
      </c>
      <c r="F27" s="400">
        <f>+IF(ISNUMBER(VLOOKUP($B27,'Cental Budget'!$B$16:$J$96,'Public Expenditure'!F$1,FALSE)),VLOOKUP($B27,'Cental Budget'!$B$16:$J$96,'Public Expenditure'!F$1,FALSE),0)+IF(ISNUMBER(VLOOKUP('Public Expenditure'!$B27,'Local Government'!$B$16:$I$80,'Public Expenditure'!F$1,FALSE)),VLOOKUP('Public Expenditure'!$B27,'Local Government'!$B$16:$I$80,'Public Expenditure'!F$1,FALSE),0)</f>
        <v>264099239.14000005</v>
      </c>
      <c r="G27" s="102">
        <f t="shared" si="1"/>
        <v>7.3463585528438653</v>
      </c>
      <c r="H27" s="211">
        <f t="shared" si="3"/>
        <v>17693840.090214193</v>
      </c>
      <c r="I27" s="102">
        <f t="shared" si="2"/>
        <v>0.49218352125009718</v>
      </c>
      <c r="J27" s="96">
        <f t="shared" si="4"/>
        <v>7.1807842516629137</v>
      </c>
      <c r="K27" s="81"/>
      <c r="BW27" s="174"/>
      <c r="BX27" s="174"/>
      <c r="BY27" s="81"/>
    </row>
    <row r="28" spans="2:77" ht="15" hidden="1" customHeight="1">
      <c r="B28" s="80">
        <v>7122</v>
      </c>
      <c r="C28" s="100" t="str">
        <f>IF(MasterSheet!$A$1=1,MasterSheet!C83,MasterSheet!B83)</f>
        <v>Doprinosi za zdravstveno osiguranje</v>
      </c>
      <c r="D28" s="400">
        <f>+IF(ISNUMBER(VLOOKUP($B28,'Cental Budget'!$B$16:$J$96,'Public Expenditure'!D$1,FALSE)),VLOOKUP($B28,'Cental Budget'!$B$16:$J$96,'Public Expenditure'!D$1,FALSE),0)+IF(ISNUMBER(VLOOKUP('Public Expenditure'!$B28,'Local Government'!$B$16:$I$80,'Public Expenditure'!D$1,FALSE)),VLOOKUP('Public Expenditure'!$B28,'Local Government'!$B$16:$I$80,'Public Expenditure'!D$1,FALSE),0)</f>
        <v>145455857.4454551</v>
      </c>
      <c r="E28" s="102">
        <f t="shared" si="0"/>
        <v>3.9734438070711913</v>
      </c>
      <c r="F28" s="400">
        <f>+IF(ISNUMBER(VLOOKUP($B28,'Cental Budget'!$B$16:$J$96,'Public Expenditure'!F$1,FALSE)),VLOOKUP($B28,'Cental Budget'!$B$16:$J$96,'Public Expenditure'!F$1,FALSE),0)+IF(ISNUMBER(VLOOKUP('Public Expenditure'!$B28,'Local Government'!$B$16:$I$80,'Public Expenditure'!F$1,FALSE)),VLOOKUP('Public Expenditure'!$B28,'Local Government'!$B$16:$I$80,'Public Expenditure'!F$1,FALSE),0)</f>
        <v>150309788.34999993</v>
      </c>
      <c r="G28" s="102">
        <f t="shared" si="1"/>
        <v>4.1811161698796742</v>
      </c>
      <c r="H28" s="211">
        <f t="shared" si="3"/>
        <v>4853930.9045448303</v>
      </c>
      <c r="I28" s="102">
        <f t="shared" si="2"/>
        <v>0.13502014216941099</v>
      </c>
      <c r="J28" s="96">
        <f t="shared" si="4"/>
        <v>3.337047396915608</v>
      </c>
      <c r="K28" s="81"/>
      <c r="BW28" s="174"/>
      <c r="BX28" s="174"/>
      <c r="BY28" s="81"/>
    </row>
    <row r="29" spans="2:77" ht="15" hidden="1" customHeight="1">
      <c r="B29" s="80">
        <v>7123</v>
      </c>
      <c r="C29" s="100" t="str">
        <f>IF(MasterSheet!$A$1=1,MasterSheet!C84,MasterSheet!B84)</f>
        <v>Doprinosi za osiguranje od nezaposlenosti</v>
      </c>
      <c r="D29" s="400">
        <f>+IF(ISNUMBER(VLOOKUP($B29,'Cental Budget'!$B$16:$J$96,'Public Expenditure'!D$1,FALSE)),VLOOKUP($B29,'Cental Budget'!$B$16:$J$96,'Public Expenditure'!D$1,FALSE),0)+IF(ISNUMBER(VLOOKUP('Public Expenditure'!$B29,'Local Government'!$B$16:$I$80,'Public Expenditure'!D$1,FALSE)),VLOOKUP('Public Expenditure'!$B29,'Local Government'!$B$16:$I$80,'Public Expenditure'!D$1,FALSE),0)</f>
        <v>12721701.738883585</v>
      </c>
      <c r="E29" s="102">
        <f t="shared" si="0"/>
        <v>0.34752101343687231</v>
      </c>
      <c r="F29" s="400">
        <f>+IF(ISNUMBER(VLOOKUP($B29,'Cental Budget'!$B$16:$J$96,'Public Expenditure'!F$1,FALSE)),VLOOKUP($B29,'Cental Budget'!$B$16:$J$96,'Public Expenditure'!F$1,FALSE),0)+IF(ISNUMBER(VLOOKUP('Public Expenditure'!$B29,'Local Government'!$B$16:$I$80,'Public Expenditure'!F$1,FALSE)),VLOOKUP('Public Expenditure'!$B29,'Local Government'!$B$16:$I$80,'Public Expenditure'!F$1,FALSE),0)</f>
        <v>12114496.520000001</v>
      </c>
      <c r="G29" s="102">
        <f t="shared" si="1"/>
        <v>0.33698482211802722</v>
      </c>
      <c r="H29" s="211">
        <f t="shared" si="3"/>
        <v>-607205.21888358332</v>
      </c>
      <c r="I29" s="102">
        <f t="shared" si="2"/>
        <v>-1.6890420690353385E-2</v>
      </c>
      <c r="J29" s="96">
        <f t="shared" si="4"/>
        <v>-4.7729873828724863</v>
      </c>
      <c r="K29" s="81"/>
      <c r="BW29" s="174"/>
      <c r="BX29" s="174"/>
      <c r="BY29" s="81"/>
    </row>
    <row r="30" spans="2:77" ht="15" hidden="1" customHeight="1">
      <c r="B30" s="80">
        <v>7124</v>
      </c>
      <c r="C30" s="100" t="str">
        <f>IF(MasterSheet!$A$1=1,MasterSheet!C85,MasterSheet!B85)</f>
        <v>Ostali doprinosi</v>
      </c>
      <c r="D30" s="400">
        <f>+IF(ISNUMBER(VLOOKUP($B30,'Cental Budget'!$B$16:$J$96,'Public Expenditure'!D$1,FALSE)),VLOOKUP($B30,'Cental Budget'!$B$16:$J$96,'Public Expenditure'!D$1,FALSE),0)+IF(ISNUMBER(VLOOKUP('Public Expenditure'!$B30,'Local Government'!$B$16:$I$80,'Public Expenditure'!D$1,FALSE)),VLOOKUP('Public Expenditure'!$B30,'Local Government'!$B$16:$I$80,'Public Expenditure'!D$1,FALSE),0)</f>
        <v>12909214.519076321</v>
      </c>
      <c r="E30" s="102">
        <f t="shared" si="0"/>
        <v>0.35264333376338736</v>
      </c>
      <c r="F30" s="400">
        <f>+IF(ISNUMBER(VLOOKUP($B30,'Cental Budget'!$B$16:$J$96,'Public Expenditure'!F$1,FALSE)),VLOOKUP($B30,'Cental Budget'!$B$16:$J$96,'Public Expenditure'!F$1,FALSE),0)+IF(ISNUMBER(VLOOKUP('Public Expenditure'!$B30,'Local Government'!$B$16:$I$80,'Public Expenditure'!F$1,FALSE)),VLOOKUP('Public Expenditure'!$B30,'Local Government'!$B$16:$I$80,'Public Expenditure'!F$1,FALSE),0)</f>
        <v>10765296.66</v>
      </c>
      <c r="G30" s="102">
        <f t="shared" si="1"/>
        <v>0.29945458930371566</v>
      </c>
      <c r="H30" s="211">
        <f t="shared" si="3"/>
        <v>-2143917.8590763211</v>
      </c>
      <c r="I30" s="102">
        <f t="shared" si="2"/>
        <v>-5.9636632623053139E-2</v>
      </c>
      <c r="J30" s="96">
        <f t="shared" si="4"/>
        <v>-16.607655375996671</v>
      </c>
      <c r="K30" s="81"/>
      <c r="BW30" s="81"/>
      <c r="BX30" s="81"/>
      <c r="BY30" s="81"/>
    </row>
    <row r="31" spans="2:77" ht="15" customHeight="1">
      <c r="B31" s="80">
        <v>713</v>
      </c>
      <c r="C31" s="94" t="str">
        <f>IF(MasterSheet!$A$1=1,MasterSheet!C86,MasterSheet!B86)</f>
        <v>Takse</v>
      </c>
      <c r="D31" s="252">
        <f>+IF(ISNUMBER(VLOOKUP($B31,'Cental Budget'!$B$16:$J$96,'Public Expenditure'!D$1,FALSE)),VLOOKUP($B31,'Cental Budget'!$B$16:$J$96,'Public Expenditure'!D$1,FALSE),0)+IF(ISNUMBER(VLOOKUP('Public Expenditure'!$B31,'Local Government'!$B$16:$I$80,'Public Expenditure'!D$1,FALSE)),VLOOKUP('Public Expenditure'!$B31,'Local Government'!$B$16:$I$80,'Public Expenditure'!D$1,FALSE),0)</f>
        <v>23838837.990251631</v>
      </c>
      <c r="E31" s="98">
        <f t="shared" si="0"/>
        <v>0.65120982299154884</v>
      </c>
      <c r="F31" s="252">
        <f>+IF(ISNUMBER(VLOOKUP($B31,'Cental Budget'!$B$16:$J$96,'Public Expenditure'!F$1,FALSE)),VLOOKUP($B31,'Cental Budget'!$B$16:$J$96,'Public Expenditure'!F$1,FALSE),0)+IF(ISNUMBER(VLOOKUP('Public Expenditure'!$B31,'Local Government'!$B$16:$I$80,'Public Expenditure'!F$1,FALSE)),VLOOKUP('Public Expenditure'!$B31,'Local Government'!$B$16:$I$80,'Public Expenditure'!F$1,FALSE),0)</f>
        <v>18436067</v>
      </c>
      <c r="G31" s="98">
        <f t="shared" si="1"/>
        <v>0.51282979431249454</v>
      </c>
      <c r="H31" s="207">
        <f t="shared" si="3"/>
        <v>-5402770.9902516305</v>
      </c>
      <c r="I31" s="98">
        <f t="shared" si="2"/>
        <v>-0.15028703983600494</v>
      </c>
      <c r="J31" s="96">
        <f t="shared" si="4"/>
        <v>-22.663734668866738</v>
      </c>
      <c r="K31" s="81"/>
      <c r="BW31" s="81"/>
      <c r="BX31" s="81"/>
      <c r="BY31" s="81"/>
    </row>
    <row r="32" spans="2:77" ht="15" customHeight="1">
      <c r="B32" s="80">
        <v>714</v>
      </c>
      <c r="C32" s="94" t="str">
        <f>IF(MasterSheet!$A$1=1,MasterSheet!C91,MasterSheet!B91)</f>
        <v>Naknade</v>
      </c>
      <c r="D32" s="252">
        <f>+IF(ISNUMBER(VLOOKUP($B32,'Cental Budget'!$B$16:$J$96,'Public Expenditure'!D$1,FALSE)),VLOOKUP($B32,'Cental Budget'!$B$16:$J$96,'Public Expenditure'!D$1,FALSE),0)+IF(ISNUMBER(VLOOKUP('Public Expenditure'!$B32,'Local Government'!$B$16:$I$80,'Public Expenditure'!D$1,FALSE)),VLOOKUP('Public Expenditure'!$B32,'Local Government'!$B$16:$I$80,'Public Expenditure'!D$1,FALSE),0)</f>
        <v>68442538.596385211</v>
      </c>
      <c r="E32" s="98">
        <f t="shared" si="0"/>
        <v>1.8696571310510341</v>
      </c>
      <c r="F32" s="252">
        <f>+IF(ISNUMBER(VLOOKUP($B32,'Cental Budget'!$B$16:$J$96,'Public Expenditure'!F$1,FALSE)),VLOOKUP($B32,'Cental Budget'!$B$16:$J$96,'Public Expenditure'!F$1,FALSE),0)+IF(ISNUMBER(VLOOKUP('Public Expenditure'!$B32,'Local Government'!$B$16:$I$80,'Public Expenditure'!F$1,FALSE)),VLOOKUP('Public Expenditure'!$B32,'Local Government'!$B$16:$I$80,'Public Expenditure'!F$1,FALSE),0)</f>
        <v>83690687.739999995</v>
      </c>
      <c r="G32" s="98">
        <f t="shared" si="1"/>
        <v>2.3279953462729015</v>
      </c>
      <c r="H32" s="207">
        <f t="shared" si="3"/>
        <v>15248149.143614784</v>
      </c>
      <c r="I32" s="98">
        <f t="shared" si="2"/>
        <v>0.42415256946973617</v>
      </c>
      <c r="J32" s="96">
        <f t="shared" si="4"/>
        <v>22.278760338705666</v>
      </c>
      <c r="K32" s="370">
        <f>+F32/D32*100-100</f>
        <v>22.278760338705666</v>
      </c>
      <c r="BW32" s="174"/>
      <c r="BX32" s="174"/>
      <c r="BY32" s="174"/>
    </row>
    <row r="33" spans="1:80" ht="15" customHeight="1">
      <c r="B33" s="80">
        <v>715</v>
      </c>
      <c r="C33" s="94" t="str">
        <f>IF(MasterSheet!$A$1=1,MasterSheet!C98,MasterSheet!B98)</f>
        <v>Ostali prihodi</v>
      </c>
      <c r="D33" s="252">
        <f>+IF(ISNUMBER(VLOOKUP($B33,'Cental Budget'!$B$16:$J$96,'Public Expenditure'!D$1,FALSE)),VLOOKUP($B33,'Cental Budget'!$B$16:$J$96,'Public Expenditure'!D$1,FALSE),0)+IF(ISNUMBER(VLOOKUP('Public Expenditure'!$B33,'Local Government'!$B$16:$I$80,'Public Expenditure'!D$1,FALSE)),VLOOKUP('Public Expenditure'!$B33,'Local Government'!$B$16:$I$80,'Public Expenditure'!D$1,FALSE),0)</f>
        <v>50674920.257826455</v>
      </c>
      <c r="E33" s="98">
        <f t="shared" si="0"/>
        <v>1.3842959067344074</v>
      </c>
      <c r="F33" s="252">
        <f>+IF(ISNUMBER(VLOOKUP($B33,'Cental Budget'!$B$16:$J$96,'Public Expenditure'!F$1,FALSE)),VLOOKUP($B33,'Cental Budget'!$B$16:$J$96,'Public Expenditure'!F$1,FALSE),0)+IF(ISNUMBER(VLOOKUP('Public Expenditure'!$B33,'Local Government'!$B$16:$I$80,'Public Expenditure'!F$1,FALSE)),VLOOKUP('Public Expenditure'!$B33,'Local Government'!$B$16:$I$80,'Public Expenditure'!F$1,FALSE),0)</f>
        <v>39062592.32</v>
      </c>
      <c r="G33" s="98">
        <f t="shared" si="1"/>
        <v>1.0865908213925686</v>
      </c>
      <c r="H33" s="207">
        <f t="shared" si="3"/>
        <v>-11612327.937826455</v>
      </c>
      <c r="I33" s="98">
        <f t="shared" si="2"/>
        <v>-0.32301616976358216</v>
      </c>
      <c r="J33" s="96">
        <f t="shared" si="4"/>
        <v>-22.915335394204192</v>
      </c>
      <c r="K33" s="81"/>
      <c r="BW33" s="81"/>
      <c r="BX33" s="81"/>
      <c r="BY33" s="81"/>
      <c r="BZ33" s="81"/>
      <c r="CA33" s="81"/>
    </row>
    <row r="34" spans="1:80">
      <c r="B34" s="80">
        <v>73</v>
      </c>
      <c r="C34" s="111" t="str">
        <f>IF(MasterSheet!$A$1=1,MasterSheet!C103,MasterSheet!B103)</f>
        <v>Primici od otplate kredita i sredstva prenijeta iz prethodne godine</v>
      </c>
      <c r="D34" s="252">
        <f>+IF(ISNUMBER(VLOOKUP($B34,'Cental Budget'!$B$16:$J$96,'Public Expenditure'!D$1,FALSE)),VLOOKUP($B34,'Cental Budget'!$B$16:$J$96,'Public Expenditure'!D$1,FALSE),0)+IF(ISNUMBER(VLOOKUP('Public Expenditure'!$B34,'Local Government'!$B$16:$I$80,'Public Expenditure'!D$1,FALSE)),VLOOKUP('Public Expenditure'!$B34,'Local Government'!$B$16:$I$80,'Public Expenditure'!D$1,FALSE),0)</f>
        <v>5073747.8792982856</v>
      </c>
      <c r="E34" s="98">
        <f t="shared" si="0"/>
        <v>0.13860048294856955</v>
      </c>
      <c r="F34" s="252">
        <f>+IF(ISNUMBER(VLOOKUP($B34,'Cental Budget'!$B$16:$J$96,'Public Expenditure'!F$1,FALSE)),VLOOKUP($B34,'Cental Budget'!$B$16:$J$96,'Public Expenditure'!F$1,FALSE),0)+IF(ISNUMBER(VLOOKUP('Public Expenditure'!$B34,'Local Government'!$B$16:$I$80,'Public Expenditure'!F$1,FALSE)),VLOOKUP('Public Expenditure'!$B34,'Local Government'!$B$16:$I$80,'Public Expenditure'!F$1,FALSE),0)</f>
        <v>8231495.4800000004</v>
      </c>
      <c r="G34" s="98">
        <f t="shared" si="1"/>
        <v>0.22897270518124224</v>
      </c>
      <c r="H34" s="207">
        <f t="shared" si="3"/>
        <v>3157747.6007017149</v>
      </c>
      <c r="I34" s="98">
        <f t="shared" si="2"/>
        <v>8.7837989119839588E-2</v>
      </c>
      <c r="J34" s="96">
        <f t="shared" si="4"/>
        <v>62.236982913278695</v>
      </c>
      <c r="K34" s="81"/>
      <c r="BV34" s="106"/>
      <c r="BW34" s="106"/>
      <c r="BX34" s="103"/>
      <c r="BY34" s="179"/>
      <c r="BZ34" s="179"/>
      <c r="CA34" s="179"/>
      <c r="CB34" s="176"/>
    </row>
    <row r="35" spans="1:80" ht="13.5" customHeight="1" thickBot="1">
      <c r="B35" s="80">
        <v>74</v>
      </c>
      <c r="C35" s="94" t="s">
        <v>123</v>
      </c>
      <c r="D35" s="252">
        <f>+IF(ISNUMBER(VLOOKUP($B35,'Cental Budget'!$B$16:$J$96,'Public Expenditure'!D$1,FALSE)),VLOOKUP($B35,'Cental Budget'!$B$16:$J$96,'Public Expenditure'!D$1,FALSE),0)+IF(ISNUMBER(VLOOKUP('Public Expenditure'!$B35,'Local Government'!$B$16:$I$80,'Public Expenditure'!D$1,FALSE)),VLOOKUP('Public Expenditure'!$B35,'Local Government'!$B$16:$I$80,'Public Expenditure'!D$1,FALSE),0)</f>
        <v>9592119.81022075</v>
      </c>
      <c r="E35" s="98">
        <f>D35/D$11*100</f>
        <v>0.26202966127300109</v>
      </c>
      <c r="F35" s="252">
        <f>+IF(ISNUMBER(VLOOKUP($B35,'Cental Budget'!$B$16:$J$96,'Public Expenditure'!F$1,FALSE)),VLOOKUP($B35,'Cental Budget'!$B$16:$J$96,'Public Expenditure'!F$1,FALSE),0)+IF(ISNUMBER(VLOOKUP('Public Expenditure'!$B35,'Local Government'!$B$16:$I$80,'Public Expenditure'!F$1,FALSE)),VLOOKUP('Public Expenditure'!$B35,'Local Government'!$B$16:$I$80,'Public Expenditure'!F$1,FALSE),0)</f>
        <v>13531669.91</v>
      </c>
      <c r="G35" s="98">
        <f t="shared" si="1"/>
        <v>0.3764058514568141</v>
      </c>
      <c r="H35" s="207">
        <f t="shared" si="3"/>
        <v>3939550.0997792501</v>
      </c>
      <c r="I35" s="98">
        <f>H35/H$11*100</f>
        <v>0.10958512286560688</v>
      </c>
      <c r="J35" s="96">
        <f t="shared" si="4"/>
        <v>41.0706932119584</v>
      </c>
      <c r="K35" s="370">
        <f>+F35/D35*100-100</f>
        <v>41.0706932119584</v>
      </c>
      <c r="BW35" s="225"/>
      <c r="BX35" s="225"/>
      <c r="BY35" s="179"/>
      <c r="BZ35" s="179"/>
      <c r="CA35" s="179"/>
      <c r="CB35" s="176"/>
    </row>
    <row r="36" spans="1:80" ht="15" customHeight="1" thickTop="1" thickBot="1">
      <c r="B36" s="112"/>
      <c r="C36" s="251" t="str">
        <f>IF(MasterSheet!$A$1=1,MasterSheet!C104,MasterSheet!B104)</f>
        <v>Izdaci</v>
      </c>
      <c r="D36" s="465">
        <f>+D38+D48+D54+D57+SUM(D58:D61)</f>
        <v>1741978888.4441493</v>
      </c>
      <c r="E36" s="246">
        <f t="shared" si="0"/>
        <v>47.585950458768792</v>
      </c>
      <c r="F36" s="465">
        <f>+F38+F48+F54+F57+SUM(F58:F61)</f>
        <v>1828550969.7129998</v>
      </c>
      <c r="G36" s="246">
        <f t="shared" si="1"/>
        <v>50.864179311554366</v>
      </c>
      <c r="H36" s="245">
        <f t="shared" si="3"/>
        <v>86572081.268850565</v>
      </c>
      <c r="I36" s="246">
        <f t="shared" ref="I36:I76" si="5">H36/H$11*100</f>
        <v>2.4081460883337646</v>
      </c>
      <c r="J36" s="96">
        <f t="shared" si="4"/>
        <v>4.9697549059376058</v>
      </c>
      <c r="K36" s="370">
        <f>+H36/F11*100</f>
        <v>2.4081460883337646</v>
      </c>
      <c r="T36" s="80">
        <f>+F36/D36</f>
        <v>1.0496975490593761</v>
      </c>
      <c r="U36" s="471">
        <f>+D36-'Cental Budget'!D49-'Local Government'!D42</f>
        <v>0</v>
      </c>
      <c r="W36" s="112">
        <f>+F36-'Cental Budget'!F49-'Local Government'!F42</f>
        <v>-2.9802322387695313E-7</v>
      </c>
      <c r="Y36" s="112">
        <f>+H36-'Cental Budget'!H49-'Local Government'!H42</f>
        <v>-2.384185791015625E-7</v>
      </c>
      <c r="BW36" s="81"/>
      <c r="BX36" s="81"/>
      <c r="BY36" s="179"/>
      <c r="BZ36" s="179"/>
      <c r="CA36" s="179"/>
      <c r="CB36" s="176"/>
    </row>
    <row r="37" spans="1:80" ht="13.5" customHeight="1" thickTop="1" thickBot="1">
      <c r="C37" s="251" t="str">
        <f>IF(MasterSheet!$A$1=1,MasterSheet!C105,MasterSheet!B105)</f>
        <v>Tekuća budžetska potrošnja</v>
      </c>
      <c r="D37" s="465">
        <f>+D36-D57</f>
        <v>1421410923.2041492</v>
      </c>
      <c r="E37" s="246">
        <f t="shared" si="0"/>
        <v>38.828937722406899</v>
      </c>
      <c r="F37" s="465">
        <f>+F36-F57+'Cental Budget'!F72</f>
        <v>1560415018.2429998</v>
      </c>
      <c r="G37" s="246">
        <f t="shared" si="1"/>
        <v>43.405532907191379</v>
      </c>
      <c r="H37" s="245">
        <f t="shared" si="3"/>
        <v>139004095.03885055</v>
      </c>
      <c r="I37" s="246">
        <f t="shared" si="5"/>
        <v>3.866629551051652</v>
      </c>
      <c r="J37" s="96">
        <f t="shared" si="4"/>
        <v>9.7793039837844447</v>
      </c>
      <c r="K37" s="370">
        <f t="shared" ref="K37:K45" si="6">+F37/D37*100-100</f>
        <v>9.7793039837844447</v>
      </c>
      <c r="BW37" s="225"/>
      <c r="BX37" s="225"/>
      <c r="BY37" s="179"/>
      <c r="BZ37" s="179"/>
      <c r="CA37" s="179"/>
      <c r="CB37" s="176"/>
    </row>
    <row r="38" spans="1:80" ht="13.5" customHeight="1" thickTop="1">
      <c r="A38" s="80">
        <v>41</v>
      </c>
      <c r="C38" s="94" t="s">
        <v>63</v>
      </c>
      <c r="D38" s="405">
        <f>+SUM(D39:D47)</f>
        <v>696409492.52999997</v>
      </c>
      <c r="E38" s="98">
        <f t="shared" si="0"/>
        <v>19.023943304012896</v>
      </c>
      <c r="F38" s="405">
        <f>+SUM(F39:F47)</f>
        <v>722275557.99299979</v>
      </c>
      <c r="G38" s="98">
        <f t="shared" si="1"/>
        <v>20.091293107282173</v>
      </c>
      <c r="H38" s="95">
        <f t="shared" si="3"/>
        <v>25866065.462999821</v>
      </c>
      <c r="I38" s="98">
        <f t="shared" si="5"/>
        <v>0.71950753005311374</v>
      </c>
      <c r="J38" s="96">
        <f t="shared" si="4"/>
        <v>3.7142034593799877</v>
      </c>
      <c r="K38" s="370">
        <f t="shared" si="6"/>
        <v>3.7142034593799877</v>
      </c>
      <c r="BW38" s="225"/>
      <c r="BX38" s="225"/>
      <c r="BY38" s="179"/>
      <c r="BZ38" s="179"/>
      <c r="CA38" s="179"/>
      <c r="CB38" s="176"/>
    </row>
    <row r="39" spans="1:80" ht="13.5" customHeight="1">
      <c r="B39" s="80">
        <v>411</v>
      </c>
      <c r="C39" s="94" t="s">
        <v>64</v>
      </c>
      <c r="D39" s="252">
        <f>+IF(ISNUMBER(VLOOKUP($B39,'Cental Budget'!$B$16:$J$96,'Public Expenditure'!D$1,FALSE)),VLOOKUP($B39,'Cental Budget'!$B$16:$J$96,'Public Expenditure'!D$1,FALSE),0)+IF(ISNUMBER(VLOOKUP('Public Expenditure'!$B39,'Local Government'!$B$16:$I$80,'Public Expenditure'!D$1,FALSE)),VLOOKUP('Public Expenditure'!$B39,'Local Government'!$B$16:$I$80,'Public Expenditure'!D$1,FALSE),0)</f>
        <v>421087822.08999991</v>
      </c>
      <c r="E39" s="98">
        <f t="shared" si="0"/>
        <v>11.502931736826287</v>
      </c>
      <c r="F39" s="252">
        <f>+'Cental Budget'!F52+'Local Government'!F45</f>
        <v>428791755.66999996</v>
      </c>
      <c r="G39" s="98">
        <f t="shared" si="1"/>
        <v>11.927554172109458</v>
      </c>
      <c r="H39" s="207">
        <f t="shared" si="3"/>
        <v>7703933.5800000429</v>
      </c>
      <c r="I39" s="98">
        <f t="shared" si="5"/>
        <v>0.21429769555667932</v>
      </c>
      <c r="J39" s="96">
        <f t="shared" si="4"/>
        <v>1.8295313176626422</v>
      </c>
      <c r="K39" s="370">
        <f t="shared" si="6"/>
        <v>1.8295313176626422</v>
      </c>
      <c r="BW39" s="225"/>
      <c r="BX39" s="225"/>
      <c r="BY39" s="179"/>
      <c r="BZ39" s="179"/>
      <c r="CA39" s="179"/>
      <c r="CB39" s="176"/>
    </row>
    <row r="40" spans="1:80" ht="13.5" customHeight="1">
      <c r="B40" s="80">
        <v>412</v>
      </c>
      <c r="C40" s="94" t="s">
        <v>75</v>
      </c>
      <c r="D40" s="252">
        <f>+IF(ISNUMBER(VLOOKUP($B40,'Cental Budget'!$B$16:$J$96,'Public Expenditure'!D$1,FALSE)),VLOOKUP($B40,'Cental Budget'!$B$16:$J$96,'Public Expenditure'!D$1,FALSE),0)+IF(ISNUMBER(VLOOKUP('Public Expenditure'!$B40,'Local Government'!$B$16:$I$80,'Public Expenditure'!D$1,FALSE)),VLOOKUP('Public Expenditure'!$B40,'Local Government'!$B$16:$I$80,'Public Expenditure'!D$1,FALSE),0)</f>
        <v>18325896.740000002</v>
      </c>
      <c r="E40" s="98">
        <f t="shared" si="0"/>
        <v>0.50061181577293967</v>
      </c>
      <c r="F40" s="252">
        <f>+IF(ISNUMBER(VLOOKUP($B40,'Cental Budget'!$B$16:$J$96,'Public Expenditure'!F$1,FALSE)),VLOOKUP($B40,'Cental Budget'!$B$16:$J$96,'Public Expenditure'!F$1,FALSE),0)+IF(ISNUMBER(VLOOKUP('Public Expenditure'!$B40,'Local Government'!$B$16:$I$80,'Public Expenditure'!F$1,FALSE)),VLOOKUP('Public Expenditure'!$B40,'Local Government'!$B$16:$I$80,'Public Expenditure'!F$1,FALSE),0)</f>
        <v>19792182.75</v>
      </c>
      <c r="G40" s="98">
        <f t="shared" si="1"/>
        <v>0.55055240408259543</v>
      </c>
      <c r="H40" s="207">
        <f t="shared" si="3"/>
        <v>1466286.0099999979</v>
      </c>
      <c r="I40" s="98">
        <f t="shared" si="5"/>
        <v>4.0787178355968616E-2</v>
      </c>
      <c r="J40" s="96">
        <f t="shared" si="4"/>
        <v>8.001169224093303</v>
      </c>
      <c r="K40" s="370">
        <f t="shared" si="6"/>
        <v>8.001169224093303</v>
      </c>
      <c r="BW40" s="225"/>
      <c r="BX40" s="225"/>
      <c r="BY40" s="179"/>
      <c r="BZ40" s="179"/>
      <c r="CA40" s="179"/>
      <c r="CB40" s="176"/>
    </row>
    <row r="41" spans="1:80" ht="13.5" customHeight="1">
      <c r="B41" s="80">
        <v>413</v>
      </c>
      <c r="C41" s="94" t="s">
        <v>448</v>
      </c>
      <c r="D41" s="252">
        <f>+IF(ISNUMBER(VLOOKUP($B41,'Cental Budget'!$B$16:$J$96,'Public Expenditure'!D$1,FALSE)),VLOOKUP($B41,'Cental Budget'!$B$16:$J$96,'Public Expenditure'!D$1,FALSE),0)+IF(ISNUMBER(VLOOKUP('Public Expenditure'!$B41,'Local Government'!$B$16:$I$80,'Public Expenditure'!D$1,FALSE)),VLOOKUP('Public Expenditure'!$B41,'Local Government'!$B$16:$I$80,'Public Expenditure'!D$1,FALSE),0)</f>
        <v>42461501.5</v>
      </c>
      <c r="E41" s="98">
        <f t="shared" si="0"/>
        <v>1.159928469964761</v>
      </c>
      <c r="F41" s="252">
        <f>+IF(ISNUMBER(VLOOKUP($B41,'Cental Budget'!$B$16:$J$96,'Public Expenditure'!F$1,FALSE)),VLOOKUP($B41,'Cental Budget'!$B$16:$J$96,'Public Expenditure'!F$1,FALSE),0)+IF(ISNUMBER(VLOOKUP('Public Expenditure'!$B41,'Local Government'!$B$16:$I$80,'Public Expenditure'!F$1,FALSE)),VLOOKUP('Public Expenditure'!$B41,'Local Government'!$B$16:$I$80,'Public Expenditure'!F$1,FALSE),0)</f>
        <v>32280149.009999998</v>
      </c>
      <c r="G41" s="98">
        <f t="shared" si="1"/>
        <v>0.89792590671182604</v>
      </c>
      <c r="H41" s="207">
        <f t="shared" si="3"/>
        <v>-10181352.490000002</v>
      </c>
      <c r="I41" s="98">
        <f t="shared" si="5"/>
        <v>-0.28321121328479149</v>
      </c>
      <c r="J41" s="96">
        <f t="shared" si="4"/>
        <v>-23.977843765133926</v>
      </c>
      <c r="K41" s="370">
        <f t="shared" si="6"/>
        <v>-23.977843765133926</v>
      </c>
      <c r="BW41" s="225"/>
      <c r="BX41" s="225"/>
      <c r="BY41" s="179"/>
      <c r="BZ41" s="179"/>
      <c r="CA41" s="179"/>
      <c r="CB41" s="176"/>
    </row>
    <row r="42" spans="1:80" ht="13.5" customHeight="1">
      <c r="B42" s="80">
        <v>414</v>
      </c>
      <c r="C42" s="94" t="s">
        <v>449</v>
      </c>
      <c r="D42" s="252">
        <f>+IF(ISNUMBER(VLOOKUP($B42,'Cental Budget'!$B$16:$J$96,'Public Expenditure'!D$1,FALSE)),VLOOKUP($B42,'Cental Budget'!$B$16:$J$96,'Public Expenditure'!D$1,FALSE),0)+IF(ISNUMBER(VLOOKUP('Public Expenditure'!$B42,'Local Government'!$B$16:$I$80,'Public Expenditure'!D$1,FALSE)),VLOOKUP('Public Expenditure'!$B42,'Local Government'!$B$16:$I$80,'Public Expenditure'!D$1,FALSE),0)</f>
        <v>55769867.960000001</v>
      </c>
      <c r="E42" s="98">
        <f t="shared" si="0"/>
        <v>1.5234755090556451</v>
      </c>
      <c r="F42" s="252">
        <f>+IF(ISNUMBER(VLOOKUP($B42,'Cental Budget'!$B$16:$J$96,'Public Expenditure'!F$1,FALSE)),VLOOKUP($B42,'Cental Budget'!$B$16:$J$96,'Public Expenditure'!F$1,FALSE),0)+IF(ISNUMBER(VLOOKUP('Public Expenditure'!$B42,'Local Government'!$B$16:$I$80,'Public Expenditure'!F$1,FALSE)),VLOOKUP('Public Expenditure'!$B42,'Local Government'!$B$16:$I$80,'Public Expenditure'!F$1,FALSE),0)</f>
        <v>68337199.803000003</v>
      </c>
      <c r="G42" s="98">
        <f t="shared" si="1"/>
        <v>1.9009126034779726</v>
      </c>
      <c r="H42" s="207">
        <f t="shared" si="3"/>
        <v>12567331.843000002</v>
      </c>
      <c r="I42" s="98">
        <f t="shared" si="5"/>
        <v>0.34958118801057486</v>
      </c>
      <c r="J42" s="96">
        <f t="shared" si="4"/>
        <v>22.534268598257597</v>
      </c>
      <c r="K42" s="370">
        <f t="shared" si="6"/>
        <v>22.534268598257597</v>
      </c>
      <c r="BW42" s="225"/>
      <c r="BX42" s="225"/>
      <c r="BY42" s="179"/>
      <c r="BZ42" s="179"/>
      <c r="CA42" s="179"/>
      <c r="CB42" s="176"/>
    </row>
    <row r="43" spans="1:80" ht="21.75" customHeight="1">
      <c r="B43" s="80">
        <v>415</v>
      </c>
      <c r="C43" s="94" t="s">
        <v>450</v>
      </c>
      <c r="D43" s="252">
        <f>+IF(ISNUMBER(VLOOKUP($B43,'Cental Budget'!$B$16:$J$96,'Public Expenditure'!D$1,FALSE)),VLOOKUP($B43,'Cental Budget'!$B$16:$J$96,'Public Expenditure'!D$1,FALSE),0)+IF(ISNUMBER(VLOOKUP('Public Expenditure'!$B43,'Local Government'!$B$16:$I$80,'Public Expenditure'!D$1,FALSE)),VLOOKUP('Public Expenditure'!$B43,'Local Government'!$B$16:$I$80,'Public Expenditure'!D$1,FALSE),0)</f>
        <v>24948123.909999996</v>
      </c>
      <c r="E43" s="98">
        <f t="shared" si="0"/>
        <v>0.68151238588248131</v>
      </c>
      <c r="F43" s="252">
        <f>+IF(ISNUMBER(VLOOKUP($B43,'Cental Budget'!$B$16:$J$96,'Public Expenditure'!F$1,FALSE)),VLOOKUP($B43,'Cental Budget'!$B$16:$J$96,'Public Expenditure'!F$1,FALSE),0)+IF(ISNUMBER(VLOOKUP('Public Expenditure'!$B43,'Local Government'!$B$16:$I$80,'Public Expenditure'!F$1,FALSE)),VLOOKUP('Public Expenditure'!$B43,'Local Government'!$B$16:$I$80,'Public Expenditure'!F$1,FALSE),0)</f>
        <v>24882513.529999997</v>
      </c>
      <c r="G43" s="98">
        <f t="shared" si="1"/>
        <v>0.69214840104279085</v>
      </c>
      <c r="H43" s="207">
        <f t="shared" si="3"/>
        <v>-65610.379999998957</v>
      </c>
      <c r="I43" s="98">
        <f t="shared" si="5"/>
        <v>-1.82506158608363E-3</v>
      </c>
      <c r="J43" s="96">
        <f t="shared" si="4"/>
        <v>-0.26298722996843082</v>
      </c>
      <c r="K43" s="370">
        <f t="shared" si="6"/>
        <v>-0.26298722996843082</v>
      </c>
      <c r="BW43" s="225"/>
      <c r="BX43" s="225"/>
      <c r="BY43" s="179"/>
      <c r="BZ43" s="179"/>
      <c r="CA43" s="179"/>
      <c r="CB43" s="176"/>
    </row>
    <row r="44" spans="1:80" ht="13.5" customHeight="1">
      <c r="B44" s="80">
        <v>416</v>
      </c>
      <c r="C44" s="94" t="s">
        <v>80</v>
      </c>
      <c r="D44" s="252">
        <f>+IF(ISNUMBER(VLOOKUP($B44,'Cental Budget'!$B$16:$J$96,'Public Expenditure'!D$1,FALSE)),VLOOKUP($B44,'Cental Budget'!$B$16:$J$96,'Public Expenditure'!D$1,FALSE),0)+IF(ISNUMBER(VLOOKUP('Public Expenditure'!$B44,'Local Government'!$B$16:$I$80,'Public Expenditure'!D$1,FALSE)),VLOOKUP('Public Expenditure'!$B44,'Local Government'!$B$16:$I$80,'Public Expenditure'!D$1,FALSE),0)</f>
        <v>66283129.969999999</v>
      </c>
      <c r="E44" s="98">
        <f t="shared" si="0"/>
        <v>1.8106681773977655</v>
      </c>
      <c r="F44" s="252">
        <f>+IF(ISNUMBER(VLOOKUP($B44,'Cental Budget'!$B$16:$J$96,'Public Expenditure'!F$1,FALSE)),VLOOKUP($B44,'Cental Budget'!$B$16:$J$96,'Public Expenditure'!F$1,FALSE),0)+IF(ISNUMBER(VLOOKUP('Public Expenditure'!$B44,'Local Government'!$B$16:$I$80,'Public Expenditure'!F$1,FALSE)),VLOOKUP('Public Expenditure'!$B44,'Local Government'!$B$16:$I$80,'Public Expenditure'!F$1,FALSE),0)</f>
        <v>86245572.049999982</v>
      </c>
      <c r="G44" s="98">
        <f t="shared" si="1"/>
        <v>2.3990636926392663</v>
      </c>
      <c r="H44" s="207">
        <f t="shared" si="3"/>
        <v>19962442.079999983</v>
      </c>
      <c r="I44" s="98">
        <f t="shared" si="5"/>
        <v>0.55528844985546422</v>
      </c>
      <c r="J44" s="96">
        <f t="shared" si="4"/>
        <v>30.116927322284056</v>
      </c>
      <c r="K44" s="370">
        <f t="shared" si="6"/>
        <v>30.116927322284056</v>
      </c>
      <c r="BW44" s="225"/>
      <c r="BX44" s="225"/>
      <c r="BY44" s="179"/>
      <c r="BZ44" s="179"/>
      <c r="CA44" s="179"/>
      <c r="CB44" s="176"/>
    </row>
    <row r="45" spans="1:80" ht="13.5" customHeight="1">
      <c r="B45" s="80">
        <v>417</v>
      </c>
      <c r="C45" s="94" t="s">
        <v>82</v>
      </c>
      <c r="D45" s="252">
        <f>+IF(ISNUMBER(VLOOKUP($B45,'Cental Budget'!$B$16:$J$96,'Public Expenditure'!D$1,FALSE)),VLOOKUP($B45,'Cental Budget'!$B$16:$J$96,'Public Expenditure'!D$1,FALSE),0)+IF(ISNUMBER(VLOOKUP('Public Expenditure'!$B45,'Local Government'!$B$16:$I$80,'Public Expenditure'!D$1,FALSE)),VLOOKUP('Public Expenditure'!$B45,'Local Government'!$B$16:$I$80,'Public Expenditure'!D$1,FALSE),0)</f>
        <v>8872061.3200000003</v>
      </c>
      <c r="E45" s="98">
        <f t="shared" si="0"/>
        <v>0.24235969404758653</v>
      </c>
      <c r="F45" s="252">
        <f>+IF(ISNUMBER(VLOOKUP($B45,'Cental Budget'!$B$16:$J$96,'Public Expenditure'!F$1,FALSE)),VLOOKUP($B45,'Cental Budget'!$B$16:$J$96,'Public Expenditure'!F$1,FALSE),0)+IF(ISNUMBER(VLOOKUP('Public Expenditure'!$B45,'Local Government'!$B$16:$I$80,'Public Expenditure'!F$1,FALSE)),VLOOKUP('Public Expenditure'!$B45,'Local Government'!$B$16:$I$80,'Public Expenditure'!F$1,FALSE),0)</f>
        <v>8501798.0199999996</v>
      </c>
      <c r="G45" s="98">
        <f t="shared" si="1"/>
        <v>0.23649161884055714</v>
      </c>
      <c r="H45" s="207">
        <f t="shared" si="3"/>
        <v>-370263.30000000075</v>
      </c>
      <c r="I45" s="98">
        <f t="shared" si="5"/>
        <v>-1.0299488062202522E-2</v>
      </c>
      <c r="J45" s="96">
        <f t="shared" si="4"/>
        <v>-4.1733627242333</v>
      </c>
      <c r="K45" s="370">
        <f t="shared" si="6"/>
        <v>-4.1733627242333</v>
      </c>
      <c r="BW45" s="225"/>
      <c r="BX45" s="225"/>
      <c r="BY45" s="179"/>
      <c r="BZ45" s="179"/>
      <c r="CA45" s="179"/>
      <c r="CB45" s="176"/>
    </row>
    <row r="46" spans="1:80" ht="13.5" customHeight="1">
      <c r="B46" s="80">
        <v>418</v>
      </c>
      <c r="C46" s="94" t="s">
        <v>84</v>
      </c>
      <c r="D46" s="252">
        <f>+IF(ISNUMBER(VLOOKUP($B46,'Cental Budget'!$B$16:$J$96,'Public Expenditure'!D$1,FALSE)),VLOOKUP($B46,'Cental Budget'!$B$16:$J$96,'Public Expenditure'!D$1,FALSE),0)+IF(ISNUMBER(VLOOKUP('Public Expenditure'!$B46,'Local Government'!$B$16:$I$80,'Public Expenditure'!D$1,FALSE)),VLOOKUP('Public Expenditure'!$B46,'Local Government'!$B$16:$I$80,'Public Expenditure'!D$1,FALSE),0)</f>
        <v>21360360.300000001</v>
      </c>
      <c r="E46" s="98">
        <f t="shared" si="0"/>
        <v>0.58350480236020441</v>
      </c>
      <c r="F46" s="252">
        <f>+IF(ISNUMBER(VLOOKUP($B46,'Cental Budget'!$B$16:$J$96,'Public Expenditure'!F$1,FALSE)),VLOOKUP($B46,'Cental Budget'!$B$16:$J$96,'Public Expenditure'!F$1,FALSE),0)+IF(ISNUMBER(VLOOKUP('Public Expenditure'!$B46,'Local Government'!$B$16:$I$80,'Public Expenditure'!F$1,FALSE)),VLOOKUP('Public Expenditure'!$B46,'Local Government'!$B$16:$I$80,'Public Expenditure'!F$1,FALSE),0)</f>
        <v>20285370.640000004</v>
      </c>
      <c r="G46" s="98">
        <f t="shared" si="1"/>
        <v>0.56427124358269687</v>
      </c>
      <c r="H46" s="207">
        <f t="shared" si="3"/>
        <v>-1074989.6599999964</v>
      </c>
      <c r="I46" s="98">
        <f t="shared" si="5"/>
        <v>-2.9902621108171101E-2</v>
      </c>
      <c r="J46" s="96">
        <f t="shared" si="4"/>
        <v>-5.0326382369121205</v>
      </c>
      <c r="K46" s="370"/>
      <c r="BW46" s="225"/>
      <c r="BX46" s="225"/>
      <c r="BY46" s="179"/>
      <c r="BZ46" s="179"/>
      <c r="CA46" s="179"/>
      <c r="CB46" s="176"/>
    </row>
    <row r="47" spans="1:80" ht="13.5" customHeight="1">
      <c r="B47" s="80">
        <v>419</v>
      </c>
      <c r="C47" s="94" t="s">
        <v>86</v>
      </c>
      <c r="D47" s="252">
        <f>+IF(ISNUMBER(VLOOKUP($B47,'Cental Budget'!$B$16:$J$96,'Public Expenditure'!D$1,FALSE)),VLOOKUP($B47,'Cental Budget'!$B$16:$J$96,'Public Expenditure'!D$1,FALSE),0)+IF(ISNUMBER(VLOOKUP('Public Expenditure'!$B47,'Local Government'!$B$16:$I$80,'Public Expenditure'!D$1,FALSE)),VLOOKUP('Public Expenditure'!$B47,'Local Government'!$B$16:$I$80,'Public Expenditure'!D$1,FALSE),0)</f>
        <v>37300728.740000002</v>
      </c>
      <c r="E47" s="98">
        <f t="shared" si="0"/>
        <v>1.0189507127052204</v>
      </c>
      <c r="F47" s="252">
        <f>+IF(ISNUMBER(VLOOKUP($B47,'Cental Budget'!$B$16:$J$96,'Public Expenditure'!F$1,FALSE)),VLOOKUP($B47,'Cental Budget'!$B$16:$J$96,'Public Expenditure'!F$1,FALSE),0)+IF(ISNUMBER(VLOOKUP('Public Expenditure'!$B47,'Local Government'!$B$16:$I$80,'Public Expenditure'!F$1,FALSE)),VLOOKUP('Public Expenditure'!$B47,'Local Government'!$B$16:$I$80,'Public Expenditure'!F$1,FALSE),0)</f>
        <v>33159016.52</v>
      </c>
      <c r="G47" s="98">
        <f t="shared" si="1"/>
        <v>0.92237306479501335</v>
      </c>
      <c r="H47" s="207">
        <f t="shared" si="3"/>
        <v>-4141712.2200000025</v>
      </c>
      <c r="I47" s="98">
        <f t="shared" si="5"/>
        <v>-0.11520859768431881</v>
      </c>
      <c r="J47" s="96">
        <f t="shared" si="4"/>
        <v>-11.103569179222433</v>
      </c>
      <c r="K47" s="370"/>
      <c r="BW47" s="225"/>
      <c r="BX47" s="225"/>
      <c r="BY47" s="179"/>
      <c r="BZ47" s="179"/>
      <c r="CA47" s="179"/>
      <c r="CB47" s="176"/>
    </row>
    <row r="48" spans="1:80" ht="13.5" customHeight="1">
      <c r="A48" s="80">
        <v>42</v>
      </c>
      <c r="B48" s="80" t="s">
        <v>447</v>
      </c>
      <c r="C48" s="94" t="s">
        <v>87</v>
      </c>
      <c r="D48" s="405">
        <f>+IF(ISNUMBER(VLOOKUP($B48,'Cental Budget'!$B$16:$G$96,'Public Expenditure'!D$1,FALSE)),VLOOKUP($B48,'Cental Budget'!$B$16:$G$96,'Public Expenditure'!D$1,FALSE),0)+IF(ISNUMBER(VLOOKUP('Public Expenditure'!$B48,'Local Government'!$B$16:$G$80,'Public Expenditure'!D$1,FALSE)),VLOOKUP('Public Expenditure'!$B48,'Local Government'!$B$16:$G$80,'Public Expenditure'!D$1,FALSE),0)</f>
        <v>491133971.7324999</v>
      </c>
      <c r="E48" s="98">
        <f t="shared" si="0"/>
        <v>13.416394999112189</v>
      </c>
      <c r="F48" s="405">
        <f>+IF(ISNUMBER(VLOOKUP($B48,'Cental Budget'!$B$16:$G$96,'Public Expenditure'!F$1,FALSE)),VLOOKUP($B48,'Cental Budget'!$B$16:$G$96,'Public Expenditure'!F$1,FALSE),0)+IF(ISNUMBER(VLOOKUP('Public Expenditure'!$B48,'Local Government'!$B$16:$G$80,'Public Expenditure'!F$1,FALSE)),VLOOKUP('Public Expenditure'!$B48,'Local Government'!$B$16:$G$80,'Public Expenditure'!F$1,FALSE),0)</f>
        <v>487859572.84000015</v>
      </c>
      <c r="G48" s="98">
        <f t="shared" ref="G48:G65" si="7">F48/F$11*100</f>
        <v>13.570623517093896</v>
      </c>
      <c r="H48" s="95">
        <f t="shared" si="3"/>
        <v>-3274398.8924997449</v>
      </c>
      <c r="I48" s="98">
        <f t="shared" si="5"/>
        <v>-9.1082838359054785E-2</v>
      </c>
      <c r="J48" s="96">
        <f t="shared" si="4"/>
        <v>-0.66670177201328329</v>
      </c>
      <c r="K48" s="370"/>
      <c r="BW48" s="225"/>
      <c r="BX48" s="225"/>
      <c r="BY48" s="179"/>
      <c r="BZ48" s="179"/>
      <c r="CA48" s="179"/>
      <c r="CB48" s="176"/>
    </row>
    <row r="49" spans="1:80" ht="13.5" customHeight="1">
      <c r="B49" s="80">
        <v>421</v>
      </c>
      <c r="C49" s="100" t="s">
        <v>89</v>
      </c>
      <c r="D49" s="400">
        <f>+IF(ISNUMBER(VLOOKUP($B49,'Cental Budget'!$B$16:$J$96,'Public Expenditure'!D$1,FALSE)),VLOOKUP($B49,'Cental Budget'!$B$16:$J$96,'Public Expenditure'!D$1,FALSE),0)+IF(ISNUMBER(VLOOKUP('Public Expenditure'!$B49,'Local Government'!$B$16:$I$80,'Public Expenditure'!D$1,FALSE)),VLOOKUP('Public Expenditure'!$B49,'Local Government'!$B$16:$I$80,'Public Expenditure'!D$1,FALSE),0)</f>
        <v>61535091.6325</v>
      </c>
      <c r="E49" s="102">
        <f t="shared" si="0"/>
        <v>1.680965160556724</v>
      </c>
      <c r="F49" s="400">
        <f>+'Cental Budget'!F62+'Local Government'!F55</f>
        <v>61653817.389999993</v>
      </c>
      <c r="G49" s="102">
        <f t="shared" si="7"/>
        <v>1.7150032320176423</v>
      </c>
      <c r="H49" s="211">
        <f t="shared" si="3"/>
        <v>118725.75749999285</v>
      </c>
      <c r="I49" s="102">
        <f t="shared" si="5"/>
        <v>3.3025539448471547E-3</v>
      </c>
      <c r="J49" s="96">
        <f t="shared" si="4"/>
        <v>0.19293992151510508</v>
      </c>
      <c r="K49" s="370"/>
      <c r="BW49" s="225"/>
      <c r="BX49" s="225"/>
      <c r="BY49" s="179"/>
      <c r="BZ49" s="179"/>
      <c r="CA49" s="179"/>
      <c r="CB49" s="176"/>
    </row>
    <row r="50" spans="1:80" ht="13.5" customHeight="1">
      <c r="B50" s="80">
        <v>422</v>
      </c>
      <c r="C50" s="100" t="s">
        <v>91</v>
      </c>
      <c r="D50" s="400">
        <f>+IF(ISNUMBER(VLOOKUP($B50,'Cental Budget'!$B$16:$J$96,'Public Expenditure'!D$1,FALSE)),VLOOKUP($B50,'Cental Budget'!$B$16:$J$96,'Public Expenditure'!D$1,FALSE),0)+IF(ISNUMBER(VLOOKUP('Public Expenditure'!$B50,'Local Government'!$B$16:$I$80,'Public Expenditure'!D$1,FALSE)),VLOOKUP('Public Expenditure'!$B50,'Local Government'!$B$16:$I$80,'Public Expenditure'!D$1,FALSE),0)</f>
        <v>17492421.32</v>
      </c>
      <c r="E50" s="102">
        <f t="shared" si="0"/>
        <v>0.47784361788728935</v>
      </c>
      <c r="F50" s="400">
        <f>+'Cental Budget'!F63</f>
        <v>16655316.650000002</v>
      </c>
      <c r="G50" s="102">
        <f t="shared" si="7"/>
        <v>0.46329526855315545</v>
      </c>
      <c r="H50" s="211">
        <f t="shared" si="3"/>
        <v>-837104.66999999806</v>
      </c>
      <c r="I50" s="102">
        <f t="shared" si="5"/>
        <v>-2.3285455392092449E-2</v>
      </c>
      <c r="J50" s="96">
        <f t="shared" si="4"/>
        <v>-4.7855277133240151</v>
      </c>
      <c r="K50" s="370"/>
      <c r="BW50" s="225"/>
      <c r="BX50" s="225"/>
      <c r="BY50" s="179"/>
      <c r="BZ50" s="179"/>
      <c r="CA50" s="179"/>
      <c r="CB50" s="176"/>
    </row>
    <row r="51" spans="1:80" ht="13.5" customHeight="1">
      <c r="B51" s="80">
        <v>423</v>
      </c>
      <c r="C51" s="100" t="s">
        <v>93</v>
      </c>
      <c r="D51" s="400">
        <f>+IF(ISNUMBER(VLOOKUP($B51,'Cental Budget'!$B$16:$J$96,'Public Expenditure'!D$1,FALSE)),VLOOKUP($B51,'Cental Budget'!$B$16:$J$96,'Public Expenditure'!D$1,FALSE),0)+IF(ISNUMBER(VLOOKUP('Public Expenditure'!$B51,'Local Government'!$B$16:$I$80,'Public Expenditure'!D$1,FALSE)),VLOOKUP('Public Expenditure'!$B51,'Local Government'!$B$16:$I$80,'Public Expenditure'!D$1,FALSE),0)</f>
        <v>389594819.96999991</v>
      </c>
      <c r="E51" s="102">
        <f t="shared" si="0"/>
        <v>10.642631736279943</v>
      </c>
      <c r="F51" s="400">
        <f>+'Cental Budget'!F64</f>
        <v>387038896.73000014</v>
      </c>
      <c r="G51" s="102">
        <f t="shared" si="7"/>
        <v>10.766129120759912</v>
      </c>
      <c r="H51" s="211">
        <f t="shared" si="3"/>
        <v>-2555923.2399997711</v>
      </c>
      <c r="I51" s="102">
        <f t="shared" si="5"/>
        <v>-7.1097245928191055E-2</v>
      </c>
      <c r="J51" s="96">
        <f t="shared" si="4"/>
        <v>-0.65604651524796509</v>
      </c>
      <c r="K51" s="370"/>
      <c r="BW51" s="225"/>
      <c r="BX51" s="225"/>
      <c r="BY51" s="179"/>
      <c r="BZ51" s="179"/>
      <c r="CA51" s="179"/>
      <c r="CB51" s="176"/>
    </row>
    <row r="52" spans="1:80" ht="13.5" customHeight="1">
      <c r="B52" s="80">
        <v>424</v>
      </c>
      <c r="C52" s="100" t="s">
        <v>95</v>
      </c>
      <c r="D52" s="400">
        <f>+IF(ISNUMBER(VLOOKUP($B52,'Cental Budget'!$B$16:$J$96,'Public Expenditure'!D$1,FALSE)),VLOOKUP($B52,'Cental Budget'!$B$16:$J$96,'Public Expenditure'!D$1,FALSE),0)+IF(ISNUMBER(VLOOKUP('Public Expenditure'!$B52,'Local Government'!$B$16:$I$80,'Public Expenditure'!D$1,FALSE)),VLOOKUP('Public Expenditure'!$B52,'Local Government'!$B$16:$I$80,'Public Expenditure'!D$1,FALSE),0)</f>
        <v>14450000</v>
      </c>
      <c r="E52" s="102">
        <f t="shared" si="0"/>
        <v>0.39473324773950336</v>
      </c>
      <c r="F52" s="400">
        <f>+'Cental Budget'!F65</f>
        <v>14449999.999999998</v>
      </c>
      <c r="G52" s="102">
        <f t="shared" si="7"/>
        <v>0.40195072668240711</v>
      </c>
      <c r="H52" s="211">
        <f t="shared" si="3"/>
        <v>0</v>
      </c>
      <c r="I52" s="102">
        <f t="shared" si="5"/>
        <v>0</v>
      </c>
      <c r="J52" s="96">
        <f t="shared" si="4"/>
        <v>0</v>
      </c>
      <c r="K52" s="370"/>
      <c r="M52" s="80">
        <v>48</v>
      </c>
      <c r="BW52" s="225"/>
      <c r="BX52" s="225"/>
      <c r="BY52" s="179"/>
      <c r="BZ52" s="179"/>
      <c r="CA52" s="179"/>
      <c r="CB52" s="176"/>
    </row>
    <row r="53" spans="1:80" ht="13.5" customHeight="1">
      <c r="B53" s="80">
        <v>425</v>
      </c>
      <c r="C53" s="100" t="s">
        <v>451</v>
      </c>
      <c r="D53" s="400">
        <f>+IF(ISNUMBER(VLOOKUP($B53,'Cental Budget'!$B$16:$J$96,'Public Expenditure'!D$1,FALSE)),VLOOKUP($B53,'Cental Budget'!$B$16:$J$96,'Public Expenditure'!D$1,FALSE),0)+IF(ISNUMBER(VLOOKUP('Public Expenditure'!$B53,'Local Government'!$B$16:$I$80,'Public Expenditure'!D$1,FALSE)),VLOOKUP('Public Expenditure'!$B53,'Local Government'!$B$16:$I$80,'Public Expenditure'!D$1,FALSE),0)</f>
        <v>8061638.8099999996</v>
      </c>
      <c r="E53" s="102">
        <f t="shared" si="0"/>
        <v>0.22022123664872839</v>
      </c>
      <c r="F53" s="400">
        <f>+'Cental Budget'!F66</f>
        <v>8061542.0699999994</v>
      </c>
      <c r="G53" s="102">
        <f t="shared" si="7"/>
        <v>0.22424516908078179</v>
      </c>
      <c r="H53" s="211">
        <f t="shared" si="3"/>
        <v>-96.740000000223517</v>
      </c>
      <c r="I53" s="102">
        <f t="shared" si="5"/>
        <v>-2.6909836193318973E-6</v>
      </c>
      <c r="J53" s="96">
        <f t="shared" si="4"/>
        <v>-1.2000041465540789E-3</v>
      </c>
      <c r="K53" s="370"/>
      <c r="M53" s="80">
        <v>17.5</v>
      </c>
      <c r="BW53" s="225"/>
      <c r="BX53" s="225"/>
      <c r="BY53" s="179"/>
      <c r="BZ53" s="179"/>
      <c r="CA53" s="179"/>
      <c r="CB53" s="176"/>
    </row>
    <row r="54" spans="1:80" ht="13.5" customHeight="1">
      <c r="A54" s="80">
        <v>43</v>
      </c>
      <c r="C54" s="94" t="s">
        <v>452</v>
      </c>
      <c r="D54" s="405">
        <f>+SUM(D55:D56)</f>
        <v>168089401.00334942</v>
      </c>
      <c r="E54" s="98">
        <f t="shared" si="0"/>
        <v>4.5917283853730009</v>
      </c>
      <c r="F54" s="405">
        <f>+SUM(F55:F56)</f>
        <v>174040857.17999998</v>
      </c>
      <c r="G54" s="98">
        <f t="shared" si="7"/>
        <v>4.841235226015919</v>
      </c>
      <c r="H54" s="95">
        <f t="shared" si="3"/>
        <v>5951456.1766505539</v>
      </c>
      <c r="I54" s="98">
        <f t="shared" si="5"/>
        <v>0.16554962872132808</v>
      </c>
      <c r="J54" s="96">
        <f t="shared" si="4"/>
        <v>3.5406492861093284</v>
      </c>
      <c r="K54" s="370"/>
      <c r="M54" s="80">
        <v>17.5</v>
      </c>
      <c r="BW54" s="225"/>
      <c r="BX54" s="225"/>
      <c r="BY54" s="179"/>
      <c r="BZ54" s="179"/>
      <c r="CA54" s="179"/>
      <c r="CB54" s="176"/>
    </row>
    <row r="55" spans="1:80" ht="13.5" customHeight="1">
      <c r="B55" s="80">
        <v>431</v>
      </c>
      <c r="C55" s="100" t="s">
        <v>452</v>
      </c>
      <c r="D55" s="400">
        <f>+IF(ISNUMBER(VLOOKUP($B55,'Cental Budget'!$B$16:$J$96,'Public Expenditure'!D$1,FALSE)),VLOOKUP($B55,'Cental Budget'!$B$16:$J$96,'Public Expenditure'!D$1,FALSE),0)+IF(ISNUMBER(VLOOKUP('Public Expenditure'!$B55,'Local Government'!$B$16:$I$80,'Public Expenditure'!D$1,FALSE)),VLOOKUP('Public Expenditure'!$B55,'Local Government'!$B$16:$I$80,'Public Expenditure'!D$1,FALSE),0)</f>
        <v>167634470.57334942</v>
      </c>
      <c r="E55" s="102">
        <f t="shared" si="0"/>
        <v>4.5793009690318627</v>
      </c>
      <c r="F55" s="400">
        <f>+IF(ISNUMBER(VLOOKUP($B55,'Cental Budget'!$B$16:$J$96,'Public Expenditure'!F$1,FALSE)),VLOOKUP($B55,'Cental Budget'!$B$16:$J$96,'Public Expenditure'!F$1,FALSE),0)+IF(ISNUMBER(VLOOKUP('Public Expenditure'!$B55,'Local Government'!$B$16:$I$80,'Public Expenditure'!F$1,FALSE)),VLOOKUP('Public Expenditure'!$B55,'Local Government'!$B$16:$I$80,'Public Expenditure'!F$1,FALSE),0)</f>
        <v>156599254.57999998</v>
      </c>
      <c r="G55" s="102">
        <f t="shared" si="7"/>
        <v>4.3560681090902618</v>
      </c>
      <c r="H55" s="211">
        <f t="shared" si="3"/>
        <v>-11035215.993349433</v>
      </c>
      <c r="I55" s="102">
        <f t="shared" si="5"/>
        <v>-0.30696284343419561</v>
      </c>
      <c r="J55" s="96">
        <f t="shared" si="4"/>
        <v>-6.5829038357125427</v>
      </c>
      <c r="K55" s="370"/>
      <c r="M55" s="80">
        <v>17.5</v>
      </c>
      <c r="BW55" s="225"/>
      <c r="BX55" s="225"/>
      <c r="BY55" s="179"/>
      <c r="BZ55" s="179"/>
      <c r="CA55" s="179"/>
      <c r="CB55" s="176"/>
    </row>
    <row r="56" spans="1:80" ht="13.5" customHeight="1" thickBot="1">
      <c r="A56" s="80" t="s">
        <v>447</v>
      </c>
      <c r="B56" s="80">
        <v>432</v>
      </c>
      <c r="C56" s="100" t="s">
        <v>453</v>
      </c>
      <c r="D56" s="400">
        <f>+IF(ISNUMBER(VLOOKUP($B56,'Cental Budget'!$B$16:$J$96,'Public Expenditure'!D$1,FALSE)),VLOOKUP($B56,'Cental Budget'!$B$16:$J$96,'Public Expenditure'!D$1,FALSE),0)+IF(ISNUMBER(VLOOKUP('Public Expenditure'!$B56,'Local Government'!$B$16:$I$80,'Public Expenditure'!D$1,FALSE)),VLOOKUP('Public Expenditure'!$B56,'Local Government'!$B$16:$I$80,'Public Expenditure'!D$1,FALSE),0)</f>
        <v>454930.43</v>
      </c>
      <c r="E56" s="102">
        <f t="shared" si="0"/>
        <v>1.242741634113694E-2</v>
      </c>
      <c r="F56" s="400">
        <f>+IF(ISNUMBER(VLOOKUP($B56,'Cental Budget'!$B$16:$J$96,'Public Expenditure'!F$1,FALSE)),VLOOKUP($B56,'Cental Budget'!$B$16:$J$96,'Public Expenditure'!F$1,FALSE),0)+IF(ISNUMBER(VLOOKUP('Public Expenditure'!$B56,'Local Government'!$B$16:$I$80,'Public Expenditure'!F$1,FALSE)),VLOOKUP('Public Expenditure'!$B56,'Local Government'!$B$16:$I$80,'Public Expenditure'!F$1,FALSE),0)</f>
        <v>17441602.600000001</v>
      </c>
      <c r="G56" s="102">
        <f t="shared" si="7"/>
        <v>0.48516711692565839</v>
      </c>
      <c r="H56" s="211">
        <f t="shared" si="3"/>
        <v>16986672.170000002</v>
      </c>
      <c r="I56" s="102">
        <f t="shared" si="5"/>
        <v>0.47251247215552405</v>
      </c>
      <c r="J56" s="96">
        <f t="shared" si="4"/>
        <v>3733.9054611053393</v>
      </c>
      <c r="K56" s="370"/>
      <c r="M56" s="80">
        <f>SUM(M52:M55)</f>
        <v>100.5</v>
      </c>
      <c r="BW56" s="225"/>
      <c r="BX56" s="225"/>
      <c r="BY56" s="179"/>
      <c r="BZ56" s="179"/>
      <c r="CA56" s="179"/>
      <c r="CB56" s="176"/>
    </row>
    <row r="57" spans="1:80" ht="13.5" customHeight="1" thickTop="1" thickBot="1">
      <c r="B57" s="80">
        <v>44</v>
      </c>
      <c r="C57" s="192" t="s">
        <v>488</v>
      </c>
      <c r="D57" s="466">
        <f>+IF(ISNUMBER(VLOOKUP($B57,'Cental Budget'!$B$16:$J$96,'Public Expenditure'!D$1,FALSE)),VLOOKUP($B57,'Cental Budget'!$B$16:$J$96,'Public Expenditure'!D$1,FALSE),0)+IF(ISNUMBER(VLOOKUP('Public Expenditure'!$B57,'Local Government'!$B$16:$I$80,'Public Expenditure'!D$1,FALSE)),VLOOKUP('Public Expenditure'!$B57,'Local Government'!$B$16:$I$80,'Public Expenditure'!D$1,FALSE),0)</f>
        <v>320567965.24000013</v>
      </c>
      <c r="E57" s="359">
        <f t="shared" si="0"/>
        <v>8.7570127363619026</v>
      </c>
      <c r="F57" s="466">
        <f>+IF(ISNUMBER(VLOOKUP($B57,'Cental Budget'!$B$16:$J$96,'Public Expenditure'!F$1,FALSE)),VLOOKUP($B57,'Cental Budget'!$B$16:$J$96,'Public Expenditure'!F$1,FALSE),0)+IF(ISNUMBER(VLOOKUP('Public Expenditure'!$B57,'Local Government'!$B$16:$I$80,'Public Expenditure'!F$1,FALSE)),VLOOKUP('Public Expenditure'!$B57,'Local Government'!$B$16:$I$80,'Public Expenditure'!F$1,FALSE),0)</f>
        <v>296621432.31999999</v>
      </c>
      <c r="G57" s="194">
        <f t="shared" si="7"/>
        <v>8.2510173197647383</v>
      </c>
      <c r="H57" s="358">
        <f t="shared" si="3"/>
        <v>-23946532.920000136</v>
      </c>
      <c r="I57" s="194">
        <f t="shared" si="5"/>
        <v>-0.66611254731614122</v>
      </c>
      <c r="J57" s="96">
        <f t="shared" si="4"/>
        <v>-7.4700330402858697</v>
      </c>
      <c r="K57" s="370"/>
      <c r="BW57" s="225"/>
      <c r="BX57" s="225"/>
      <c r="BY57" s="179"/>
      <c r="BZ57" s="179"/>
      <c r="CA57" s="179"/>
      <c r="CB57" s="176"/>
    </row>
    <row r="58" spans="1:80" ht="13.5" customHeight="1" thickTop="1">
      <c r="B58" s="80">
        <v>451</v>
      </c>
      <c r="C58" s="94" t="s">
        <v>111</v>
      </c>
      <c r="D58" s="252">
        <f>+IF(ISNUMBER(VLOOKUP($B58,'Cental Budget'!$B$16:$J$96,'Public Expenditure'!D$1,FALSE)),VLOOKUP($B58,'Cental Budget'!$B$16:$J$96,'Public Expenditure'!D$1,FALSE),0)+IF(ISNUMBER(VLOOKUP('Public Expenditure'!$B58,'Local Government'!$B$16:$I$80,'Public Expenditure'!D$1,FALSE)),VLOOKUP('Public Expenditure'!$B58,'Local Government'!$B$16:$I$80,'Public Expenditure'!D$1,FALSE),0)</f>
        <v>5206408.9481499996</v>
      </c>
      <c r="E58" s="98">
        <f t="shared" si="0"/>
        <v>0.1422244092154506</v>
      </c>
      <c r="F58" s="252">
        <f>+IF(ISNUMBER(VLOOKUP($B58,'Cental Budget'!$B$16:$J$96,'Public Expenditure'!F$1,FALSE)),VLOOKUP($B58,'Cental Budget'!$B$16:$J$96,'Public Expenditure'!F$1,FALSE),0)+IF(ISNUMBER(VLOOKUP('Public Expenditure'!$B58,'Local Government'!$B$16:$I$80,'Public Expenditure'!F$1,FALSE)),VLOOKUP('Public Expenditure'!$B58,'Local Government'!$B$16:$I$80,'Public Expenditure'!F$1,FALSE),0)</f>
        <v>4699224.2699999996</v>
      </c>
      <c r="G58" s="98">
        <f t="shared" si="7"/>
        <v>0.13071672042699684</v>
      </c>
      <c r="H58" s="207">
        <f t="shared" si="3"/>
        <v>-507184.67815000005</v>
      </c>
      <c r="I58" s="98">
        <f t="shared" si="5"/>
        <v>-1.4108183387167843E-2</v>
      </c>
      <c r="J58" s="96">
        <f t="shared" si="4"/>
        <v>-9.7415451456270716</v>
      </c>
      <c r="K58" s="370"/>
      <c r="BW58" s="225"/>
      <c r="BX58" s="225"/>
      <c r="BY58" s="179"/>
      <c r="BZ58" s="179"/>
      <c r="CA58" s="179"/>
      <c r="CB58" s="176"/>
    </row>
    <row r="59" spans="1:80" ht="13.5" customHeight="1" thickBot="1">
      <c r="B59" s="80">
        <v>47</v>
      </c>
      <c r="C59" s="94" t="s">
        <v>118</v>
      </c>
      <c r="D59" s="252">
        <f>+IF(ISNUMBER(VLOOKUP($B59,'Cental Budget'!$B$16:$J$96,'Public Expenditure'!D$1,FALSE)),VLOOKUP($B59,'Cental Budget'!$B$16:$J$96,'Public Expenditure'!D$1,FALSE),0)+IF(ISNUMBER(VLOOKUP('Public Expenditure'!$B59,'Local Government'!$B$16:$I$80,'Public Expenditure'!D$1,FALSE)),VLOOKUP('Public Expenditure'!$B59,'Local Government'!$B$16:$I$80,'Public Expenditure'!D$1,FALSE),0)</f>
        <v>20571648.990150001</v>
      </c>
      <c r="E59" s="98">
        <f t="shared" si="0"/>
        <v>0.56195943371896095</v>
      </c>
      <c r="F59" s="252">
        <f>+IF(ISNUMBER(VLOOKUP($B59,'Cental Budget'!$B$16:$J$96,'Public Expenditure'!F$1,FALSE)),VLOOKUP($B59,'Cental Budget'!$B$16:$J$96,'Public Expenditure'!F$1,FALSE),0)+IF(ISNUMBER(VLOOKUP('Public Expenditure'!$B59,'Local Government'!$B$16:$I$80,'Public Expenditure'!F$1,FALSE)),VLOOKUP('Public Expenditure'!$B59,'Local Government'!$B$16:$I$80,'Public Expenditure'!F$1,FALSE),0)</f>
        <v>18527677.710000001</v>
      </c>
      <c r="G59" s="98">
        <f t="shared" si="7"/>
        <v>0.5153780982195113</v>
      </c>
      <c r="H59" s="207">
        <f t="shared" si="3"/>
        <v>-2043971.28015</v>
      </c>
      <c r="I59" s="98">
        <f t="shared" si="5"/>
        <v>-5.6856452690260385E-2</v>
      </c>
      <c r="J59" s="96">
        <f t="shared" si="4"/>
        <v>-9.9358650399327928</v>
      </c>
      <c r="K59" s="370"/>
      <c r="BW59" s="225"/>
      <c r="BX59" s="225"/>
      <c r="BY59" s="179"/>
      <c r="BZ59" s="179"/>
      <c r="CA59" s="179"/>
      <c r="CB59" s="176"/>
    </row>
    <row r="60" spans="1:80" ht="13.5" customHeight="1" thickTop="1" thickBot="1">
      <c r="B60" s="80">
        <v>462</v>
      </c>
      <c r="C60" s="192" t="s">
        <v>113</v>
      </c>
      <c r="D60" s="413">
        <f>+IF(ISNUMBER(VLOOKUP($B60,'Cental Budget'!$B$16:$J$96,'Public Expenditure'!D$1,FALSE)),VLOOKUP($B60,'Cental Budget'!$B$16:$J$96,'Public Expenditure'!D$1,FALSE),0)+IF(ISNUMBER(VLOOKUP('Public Expenditure'!$B60,'Local Government'!$B$16:$I$80,'Public Expenditure'!D$1,FALSE)),VLOOKUP('Public Expenditure'!$B60,'Local Government'!$B$16:$I$80,'Public Expenditure'!D$1,FALSE),0)</f>
        <v>0</v>
      </c>
      <c r="E60" s="194">
        <f t="shared" si="0"/>
        <v>0</v>
      </c>
      <c r="F60" s="413">
        <f>+IF(ISNUMBER(VLOOKUP($B60,'Cental Budget'!$B$16:$J$96,'Public Expenditure'!F$1,FALSE)),VLOOKUP($B60,'Cental Budget'!$B$16:$J$96,'Public Expenditure'!F$1,FALSE),0)+IF(ISNUMBER(VLOOKUP('Public Expenditure'!$B60,'Local Government'!$B$16:$I$80,'Public Expenditure'!F$1,FALSE)),VLOOKUP('Public Expenditure'!$B60,'Local Government'!$B$16:$I$80,'Public Expenditure'!F$1,FALSE),0)</f>
        <v>0</v>
      </c>
      <c r="G60" s="194">
        <f t="shared" si="7"/>
        <v>0</v>
      </c>
      <c r="H60" s="227">
        <f t="shared" si="3"/>
        <v>0</v>
      </c>
      <c r="I60" s="194">
        <f t="shared" si="5"/>
        <v>0</v>
      </c>
      <c r="J60" s="96" t="e">
        <f t="shared" si="4"/>
        <v>#DIV/0!</v>
      </c>
      <c r="K60" s="370"/>
      <c r="BW60" s="225"/>
      <c r="BX60" s="225"/>
      <c r="BY60" s="179"/>
      <c r="BZ60" s="179"/>
      <c r="CA60" s="179"/>
      <c r="CB60" s="176"/>
    </row>
    <row r="61" spans="1:80" ht="13.5" customHeight="1" thickTop="1" thickBot="1">
      <c r="B61" s="80">
        <v>4630</v>
      </c>
      <c r="C61" s="100" t="s">
        <v>116</v>
      </c>
      <c r="D61" s="400">
        <f>+IF(ISNUMBER(VLOOKUP($B61,'Cental Budget'!$B$16:$J$96,'Public Expenditure'!D$1,FALSE)),VLOOKUP($B61,'Cental Budget'!$B$16:$J$96,'Public Expenditure'!D$1,FALSE),0)+IF(ISNUMBER(VLOOKUP('Public Expenditure'!$B61,'Local Government'!$B$16:$I$80,'Public Expenditure'!D$1,FALSE)),VLOOKUP('Public Expenditure'!$B61,'Local Government'!$B$16:$I$80,'Public Expenditure'!D$1,FALSE),0)</f>
        <v>40000000</v>
      </c>
      <c r="E61" s="102">
        <f>D61/D$11*100</f>
        <v>1.0926871909744038</v>
      </c>
      <c r="F61" s="400">
        <f>+IF(ISNUMBER(VLOOKUP($B61,'Cental Budget'!$B$16:$J$96,'Public Expenditure'!F$1,FALSE)),VLOOKUP($B61,'Cental Budget'!$B$16:$J$96,'Public Expenditure'!F$1,FALSE),0)+IF(ISNUMBER(VLOOKUP('Public Expenditure'!$B61,'Local Government'!$B$16:$I$80,'Public Expenditure'!F$1,FALSE)),VLOOKUP('Public Expenditure'!$B61,'Local Government'!$B$16:$I$80,'Public Expenditure'!F$1,FALSE),0)</f>
        <v>124526647.40000001</v>
      </c>
      <c r="G61" s="102">
        <f t="shared" si="7"/>
        <v>3.4639153227511343</v>
      </c>
      <c r="H61" s="211">
        <f t="shared" si="3"/>
        <v>84526647.400000006</v>
      </c>
      <c r="I61" s="102">
        <f t="shared" si="5"/>
        <v>2.3512489513119452</v>
      </c>
      <c r="J61" s="96">
        <f t="shared" si="4"/>
        <v>211.3166185</v>
      </c>
      <c r="K61" s="370"/>
      <c r="BW61" s="225"/>
      <c r="BX61" s="225"/>
      <c r="BY61" s="179"/>
      <c r="BZ61" s="179"/>
      <c r="CA61" s="179"/>
      <c r="CB61" s="176"/>
    </row>
    <row r="62" spans="1:80" ht="13.5" customHeight="1" thickTop="1" thickBot="1">
      <c r="C62" s="251" t="s">
        <v>498</v>
      </c>
      <c r="D62" s="465">
        <f>+D16-D36</f>
        <v>-221176138.14812064</v>
      </c>
      <c r="E62" s="246">
        <f t="shared" si="0"/>
        <v>-6.0419083275909156</v>
      </c>
      <c r="F62" s="465">
        <f>+F16-F36</f>
        <v>-302736582.81499982</v>
      </c>
      <c r="G62" s="246">
        <f t="shared" si="7"/>
        <v>-8.4211203775666377</v>
      </c>
      <c r="H62" s="245">
        <f t="shared" si="3"/>
        <v>-81560444.666879177</v>
      </c>
      <c r="I62" s="246">
        <f t="shared" si="5"/>
        <v>-2.2687391005115813</v>
      </c>
      <c r="J62" s="96">
        <f t="shared" si="4"/>
        <v>36.875788387379515</v>
      </c>
      <c r="K62" s="370"/>
      <c r="M62" s="190">
        <f t="shared" ref="M62:M78" si="8">+F62-J62</f>
        <v>-302736619.69078821</v>
      </c>
      <c r="U62" s="112">
        <f>+D62-'Cental Budget'!D77-'Local Government'!D63</f>
        <v>-5.9604644775390625E-8</v>
      </c>
      <c r="W62" s="112">
        <f>+F62-'Cental Budget'!F77-'Local Government'!F63</f>
        <v>3.8743019104003906E-7</v>
      </c>
      <c r="Y62" s="112">
        <f>+H62-'Cental Budget'!H77-'Local Government'!H63</f>
        <v>4.4703483581542969E-7</v>
      </c>
      <c r="BW62" s="225"/>
      <c r="BX62" s="225"/>
      <c r="BY62" s="179"/>
      <c r="BZ62" s="179"/>
      <c r="CA62" s="179"/>
      <c r="CB62" s="176"/>
    </row>
    <row r="63" spans="1:80" ht="13.5" customHeight="1" thickTop="1" thickBot="1">
      <c r="B63" s="80">
        <v>990</v>
      </c>
      <c r="C63" s="251" t="s">
        <v>152</v>
      </c>
      <c r="D63" s="400"/>
      <c r="E63" s="102"/>
      <c r="F63" s="414">
        <f>+IF(ISNUMBER(VLOOKUP($B63,'Cental Budget'!$B$16:$J$96,'Public Expenditure'!F$1,FALSE)),VLOOKUP($B63,'Cental Budget'!$B$16:$J$96,'Public Expenditure'!F$1,FALSE),0)+IF(ISNUMBER(VLOOKUP('Public Expenditure'!$B63,'Local Government'!$B$16:$I$80,'Public Expenditure'!F$1,FALSE)),VLOOKUP('Public Expenditure'!$B63,'Local Government'!$B$16:$I$80,'Public Expenditure'!F$1,FALSE),0)</f>
        <v>-37660103.760000005</v>
      </c>
      <c r="G63" s="102">
        <f t="shared" si="7"/>
        <v>-1.0475782749665645</v>
      </c>
      <c r="H63" s="339">
        <f>+'Cental Budget'!H78+'Local Government'!H64</f>
        <v>-37660103.760000005</v>
      </c>
      <c r="I63" s="339">
        <f>+IF(ISNUMBER(VLOOKUP($B63,'Cental Budget'!$B$16:$J$96,'Public Expenditure'!I$1,FALSE)),VLOOKUP($B63,'Cental Budget'!$B$16:$J$96,'Public Expenditure'!I$1,FALSE),0)+IF(ISNUMBER(VLOOKUP('Public Expenditure'!$B63,'Local Government'!$B$16:$I$80,'Public Expenditure'!I$1,FALSE)),VLOOKUP('Public Expenditure'!$B63,'Local Government'!$B$16:$I$80,'Public Expenditure'!I$1,FALSE),0)</f>
        <v>0</v>
      </c>
      <c r="K63" s="370"/>
      <c r="M63" s="190"/>
      <c r="U63" s="112">
        <f>+D63-'Cental Budget'!D78-'Local Government'!D64</f>
        <v>0</v>
      </c>
      <c r="W63" s="112">
        <f>+F63-'Cental Budget'!F78-'Local Government'!F64</f>
        <v>0</v>
      </c>
      <c r="Y63" s="112">
        <f>+H63-'Cental Budget'!H78-'Local Government'!H64</f>
        <v>0</v>
      </c>
      <c r="BW63" s="225"/>
      <c r="BX63" s="225"/>
      <c r="BY63" s="179"/>
      <c r="BZ63" s="179"/>
      <c r="CA63" s="179"/>
      <c r="CB63" s="176"/>
    </row>
    <row r="64" spans="1:80" ht="13.5" customHeight="1" thickTop="1" thickBot="1">
      <c r="C64" s="251" t="s">
        <v>499</v>
      </c>
      <c r="D64" s="465">
        <f>+D62-D63</f>
        <v>-221176138.14812064</v>
      </c>
      <c r="E64" s="246">
        <f t="shared" si="0"/>
        <v>-6.0419083275909156</v>
      </c>
      <c r="F64" s="465">
        <f>+F62-F63</f>
        <v>-265076479.05499983</v>
      </c>
      <c r="G64" s="246">
        <f t="shared" si="7"/>
        <v>-7.3735421026000738</v>
      </c>
      <c r="H64" s="245">
        <f>+F64-D64</f>
        <v>-43900340.906879187</v>
      </c>
      <c r="I64" s="246">
        <f>H64/H$11*100</f>
        <v>-1.221160825545017</v>
      </c>
      <c r="K64" s="370"/>
      <c r="M64" s="190"/>
      <c r="U64" s="112">
        <f>+D64-'Cental Budget'!D79-'Local Government'!D65</f>
        <v>-5.9604644775390625E-8</v>
      </c>
      <c r="W64" s="112">
        <f>+F64-'Cental Budget'!F79-'Local Government'!F65</f>
        <v>3.4272670745849609E-7</v>
      </c>
      <c r="Y64" s="112">
        <f>+H64-'Cental Budget'!H79-'Local Government'!H65</f>
        <v>4.0233135223388672E-7</v>
      </c>
      <c r="BW64" s="225"/>
      <c r="BX64" s="225"/>
      <c r="BY64" s="179"/>
      <c r="BZ64" s="179"/>
      <c r="CA64" s="179"/>
      <c r="CB64" s="176"/>
    </row>
    <row r="65" spans="2:80" ht="13.5" customHeight="1" thickTop="1" thickBot="1">
      <c r="C65" s="251" t="s">
        <v>500</v>
      </c>
      <c r="D65" s="465">
        <f>+D64+D44</f>
        <v>-154893008.17812064</v>
      </c>
      <c r="E65" s="246">
        <f t="shared" si="0"/>
        <v>-4.23124015019315</v>
      </c>
      <c r="F65" s="465">
        <f>+F64+F44</f>
        <v>-178830907.00499985</v>
      </c>
      <c r="G65" s="246">
        <f t="shared" si="7"/>
        <v>-4.9744784099608079</v>
      </c>
      <c r="H65" s="245">
        <f>+F65-D65</f>
        <v>-23937898.826879203</v>
      </c>
      <c r="I65" s="246">
        <f>H65/H$11*100</f>
        <v>-0.66587237568955282</v>
      </c>
      <c r="K65" s="370"/>
      <c r="M65" s="190"/>
      <c r="U65" s="112">
        <f>+'Cental Budget'!D80+'Local Government'!D66-'Public Expenditure'!D65</f>
        <v>0</v>
      </c>
      <c r="W65" s="112">
        <f>+F65-'Cental Budget'!F80-'Local Government'!F66</f>
        <v>3.2596290111541748E-7</v>
      </c>
      <c r="Y65" s="112">
        <f>+H65-'Cental Budget'!H80-'Local Government'!H66</f>
        <v>3.8184225559234619E-7</v>
      </c>
      <c r="BW65" s="225"/>
      <c r="BX65" s="225"/>
      <c r="BY65" s="179"/>
      <c r="BZ65" s="179"/>
      <c r="CA65" s="179"/>
      <c r="CB65" s="176"/>
    </row>
    <row r="66" spans="2:80" ht="14.25" thickTop="1" thickBot="1">
      <c r="C66" s="251"/>
      <c r="D66" s="465"/>
      <c r="E66" s="246"/>
      <c r="F66" s="465"/>
      <c r="G66" s="246"/>
      <c r="H66" s="245"/>
      <c r="I66" s="246"/>
      <c r="K66" s="370"/>
      <c r="M66" s="190"/>
      <c r="U66" s="112">
        <f>+D66-'Cental Budget'!D81-'Local Government'!D67</f>
        <v>0</v>
      </c>
      <c r="W66" s="112">
        <f>+F66-'Cental Budget'!F81-'Local Government'!F67</f>
        <v>0</v>
      </c>
      <c r="Y66" s="112">
        <f>+H66-'Cental Budget'!H81-'Local Government'!H67</f>
        <v>0</v>
      </c>
      <c r="BW66" s="225"/>
      <c r="BX66" s="225"/>
      <c r="BY66" s="179"/>
      <c r="BZ66" s="179"/>
      <c r="CA66" s="179"/>
      <c r="CB66" s="176"/>
    </row>
    <row r="67" spans="2:80" ht="13.5" customHeight="1" thickTop="1" thickBot="1">
      <c r="C67" s="251" t="s">
        <v>0</v>
      </c>
      <c r="D67" s="465">
        <f>+SUM(D68:D70)</f>
        <v>407342084.42000002</v>
      </c>
      <c r="E67" s="246">
        <f t="shared" si="0"/>
        <v>11.127436949763707</v>
      </c>
      <c r="F67" s="465">
        <f>+SUM(F68:F69)</f>
        <v>568667012.07999992</v>
      </c>
      <c r="G67" s="246">
        <f>F67/F$11*100</f>
        <v>15.818416522205482</v>
      </c>
      <c r="H67" s="245">
        <f t="shared" si="3"/>
        <v>161324927.65999991</v>
      </c>
      <c r="I67" s="246">
        <f t="shared" si="5"/>
        <v>4.4875205470535455</v>
      </c>
      <c r="M67" s="190">
        <f t="shared" si="8"/>
        <v>568667012.07999992</v>
      </c>
      <c r="U67" s="112">
        <f>+D67-'Cental Budget'!D82-'Local Government'!D68</f>
        <v>0</v>
      </c>
      <c r="W67" s="112">
        <f>+F67-'Cental Budget'!F82-'Local Government'!F68</f>
        <v>-6.7055225372314453E-8</v>
      </c>
      <c r="Y67" s="112">
        <f>+H67-'Cental Budget'!H82-'Local Government'!H68</f>
        <v>-6.7055225372314453E-8</v>
      </c>
      <c r="BW67" s="225"/>
      <c r="BX67" s="225"/>
      <c r="BY67" s="179"/>
      <c r="BZ67" s="179"/>
      <c r="CA67" s="179"/>
      <c r="CB67" s="176"/>
    </row>
    <row r="68" spans="2:80" ht="13.5" customHeight="1" thickTop="1">
      <c r="B68" s="80">
        <v>4611</v>
      </c>
      <c r="C68" s="100" t="s">
        <v>135</v>
      </c>
      <c r="D68" s="400">
        <f>+IF(ISNUMBER(VLOOKUP($B68,'Cental Budget'!$B$16:$J$96,'Public Expenditure'!D$1,FALSE)),VLOOKUP($B68,'Cental Budget'!$B$16:$J$96,'Public Expenditure'!D$1,FALSE),0)+IF(ISNUMBER(VLOOKUP('Public Expenditure'!$B68,'Local Government'!$B$16:$I$80,'Public Expenditure'!D$1,FALSE)),VLOOKUP('Public Expenditure'!$B68,'Local Government'!$B$16:$I$80,'Public Expenditure'!D$1,FALSE),0)</f>
        <v>51210121.920000002</v>
      </c>
      <c r="E68" s="102">
        <f t="shared" si="0"/>
        <v>1.3989161067555387</v>
      </c>
      <c r="F68" s="400">
        <f>+IF(ISNUMBER(VLOOKUP($B68,'Cental Budget'!$B$16:$J$96,'Public Expenditure'!F$1,FALSE)),VLOOKUP($B68,'Cental Budget'!$B$16:$J$96,'Public Expenditure'!F$1,FALSE),0)+IF(ISNUMBER(VLOOKUP('Public Expenditure'!$B68,'Local Government'!$B$16:$I$80,'Public Expenditure'!F$1,FALSE)),VLOOKUP('Public Expenditure'!$B68,'Local Government'!$B$16:$I$80,'Public Expenditure'!F$1,FALSE),0)</f>
        <v>246595858.46999997</v>
      </c>
      <c r="G68" s="102">
        <f>F68/F$11*100</f>
        <v>6.8594729763936702</v>
      </c>
      <c r="H68" s="211">
        <f t="shared" si="3"/>
        <v>195385736.54999995</v>
      </c>
      <c r="I68" s="102">
        <f t="shared" si="5"/>
        <v>5.4349784629515465</v>
      </c>
      <c r="M68" s="190">
        <f t="shared" si="8"/>
        <v>246595858.46999997</v>
      </c>
      <c r="U68" s="112">
        <f>+D68-'Cental Budget'!D83-'Local Government'!D69</f>
        <v>0</v>
      </c>
      <c r="W68" s="112">
        <f>+F68-'Cental Budget'!F83-'Local Government'!F69</f>
        <v>0</v>
      </c>
      <c r="Y68" s="112">
        <f>+H68-'Cental Budget'!H83-'Local Government'!H69</f>
        <v>-3.7252902984619141E-8</v>
      </c>
      <c r="BW68" s="225"/>
      <c r="BX68" s="225"/>
      <c r="BY68" s="179"/>
      <c r="BZ68" s="179"/>
      <c r="CA68" s="179"/>
      <c r="CB68" s="176"/>
    </row>
    <row r="69" spans="2:80" ht="13.5" customHeight="1">
      <c r="B69" s="80">
        <v>4612</v>
      </c>
      <c r="C69" s="100" t="s">
        <v>137</v>
      </c>
      <c r="D69" s="400">
        <f>+IF(ISNUMBER(VLOOKUP($B69,'Cental Budget'!$B$16:$J$96,'Public Expenditure'!D$1,FALSE)),VLOOKUP($B69,'Cental Budget'!$B$16:$J$96,'Public Expenditure'!D$1,FALSE),0)+IF(ISNUMBER(VLOOKUP('Public Expenditure'!$B69,'Local Government'!$B$16:$I$80,'Public Expenditure'!D$1,FALSE)),VLOOKUP('Public Expenditure'!$B69,'Local Government'!$B$16:$I$80,'Public Expenditure'!D$1,FALSE),0)</f>
        <v>322270882.5</v>
      </c>
      <c r="E69" s="102">
        <f t="shared" si="0"/>
        <v>8.8035316332941793</v>
      </c>
      <c r="F69" s="400">
        <f>+IF(ISNUMBER(VLOOKUP($B69,'Cental Budget'!$B$16:$J$96,'Public Expenditure'!F$1,FALSE)),VLOOKUP($B69,'Cental Budget'!$B$16:$J$96,'Public Expenditure'!F$1,FALSE),0)+IF(ISNUMBER(VLOOKUP('Public Expenditure'!$B69,'Local Government'!$B$16:$I$80,'Public Expenditure'!F$1,FALSE)),VLOOKUP('Public Expenditure'!$B69,'Local Government'!$B$16:$I$80,'Public Expenditure'!F$1,FALSE),0)</f>
        <v>322071153.61000001</v>
      </c>
      <c r="G69" s="102">
        <f>F69/F$11*100</f>
        <v>8.9589435458118132</v>
      </c>
      <c r="H69" s="211">
        <f t="shared" si="3"/>
        <v>-199728.88999998569</v>
      </c>
      <c r="I69" s="102">
        <f t="shared" si="5"/>
        <v>-5.5557904826965274E-3</v>
      </c>
      <c r="M69" s="190">
        <f t="shared" si="8"/>
        <v>322071153.61000001</v>
      </c>
      <c r="U69" s="112">
        <f>+D69-'Cental Budget'!D84-'Local Government'!D70</f>
        <v>0</v>
      </c>
      <c r="W69" s="112">
        <f>+F69-'Cental Budget'!F84-'Local Government'!F70</f>
        <v>2.8405338525772095E-8</v>
      </c>
      <c r="Y69" s="112">
        <f>+H69-'Cental Budget'!H84-'Local Government'!H70</f>
        <v>2.8405338525772095E-8</v>
      </c>
      <c r="BW69" s="225"/>
      <c r="BX69" s="225"/>
      <c r="BY69" s="179"/>
      <c r="BZ69" s="179"/>
      <c r="CA69" s="179"/>
      <c r="CB69" s="176"/>
    </row>
    <row r="70" spans="2:80" ht="13.5" customHeight="1" thickBot="1">
      <c r="B70" s="80">
        <v>4630</v>
      </c>
      <c r="C70" s="100" t="s">
        <v>116</v>
      </c>
      <c r="D70" s="400">
        <f>+'Cental Budget'!D85+'Local Government'!D71</f>
        <v>33861080</v>
      </c>
      <c r="E70" s="102">
        <f t="shared" si="0"/>
        <v>0.92498920971398912</v>
      </c>
      <c r="F70" s="400"/>
      <c r="G70" s="102"/>
      <c r="H70" s="211"/>
      <c r="I70" s="102"/>
      <c r="M70" s="190"/>
      <c r="U70" s="112">
        <f>+D70-'Cental Budget'!D85-'Local Government'!D71</f>
        <v>0</v>
      </c>
      <c r="W70" s="112">
        <f>+F70-'Cental Budget'!F85-'Local Government'!F71</f>
        <v>0</v>
      </c>
      <c r="Y70" s="112">
        <f>+H70-'Cental Budget'!H85-'Local Government'!H71</f>
        <v>0</v>
      </c>
      <c r="BW70" s="225"/>
      <c r="BX70" s="225"/>
      <c r="BY70" s="179"/>
      <c r="BZ70" s="179"/>
      <c r="CA70" s="179"/>
      <c r="CB70" s="176"/>
    </row>
    <row r="71" spans="2:80" ht="13.5" customHeight="1" thickTop="1" thickBot="1">
      <c r="C71" s="251" t="s">
        <v>141</v>
      </c>
      <c r="D71" s="465">
        <f>+D64-D67+D78</f>
        <v>-642081638.83661735</v>
      </c>
      <c r="E71" s="246">
        <f t="shared" si="0"/>
        <v>-17.539859557915626</v>
      </c>
      <c r="F71" s="465">
        <f>+F64-F67+F78</f>
        <v>-853167694.99999976</v>
      </c>
      <c r="G71" s="246">
        <f t="shared" ref="G71:G76" si="9">F71/F$11*100</f>
        <v>-23.732275085619669</v>
      </c>
      <c r="H71" s="245">
        <f t="shared" si="3"/>
        <v>-211086056.16338241</v>
      </c>
      <c r="I71" s="246">
        <f t="shared" si="5"/>
        <v>-5.8717089043179911</v>
      </c>
      <c r="M71" s="190">
        <f t="shared" si="8"/>
        <v>-853167694.99999976</v>
      </c>
      <c r="U71" s="112">
        <f>+D71-'Cental Budget'!D86-'Local Government'!D72</f>
        <v>-7.6368451118469238E-8</v>
      </c>
      <c r="W71" s="112">
        <f>+F71-'Cental Budget'!F86-'Local Government'!F72</f>
        <v>2.644956111907959E-7</v>
      </c>
      <c r="Y71" s="112">
        <f>+H71-'Cental Budget'!H86-'Local Government'!H72</f>
        <v>3.4272670745849609E-7</v>
      </c>
      <c r="BW71" s="225"/>
      <c r="BX71" s="225"/>
      <c r="BY71" s="179"/>
      <c r="BZ71" s="179"/>
      <c r="CA71" s="179"/>
      <c r="CB71" s="176"/>
    </row>
    <row r="72" spans="2:80" ht="13.5" customHeight="1" thickTop="1" thickBot="1">
      <c r="C72" s="251" t="s">
        <v>121</v>
      </c>
      <c r="D72" s="465">
        <f>+SUM(D73:D77)</f>
        <v>642081638.83661723</v>
      </c>
      <c r="E72" s="246">
        <f t="shared" si="0"/>
        <v>17.539859557915623</v>
      </c>
      <c r="F72" s="465">
        <f>+SUM(F73:F77)</f>
        <v>853170497.07000005</v>
      </c>
      <c r="G72" s="246">
        <f t="shared" si="9"/>
        <v>23.732353029846166</v>
      </c>
      <c r="H72" s="245">
        <f t="shared" si="3"/>
        <v>211088858.23338282</v>
      </c>
      <c r="I72" s="246">
        <f t="shared" si="5"/>
        <v>5.8717868485444882</v>
      </c>
      <c r="M72" s="190">
        <f t="shared" si="8"/>
        <v>853170497.07000005</v>
      </c>
      <c r="U72" s="112">
        <f>+D72-'Cental Budget'!D88-'Local Government'!D74</f>
        <v>0</v>
      </c>
      <c r="W72" s="112">
        <f>+F72-'Cental Budget'!F88-'Local Government'!F74</f>
        <v>9.3132257461547852E-8</v>
      </c>
      <c r="Y72" s="112">
        <f>+H72-'Cental Budget'!H88-'Local Government'!H74</f>
        <v>9.3132257461547852E-8</v>
      </c>
      <c r="BW72" s="225"/>
      <c r="BX72" s="225"/>
      <c r="BY72" s="179"/>
      <c r="BZ72" s="179"/>
      <c r="CA72" s="179"/>
      <c r="CB72" s="176"/>
    </row>
    <row r="73" spans="2:80" ht="13.5" customHeight="1" thickTop="1">
      <c r="B73" s="80">
        <v>7511</v>
      </c>
      <c r="C73" s="360" t="s">
        <v>144</v>
      </c>
      <c r="D73" s="467">
        <f>+IF(ISNUMBER(VLOOKUP($B73,'Cental Budget'!$B$16:$J$96,'Public Expenditure'!D$1,FALSE)),VLOOKUP($B73,'Cental Budget'!$B$16:$J$96,'Public Expenditure'!D$1,FALSE),0)+IF(ISNUMBER(VLOOKUP('Public Expenditure'!$B73,'Local Government'!$B$16:$I$80,'Public Expenditure'!D$1,FALSE)),VLOOKUP('Public Expenditure'!$B73,'Local Government'!$B$16:$I$80,'Public Expenditure'!D$1,FALSE),0)</f>
        <v>6000000</v>
      </c>
      <c r="E73" s="362">
        <f t="shared" si="0"/>
        <v>0.16390307864616058</v>
      </c>
      <c r="F73" s="400">
        <f>+'Cental Budget'!F89+'Local Government'!F75</f>
        <v>219053094.57000002</v>
      </c>
      <c r="G73" s="362">
        <f t="shared" si="9"/>
        <v>6.0933252971931884</v>
      </c>
      <c r="H73" s="361">
        <f t="shared" si="3"/>
        <v>213053094.57000002</v>
      </c>
      <c r="I73" s="362">
        <f t="shared" si="5"/>
        <v>5.9264253414773105</v>
      </c>
      <c r="K73" s="391">
        <f>+'Cental Budget'!F89+'Local Government'!F75-F73</f>
        <v>0</v>
      </c>
      <c r="M73" s="190">
        <f t="shared" si="8"/>
        <v>219053094.57000002</v>
      </c>
      <c r="U73" s="112">
        <f>+D73-'Cental Budget'!D89-'Local Government'!D75</f>
        <v>0</v>
      </c>
      <c r="W73" s="112">
        <f>+F73-'Cental Budget'!F89-'Local Government'!F75</f>
        <v>0</v>
      </c>
      <c r="Y73" s="112">
        <f>+H73-'Cental Budget'!H89-'Local Government'!H75</f>
        <v>0</v>
      </c>
      <c r="BW73" s="225"/>
      <c r="BX73" s="225"/>
      <c r="BY73" s="179"/>
      <c r="BZ73" s="179"/>
      <c r="CA73" s="179"/>
      <c r="CB73" s="176"/>
    </row>
    <row r="74" spans="2:80" ht="13.5" customHeight="1">
      <c r="B74" s="80">
        <v>7512</v>
      </c>
      <c r="C74" s="100" t="s">
        <v>122</v>
      </c>
      <c r="D74" s="400">
        <f>+IF(ISNUMBER(VLOOKUP($B74,'Cental Budget'!$B$16:$J$96,'Public Expenditure'!D$1,FALSE)),VLOOKUP($B74,'Cental Budget'!$B$16:$J$96,'Public Expenditure'!D$1,FALSE),0)+IF(ISNUMBER(VLOOKUP('Public Expenditure'!$B74,'Local Government'!$B$16:$I$80,'Public Expenditure'!D$1,FALSE)),VLOOKUP('Public Expenditure'!$B74,'Local Government'!$B$16:$I$80,'Public Expenditure'!D$1,FALSE),0)</f>
        <v>634081638.83661723</v>
      </c>
      <c r="E74" s="102">
        <f t="shared" si="0"/>
        <v>17.32132211972074</v>
      </c>
      <c r="F74" s="400">
        <f>+'Cental Budget'!F90+'Local Government'!F76</f>
        <v>660712170.42999995</v>
      </c>
      <c r="G74" s="102">
        <f t="shared" si="9"/>
        <v>18.378805330951483</v>
      </c>
      <c r="H74" s="211">
        <f t="shared" si="3"/>
        <v>26630531.593382716</v>
      </c>
      <c r="I74" s="102">
        <f t="shared" si="5"/>
        <v>0.74077242393764609</v>
      </c>
      <c r="K74" s="391">
        <f>+'Cental Budget'!F90+'Local Government'!F76-F74</f>
        <v>0</v>
      </c>
      <c r="M74" s="190">
        <f t="shared" si="8"/>
        <v>660712170.42999995</v>
      </c>
      <c r="U74" s="112">
        <f>+D74-'Cental Budget'!D90-'Local Government'!D76</f>
        <v>0</v>
      </c>
      <c r="W74" s="112">
        <f>+F74-'Cental Budget'!F90-'Local Government'!F76</f>
        <v>2.3748725652694702E-8</v>
      </c>
      <c r="Y74" s="112">
        <f>+H74-'Cental Budget'!H90-'Local Government'!H76</f>
        <v>2.3748725652694702E-8</v>
      </c>
      <c r="BW74" s="225"/>
      <c r="BX74" s="225"/>
      <c r="BY74" s="179"/>
      <c r="BZ74" s="179"/>
      <c r="CA74" s="179"/>
      <c r="CB74" s="176"/>
    </row>
    <row r="75" spans="2:80" ht="13.5" customHeight="1">
      <c r="B75" s="80">
        <v>72</v>
      </c>
      <c r="C75" s="100" t="s">
        <v>329</v>
      </c>
      <c r="D75" s="400">
        <f>+IF(ISNUMBER(VLOOKUP($B75,'Cental Budget'!$B$16:$J$96,'Public Expenditure'!D$1,FALSE)),VLOOKUP($B75,'Cental Budget'!$B$16:$J$96,'Public Expenditure'!D$1,FALSE),0)+IF(ISNUMBER(VLOOKUP('Public Expenditure'!$B75,'Local Government'!$B$16:$I$80,'Public Expenditure'!D$1,FALSE)),VLOOKUP('Public Expenditure'!$B75,'Local Government'!$B$16:$I$80,'Public Expenditure'!D$1,FALSE),0)</f>
        <v>2000000</v>
      </c>
      <c r="E75" s="102">
        <f t="shared" si="0"/>
        <v>5.4634359548720188E-2</v>
      </c>
      <c r="F75" s="400">
        <f>+'Cental Budget'!F91+'Local Government'!F77</f>
        <v>9675228.1400000006</v>
      </c>
      <c r="G75" s="102">
        <f t="shared" si="9"/>
        <v>0.26913252468450344</v>
      </c>
      <c r="H75" s="211">
        <f t="shared" si="3"/>
        <v>7675228.1400000006</v>
      </c>
      <c r="I75" s="102">
        <f t="shared" si="5"/>
        <v>0.21349920611254397</v>
      </c>
      <c r="K75" s="391">
        <f>+'Cental Budget'!F91+'Local Government'!F77-F75</f>
        <v>0</v>
      </c>
      <c r="M75" s="190">
        <f t="shared" si="8"/>
        <v>9675228.1400000006</v>
      </c>
      <c r="U75" s="112">
        <f>+D75-'Cental Budget'!D91-'Local Government'!D77</f>
        <v>0</v>
      </c>
      <c r="W75" s="112">
        <f>+F75-'Cental Budget'!F91-'Local Government'!F77</f>
        <v>0</v>
      </c>
      <c r="Y75" s="112">
        <f>+H75-'Cental Budget'!H91-'Local Government'!H77</f>
        <v>9.3132257461547852E-10</v>
      </c>
      <c r="BW75" s="225"/>
      <c r="BX75" s="225"/>
      <c r="BY75" s="179"/>
      <c r="BZ75" s="179"/>
      <c r="CA75" s="179"/>
      <c r="CB75" s="176"/>
    </row>
    <row r="76" spans="2:80" ht="13.5" customHeight="1">
      <c r="B76" s="80">
        <v>990</v>
      </c>
      <c r="C76" s="100" t="s">
        <v>515</v>
      </c>
      <c r="D76" s="400"/>
      <c r="E76" s="102"/>
      <c r="F76" s="400">
        <f>+IF(ISNUMBER(VLOOKUP($B76,'Cental Budget'!$B$16:$J$96,'Public Expenditure'!F$1,FALSE)),VLOOKUP($B76,'Cental Budget'!$B$16:$J$96,'Public Expenditure'!F$1,FALSE),0)+IF(ISNUMBER(VLOOKUP('Public Expenditure'!$B76,'Local Government'!$B$16:$I$80,'Public Expenditure'!F$1,FALSE)),VLOOKUP('Public Expenditure'!$B76,'Local Government'!$B$16:$I$80,'Public Expenditure'!F$1,FALSE),0)</f>
        <v>-37660103.760000005</v>
      </c>
      <c r="G76" s="102">
        <f t="shared" si="9"/>
        <v>-1.0475782749665645</v>
      </c>
      <c r="H76" s="211">
        <f t="shared" si="3"/>
        <v>-37660103.760000005</v>
      </c>
      <c r="I76" s="102">
        <f t="shared" si="5"/>
        <v>-1.0475782749665645</v>
      </c>
      <c r="K76" s="391">
        <f>+'Cental Budget'!F92+'Local Government'!F78-F76</f>
        <v>0</v>
      </c>
      <c r="M76" s="190"/>
      <c r="U76" s="112">
        <f>+D76-'Cental Budget'!D92-'Local Government'!D78</f>
        <v>0</v>
      </c>
      <c r="W76" s="112">
        <f>+F76-'Cental Budget'!F92-'Local Government'!F78</f>
        <v>0</v>
      </c>
      <c r="Y76" s="112">
        <f>+H76-'Cental Budget'!H92-'Local Government'!H78</f>
        <v>0</v>
      </c>
      <c r="BW76" s="225"/>
      <c r="BX76" s="225"/>
      <c r="BY76" s="179"/>
      <c r="BZ76" s="179"/>
      <c r="CA76" s="179"/>
      <c r="CB76" s="176"/>
    </row>
    <row r="77" spans="2:80" ht="13.5" customHeight="1" thickBot="1">
      <c r="B77" s="80">
        <v>999</v>
      </c>
      <c r="C77" s="363" t="s">
        <v>457</v>
      </c>
      <c r="D77" s="468">
        <f>+IF(ISNUMBER(VLOOKUP($B77,'Cental Budget'!$B$16:$J$96,'Public Expenditure'!D$1,FALSE)),VLOOKUP($B77,'Cental Budget'!$B$16:$J$96,'Public Expenditure'!D$1,FALSE),0)+IF(ISNUMBER(VLOOKUP('Public Expenditure'!$B77,'Local Government'!$B$16:$I$80,'Public Expenditure'!D$1,FALSE)),VLOOKUP('Public Expenditure'!$B77,'Local Government'!$B$16:$I$80,'Public Expenditure'!D$1,FALSE),0)</f>
        <v>0</v>
      </c>
      <c r="E77" s="365">
        <f>+D77/D$11*100</f>
        <v>0</v>
      </c>
      <c r="F77" s="400">
        <f>+IF(ISNUMBER(VLOOKUP($B77,'Cental Budget'!$B$16:$J$96,'Public Expenditure'!F$1,FALSE)),VLOOKUP($B77,'Cental Budget'!$B$16:$J$96,'Public Expenditure'!F$1,FALSE),0)+IF(ISNUMBER(VLOOKUP('Public Expenditure'!$B77,'Local Government'!$B$16:$I$80,'Public Expenditure'!F$1,FALSE)),VLOOKUP('Public Expenditure'!$B77,'Local Government'!$B$16:$I$80,'Public Expenditure'!F$1,FALSE),0)</f>
        <v>1390107.69</v>
      </c>
      <c r="G77" s="365">
        <f>+F77/F$11*100</f>
        <v>3.8668151983550343E-2</v>
      </c>
      <c r="H77" s="364">
        <f t="shared" si="3"/>
        <v>1390107.69</v>
      </c>
      <c r="I77" s="365">
        <f>+H77/H$11*100</f>
        <v>3.8668151983550343E-2</v>
      </c>
      <c r="M77" s="190"/>
      <c r="U77" s="112">
        <f>+'Local Government'!D79-D77</f>
        <v>0</v>
      </c>
      <c r="W77" s="112">
        <f>+'Local Government'!F79-F77</f>
        <v>0</v>
      </c>
      <c r="Y77" s="112">
        <f>+'Local Government'!H79-H77</f>
        <v>0</v>
      </c>
      <c r="BW77" s="225"/>
      <c r="BX77" s="225"/>
      <c r="BY77" s="179"/>
      <c r="BZ77" s="179"/>
      <c r="CA77" s="179"/>
      <c r="CB77" s="176"/>
    </row>
    <row r="78" spans="2:80" ht="13.5" customHeight="1" thickTop="1" thickBot="1">
      <c r="C78" s="192" t="s">
        <v>125</v>
      </c>
      <c r="D78" s="419">
        <f>+'Cental Budget'!D93+'Local Government'!D80</f>
        <v>-13563416.268496616</v>
      </c>
      <c r="E78" s="194">
        <f t="shared" si="0"/>
        <v>-0.37051428056100244</v>
      </c>
      <c r="F78" s="419">
        <f>+'Cental Budget'!F93+'Local Government'!F80</f>
        <v>-19424203.864999957</v>
      </c>
      <c r="G78" s="194">
        <f>F78/F$11*100</f>
        <v>-0.54031646081411455</v>
      </c>
      <c r="H78" s="193">
        <f t="shared" si="3"/>
        <v>-5860787.5965033416</v>
      </c>
      <c r="I78" s="194">
        <f>H78/H$11*100</f>
        <v>-0.16302753171942955</v>
      </c>
      <c r="M78" s="190">
        <f t="shared" si="8"/>
        <v>-19424203.864999957</v>
      </c>
      <c r="U78" s="112">
        <f>+'Cental Budget'!D93+'Local Government'!D80-'Public Expenditure'!D78</f>
        <v>0</v>
      </c>
      <c r="W78" s="112">
        <f>+'Cental Budget'!F93+'Local Government'!F80-'Public Expenditure'!F78</f>
        <v>0</v>
      </c>
      <c r="Y78" s="112">
        <f>+'Cental Budget'!H93+'Local Government'!H80-'Public Expenditure'!H78</f>
        <v>0</v>
      </c>
      <c r="BW78" s="225"/>
      <c r="BX78" s="225"/>
      <c r="BY78" s="179"/>
      <c r="BZ78" s="179"/>
      <c r="CA78" s="179"/>
      <c r="CB78" s="176"/>
    </row>
    <row r="79" spans="2:80" ht="13.5" thickTop="1">
      <c r="C79" s="80" t="str">
        <f>IF(MasterSheet!$A$1=1,MasterSheet!C151,MasterSheet!B151)</f>
        <v>Izvor: Ministarstvo finansija Crne Gore</v>
      </c>
      <c r="K79" s="81"/>
    </row>
  </sheetData>
  <sheetProtection formatCells="0" formatColumns="0" formatRows="0" sort="0" autoFilter="0"/>
  <mergeCells count="7">
    <mergeCell ref="H14:I14"/>
    <mergeCell ref="H11:I11"/>
    <mergeCell ref="D14:E14"/>
    <mergeCell ref="F14:G14"/>
    <mergeCell ref="C14:C15"/>
    <mergeCell ref="D11:E11"/>
    <mergeCell ref="F11:G11"/>
  </mergeCells>
  <printOptions horizontalCentered="1" verticalCentered="1"/>
  <pageMargins left="0" right="0" top="0.19685039370078741" bottom="0.19685039370078741" header="0" footer="0"/>
  <pageSetup paperSize="9" scale="10" orientation="portrait" r:id="rId1"/>
  <headerFooter alignWithMargins="0"/>
  <ignoredErrors>
    <ignoredError sqref="H77:H78 F67:F69 H67:H69 F18:F35 H17:H62 H72:H75 H71 F37:F62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1019175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G59"/>
  <sheetViews>
    <sheetView workbookViewId="0">
      <selection activeCell="F5" sqref="F5"/>
    </sheetView>
  </sheetViews>
  <sheetFormatPr defaultColWidth="9.28515625" defaultRowHeight="15"/>
  <cols>
    <col min="1" max="2" width="9.28515625" style="29"/>
    <col min="3" max="3" width="51.7109375" style="29" bestFit="1" customWidth="1"/>
    <col min="4" max="4" width="15.42578125" style="29" bestFit="1" customWidth="1"/>
    <col min="5" max="5" width="9.28515625" style="29"/>
    <col min="6" max="6" width="15.5703125" style="29" bestFit="1" customWidth="1"/>
    <col min="7" max="7" width="15.42578125" style="29" bestFit="1" customWidth="1"/>
    <col min="8" max="16384" width="9.28515625" style="29"/>
  </cols>
  <sheetData>
    <row r="2" spans="2:7" ht="15.75" thickBot="1">
      <c r="D2" s="260" t="s">
        <v>461</v>
      </c>
    </row>
    <row r="3" spans="2:7" ht="42" thickTop="1" thickBot="1">
      <c r="B3" s="30" t="s">
        <v>394</v>
      </c>
      <c r="C3" s="31" t="s">
        <v>395</v>
      </c>
      <c r="D3" s="32" t="s">
        <v>396</v>
      </c>
      <c r="G3" s="29" t="s">
        <v>397</v>
      </c>
    </row>
    <row r="4" spans="2:7" ht="16.5" thickTop="1" thickBot="1">
      <c r="B4" s="33">
        <v>7</v>
      </c>
      <c r="C4" s="34" t="s">
        <v>398</v>
      </c>
      <c r="D4" s="35" t="e">
        <f>+D5+D36+D55+D52+D44</f>
        <v>#REF!</v>
      </c>
      <c r="F4" s="70" t="e">
        <f>+#REF!+#REF!+#REF!+#REF!+#REF!</f>
        <v>#REF!</v>
      </c>
      <c r="G4" s="36" t="e">
        <f>+D4-F4</f>
        <v>#REF!</v>
      </c>
    </row>
    <row r="5" spans="2:7" ht="15.75" thickTop="1">
      <c r="B5" s="37">
        <v>71</v>
      </c>
      <c r="C5" s="38" t="s">
        <v>399</v>
      </c>
      <c r="D5" s="39" t="e">
        <f>+D6+D14+D19+D24+D31</f>
        <v>#REF!</v>
      </c>
      <c r="F5" s="40"/>
    </row>
    <row r="6" spans="2:7">
      <c r="B6" s="41">
        <v>711</v>
      </c>
      <c r="C6" s="42" t="s">
        <v>2</v>
      </c>
      <c r="D6" s="43" t="e">
        <f>SUM(D7:D13)</f>
        <v>#REF!</v>
      </c>
    </row>
    <row r="7" spans="2:7">
      <c r="B7" s="44">
        <v>7111</v>
      </c>
      <c r="C7" s="45" t="s">
        <v>3</v>
      </c>
      <c r="D7" s="46" t="e">
        <f>+#REF!</f>
        <v>#REF!</v>
      </c>
      <c r="E7" s="40"/>
    </row>
    <row r="8" spans="2:7">
      <c r="B8" s="44">
        <v>7112</v>
      </c>
      <c r="C8" s="45" t="s">
        <v>5</v>
      </c>
      <c r="D8" s="46" t="e">
        <f>+#REF!</f>
        <v>#REF!</v>
      </c>
    </row>
    <row r="9" spans="2:7">
      <c r="B9" s="44">
        <v>7113</v>
      </c>
      <c r="C9" s="45" t="s">
        <v>305</v>
      </c>
      <c r="D9" s="46" t="e">
        <f>+#REF!</f>
        <v>#REF!</v>
      </c>
    </row>
    <row r="10" spans="2:7">
      <c r="B10" s="44">
        <v>7114</v>
      </c>
      <c r="C10" s="45" t="s">
        <v>9</v>
      </c>
      <c r="D10" s="46" t="e">
        <f>+#REF!</f>
        <v>#REF!</v>
      </c>
    </row>
    <row r="11" spans="2:7">
      <c r="B11" s="44">
        <v>7115</v>
      </c>
      <c r="C11" s="45" t="s">
        <v>306</v>
      </c>
      <c r="D11" s="46" t="e">
        <f>+#REF!</f>
        <v>#REF!</v>
      </c>
    </row>
    <row r="12" spans="2:7">
      <c r="B12" s="44">
        <v>7116</v>
      </c>
      <c r="C12" s="45" t="s">
        <v>14</v>
      </c>
      <c r="D12" s="46" t="e">
        <f>+#REF!</f>
        <v>#REF!</v>
      </c>
    </row>
    <row r="13" spans="2:7">
      <c r="B13" s="44">
        <v>7118</v>
      </c>
      <c r="C13" s="45" t="s">
        <v>16</v>
      </c>
      <c r="D13" s="46" t="e">
        <f>+#REF!</f>
        <v>#REF!</v>
      </c>
    </row>
    <row r="14" spans="2:7">
      <c r="B14" s="41">
        <v>712</v>
      </c>
      <c r="C14" s="42" t="s">
        <v>19</v>
      </c>
      <c r="D14" s="43" t="e">
        <f>SUM(D15:D18)</f>
        <v>#REF!</v>
      </c>
    </row>
    <row r="15" spans="2:7">
      <c r="B15" s="44">
        <v>7121</v>
      </c>
      <c r="C15" s="45" t="s">
        <v>21</v>
      </c>
      <c r="D15" s="46" t="e">
        <f>+#REF!</f>
        <v>#REF!</v>
      </c>
      <c r="F15" s="40"/>
    </row>
    <row r="16" spans="2:7">
      <c r="B16" s="44">
        <v>7122</v>
      </c>
      <c r="C16" s="45" t="s">
        <v>23</v>
      </c>
      <c r="D16" s="46" t="e">
        <f>+#REF!</f>
        <v>#REF!</v>
      </c>
    </row>
    <row r="17" spans="2:4">
      <c r="B17" s="44">
        <v>7123</v>
      </c>
      <c r="C17" s="45" t="s">
        <v>25</v>
      </c>
      <c r="D17" s="46" t="e">
        <f>+#REF!</f>
        <v>#REF!</v>
      </c>
    </row>
    <row r="18" spans="2:4">
      <c r="B18" s="44">
        <v>7124</v>
      </c>
      <c r="C18" s="45" t="s">
        <v>27</v>
      </c>
      <c r="D18" s="46" t="e">
        <f>+#REF!</f>
        <v>#REF!</v>
      </c>
    </row>
    <row r="19" spans="2:4">
      <c r="B19" s="41">
        <v>713</v>
      </c>
      <c r="C19" s="42" t="s">
        <v>29</v>
      </c>
      <c r="D19" s="43" t="e">
        <f>SUM(D20:D23)</f>
        <v>#REF!</v>
      </c>
    </row>
    <row r="20" spans="2:4">
      <c r="B20" s="44">
        <v>7131</v>
      </c>
      <c r="C20" s="47" t="s">
        <v>31</v>
      </c>
      <c r="D20" s="46" t="e">
        <f>+#REF!</f>
        <v>#REF!</v>
      </c>
    </row>
    <row r="21" spans="2:4">
      <c r="B21" s="44">
        <v>7132</v>
      </c>
      <c r="C21" s="47" t="s">
        <v>32</v>
      </c>
      <c r="D21" s="46" t="e">
        <f>+#REF!</f>
        <v>#REF!</v>
      </c>
    </row>
    <row r="22" spans="2:4">
      <c r="B22" s="44">
        <v>7133</v>
      </c>
      <c r="C22" s="47" t="s">
        <v>34</v>
      </c>
      <c r="D22" s="46" t="e">
        <f>+#REF!</f>
        <v>#REF!</v>
      </c>
    </row>
    <row r="23" spans="2:4">
      <c r="B23" s="44">
        <v>7136</v>
      </c>
      <c r="C23" s="47" t="s">
        <v>37</v>
      </c>
      <c r="D23" s="46" t="e">
        <f>+#REF!</f>
        <v>#REF!</v>
      </c>
    </row>
    <row r="24" spans="2:4">
      <c r="B24" s="41">
        <v>714</v>
      </c>
      <c r="C24" s="42" t="s">
        <v>39</v>
      </c>
      <c r="D24" s="43" t="e">
        <f>SUM(D25:D30)</f>
        <v>#REF!</v>
      </c>
    </row>
    <row r="25" spans="2:4">
      <c r="B25" s="44">
        <v>7141</v>
      </c>
      <c r="C25" s="45" t="s">
        <v>40</v>
      </c>
      <c r="D25" s="46" t="e">
        <f>+#REF!</f>
        <v>#REF!</v>
      </c>
    </row>
    <row r="26" spans="2:4">
      <c r="B26" s="44">
        <v>7142</v>
      </c>
      <c r="C26" s="45" t="s">
        <v>400</v>
      </c>
      <c r="D26" s="46" t="e">
        <f>+#REF!</f>
        <v>#REF!</v>
      </c>
    </row>
    <row r="27" spans="2:4">
      <c r="B27" s="44">
        <v>7143</v>
      </c>
      <c r="C27" s="45" t="s">
        <v>45</v>
      </c>
      <c r="D27" s="46" t="e">
        <f>+#REF!</f>
        <v>#REF!</v>
      </c>
    </row>
    <row r="28" spans="2:4">
      <c r="B28" s="44">
        <v>7144</v>
      </c>
      <c r="C28" s="45" t="s">
        <v>47</v>
      </c>
      <c r="D28" s="46" t="e">
        <f>+#REF!</f>
        <v>#REF!</v>
      </c>
    </row>
    <row r="29" spans="2:4">
      <c r="B29" s="44">
        <v>7148</v>
      </c>
      <c r="C29" s="45" t="s">
        <v>313</v>
      </c>
      <c r="D29" s="46" t="e">
        <f>+#REF!</f>
        <v>#REF!</v>
      </c>
    </row>
    <row r="30" spans="2:4">
      <c r="B30" s="44">
        <v>7149</v>
      </c>
      <c r="C30" s="45" t="s">
        <v>51</v>
      </c>
      <c r="D30" s="46" t="e">
        <f>+#REF!</f>
        <v>#REF!</v>
      </c>
    </row>
    <row r="31" spans="2:4">
      <c r="B31" s="41">
        <v>715</v>
      </c>
      <c r="C31" s="42" t="s">
        <v>53</v>
      </c>
      <c r="D31" s="43" t="e">
        <f>SUM(D32:D35)</f>
        <v>#REF!</v>
      </c>
    </row>
    <row r="32" spans="2:4">
      <c r="B32" s="44">
        <v>7151</v>
      </c>
      <c r="C32" s="48" t="s">
        <v>55</v>
      </c>
      <c r="D32" s="46" t="e">
        <f>+#REF!</f>
        <v>#REF!</v>
      </c>
    </row>
    <row r="33" spans="2:4">
      <c r="B33" s="44">
        <v>7152</v>
      </c>
      <c r="C33" s="48" t="s">
        <v>57</v>
      </c>
      <c r="D33" s="46" t="e">
        <f>+#REF!</f>
        <v>#REF!</v>
      </c>
    </row>
    <row r="34" spans="2:4" ht="16.5" customHeight="1">
      <c r="B34" s="44">
        <v>7153</v>
      </c>
      <c r="C34" s="48" t="s">
        <v>59</v>
      </c>
      <c r="D34" s="46" t="e">
        <f>+#REF!</f>
        <v>#REF!</v>
      </c>
    </row>
    <row r="35" spans="2:4">
      <c r="B35" s="44">
        <v>7155</v>
      </c>
      <c r="C35" s="48" t="s">
        <v>53</v>
      </c>
      <c r="D35" s="46" t="e">
        <f>+#REF!</f>
        <v>#REF!</v>
      </c>
    </row>
    <row r="36" spans="2:4">
      <c r="B36" s="49">
        <v>72</v>
      </c>
      <c r="C36" s="50" t="s">
        <v>401</v>
      </c>
      <c r="D36" s="43" t="e">
        <f>+D37+D38+D41</f>
        <v>#REF!</v>
      </c>
    </row>
    <row r="37" spans="2:4">
      <c r="B37" s="51">
        <v>7200</v>
      </c>
      <c r="C37" s="48" t="s">
        <v>402</v>
      </c>
      <c r="D37" s="46" t="e">
        <f>+#REF!</f>
        <v>#REF!</v>
      </c>
    </row>
    <row r="38" spans="2:4" hidden="1">
      <c r="B38" s="52">
        <v>721</v>
      </c>
      <c r="C38" s="48" t="s">
        <v>403</v>
      </c>
      <c r="D38" s="46"/>
    </row>
    <row r="39" spans="2:4" hidden="1">
      <c r="B39" s="51">
        <v>7211</v>
      </c>
      <c r="C39" s="48" t="s">
        <v>404</v>
      </c>
      <c r="D39" s="46"/>
    </row>
    <row r="40" spans="2:4" hidden="1">
      <c r="B40" s="51">
        <v>7213</v>
      </c>
      <c r="C40" s="48" t="s">
        <v>405</v>
      </c>
      <c r="D40" s="46"/>
    </row>
    <row r="41" spans="2:4" hidden="1">
      <c r="B41" s="52">
        <v>722</v>
      </c>
      <c r="C41" s="48" t="s">
        <v>406</v>
      </c>
      <c r="D41" s="46">
        <v>0</v>
      </c>
    </row>
    <row r="42" spans="2:4" hidden="1">
      <c r="B42" s="44">
        <v>7221</v>
      </c>
      <c r="C42" s="48" t="s">
        <v>407</v>
      </c>
      <c r="D42" s="46"/>
    </row>
    <row r="43" spans="2:4" hidden="1">
      <c r="B43" s="44">
        <v>7222</v>
      </c>
      <c r="C43" s="48" t="s">
        <v>408</v>
      </c>
      <c r="D43" s="46"/>
    </row>
    <row r="44" spans="2:4">
      <c r="B44" s="49">
        <v>73</v>
      </c>
      <c r="C44" s="50" t="s">
        <v>409</v>
      </c>
      <c r="D44" s="43" t="e">
        <f>+D45</f>
        <v>#REF!</v>
      </c>
    </row>
    <row r="45" spans="2:4">
      <c r="B45" s="52">
        <v>731</v>
      </c>
      <c r="C45" s="45" t="s">
        <v>409</v>
      </c>
      <c r="D45" s="46" t="e">
        <f>+#REF!</f>
        <v>#REF!</v>
      </c>
    </row>
    <row r="46" spans="2:4" ht="27" hidden="1">
      <c r="B46" s="51">
        <v>7311</v>
      </c>
      <c r="C46" s="48" t="s">
        <v>410</v>
      </c>
      <c r="D46" s="46"/>
    </row>
    <row r="47" spans="2:4" hidden="1">
      <c r="B47" s="52">
        <v>7312</v>
      </c>
      <c r="C47" s="48" t="s">
        <v>411</v>
      </c>
      <c r="D47" s="46"/>
    </row>
    <row r="48" spans="2:4" hidden="1">
      <c r="B48" s="52">
        <v>7313</v>
      </c>
      <c r="C48" s="48" t="s">
        <v>412</v>
      </c>
      <c r="D48" s="46"/>
    </row>
    <row r="49" spans="2:4" hidden="1">
      <c r="B49" s="52">
        <v>7314</v>
      </c>
      <c r="C49" s="48" t="s">
        <v>413</v>
      </c>
      <c r="D49" s="46"/>
    </row>
    <row r="50" spans="2:4" hidden="1">
      <c r="B50" s="52">
        <v>732</v>
      </c>
      <c r="C50" s="45" t="s">
        <v>414</v>
      </c>
      <c r="D50" s="46"/>
    </row>
    <row r="51" spans="2:4" hidden="1">
      <c r="B51" s="44">
        <v>7321</v>
      </c>
      <c r="C51" s="48" t="s">
        <v>415</v>
      </c>
      <c r="D51" s="46"/>
    </row>
    <row r="52" spans="2:4">
      <c r="B52" s="49">
        <v>74</v>
      </c>
      <c r="C52" s="50" t="s">
        <v>416</v>
      </c>
      <c r="D52" s="43" t="e">
        <f>+D53</f>
        <v>#REF!</v>
      </c>
    </row>
    <row r="53" spans="2:4">
      <c r="B53" s="52">
        <v>741</v>
      </c>
      <c r="C53" s="48" t="s">
        <v>416</v>
      </c>
      <c r="D53" s="46" t="e">
        <f>+#REF!</f>
        <v>#REF!</v>
      </c>
    </row>
    <row r="54" spans="2:4" hidden="1">
      <c r="B54" s="44">
        <v>7411</v>
      </c>
      <c r="C54" s="48" t="s">
        <v>417</v>
      </c>
      <c r="D54" s="46">
        <v>0</v>
      </c>
    </row>
    <row r="55" spans="2:4">
      <c r="B55" s="49">
        <v>75</v>
      </c>
      <c r="C55" s="50" t="s">
        <v>111</v>
      </c>
      <c r="D55" s="43" t="e">
        <f>+D56</f>
        <v>#REF!</v>
      </c>
    </row>
    <row r="56" spans="2:4">
      <c r="B56" s="53">
        <v>751</v>
      </c>
      <c r="C56" s="54" t="s">
        <v>111</v>
      </c>
      <c r="D56" s="55" t="e">
        <f>+D57+D58</f>
        <v>#REF!</v>
      </c>
    </row>
    <row r="57" spans="2:4">
      <c r="B57" s="51">
        <v>7511</v>
      </c>
      <c r="C57" s="48" t="s">
        <v>144</v>
      </c>
      <c r="D57" s="46" t="e">
        <f>+#REF!</f>
        <v>#REF!</v>
      </c>
    </row>
    <row r="58" spans="2:4" ht="15.75" thickBot="1">
      <c r="B58" s="56">
        <v>7512</v>
      </c>
      <c r="C58" s="57" t="s">
        <v>122</v>
      </c>
      <c r="D58" s="58" t="e">
        <f>+#REF!</f>
        <v>#REF!</v>
      </c>
    </row>
    <row r="59" spans="2:4" ht="15.75" thickTop="1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D2:G24"/>
  <sheetViews>
    <sheetView workbookViewId="0">
      <selection activeCell="G24" sqref="G24"/>
    </sheetView>
  </sheetViews>
  <sheetFormatPr defaultColWidth="9.28515625" defaultRowHeight="15"/>
  <cols>
    <col min="1" max="3" width="9.28515625" style="29"/>
    <col min="4" max="4" width="44.28515625" style="29" customWidth="1"/>
    <col min="5" max="5" width="18.28515625" style="29" customWidth="1"/>
    <col min="6" max="6" width="9.28515625" style="29"/>
    <col min="7" max="7" width="14.5703125" style="29" bestFit="1" customWidth="1"/>
    <col min="8" max="16384" width="9.28515625" style="29"/>
  </cols>
  <sheetData>
    <row r="2" spans="4:7" ht="15.75" thickBot="1"/>
    <row r="3" spans="4:7" ht="16.5" thickTop="1" thickBot="1">
      <c r="D3" s="59" t="s">
        <v>127</v>
      </c>
      <c r="E3" s="60" t="s">
        <v>396</v>
      </c>
    </row>
    <row r="4" spans="4:7" ht="16.5" thickTop="1" thickBot="1">
      <c r="D4" s="61" t="s">
        <v>418</v>
      </c>
      <c r="E4" s="62" t="e">
        <f>+E5+E6</f>
        <v>#REF!</v>
      </c>
      <c r="G4" s="63" t="e">
        <f>+E4-#REF!</f>
        <v>#REF!</v>
      </c>
    </row>
    <row r="5" spans="4:7" ht="16.5" thickTop="1">
      <c r="D5" s="71" t="s">
        <v>419</v>
      </c>
      <c r="E5" s="72" t="e">
        <f>+PRIMICI!D6+PRIMICI!D14</f>
        <v>#REF!</v>
      </c>
      <c r="G5" s="65"/>
    </row>
    <row r="6" spans="4:7" ht="16.5" thickBot="1">
      <c r="D6" s="73" t="s">
        <v>53</v>
      </c>
      <c r="E6" s="74" t="e">
        <f>+PRIMICI!D19+PRIMICI!D24+PRIMICI!D31+PRIMICI!D44</f>
        <v>#REF!</v>
      </c>
      <c r="G6" s="65"/>
    </row>
    <row r="7" spans="4:7" ht="16.5" thickTop="1" thickBot="1">
      <c r="D7" s="66" t="s">
        <v>420</v>
      </c>
      <c r="E7" s="62" t="e">
        <f>+E8+E9</f>
        <v>#REF!</v>
      </c>
      <c r="G7" s="63" t="e">
        <f>+E7-#REF!</f>
        <v>#REF!</v>
      </c>
    </row>
    <row r="8" spans="4:7" ht="16.5" thickTop="1">
      <c r="D8" s="75" t="s">
        <v>126</v>
      </c>
      <c r="E8" s="72" t="e">
        <f>+#REF!</f>
        <v>#REF!</v>
      </c>
      <c r="G8" s="65"/>
    </row>
    <row r="9" spans="4:7" ht="16.5" thickBot="1">
      <c r="D9" s="73" t="s">
        <v>421</v>
      </c>
      <c r="E9" s="74" t="e">
        <f>+#REF!</f>
        <v>#REF!</v>
      </c>
      <c r="G9" s="65"/>
    </row>
    <row r="10" spans="4:7" ht="16.5" thickTop="1" thickBot="1">
      <c r="D10" s="67" t="s">
        <v>422</v>
      </c>
      <c r="E10" s="62" t="e">
        <f>+E4-E7</f>
        <v>#REF!</v>
      </c>
      <c r="G10" s="63" t="e">
        <f>+E10-#REF!</f>
        <v>#REF!</v>
      </c>
    </row>
    <row r="11" spans="4:7" ht="16.5" thickTop="1" thickBot="1">
      <c r="D11" s="67" t="s">
        <v>423</v>
      </c>
      <c r="E11" s="62" t="e">
        <f>+#REF!</f>
        <v>#REF!</v>
      </c>
      <c r="G11" s="65"/>
    </row>
    <row r="12" spans="4:7" ht="16.5" thickTop="1" thickBot="1">
      <c r="D12" s="67" t="s">
        <v>424</v>
      </c>
      <c r="E12" s="62" t="e">
        <f>+E13+E14+E15</f>
        <v>#REF!</v>
      </c>
      <c r="G12" s="63" t="e">
        <f>+E12-#REF!</f>
        <v>#REF!</v>
      </c>
    </row>
    <row r="13" spans="4:7" ht="16.5" thickTop="1" thickBot="1">
      <c r="D13" s="76" t="s">
        <v>158</v>
      </c>
      <c r="E13" s="72" t="e">
        <f>+#REF!</f>
        <v>#REF!</v>
      </c>
      <c r="G13" s="65"/>
    </row>
    <row r="14" spans="4:7" ht="16.5" thickTop="1" thickBot="1">
      <c r="D14" s="77" t="s">
        <v>159</v>
      </c>
      <c r="E14" s="72" t="e">
        <f>+#REF!</f>
        <v>#REF!</v>
      </c>
      <c r="G14" s="65"/>
    </row>
    <row r="15" spans="4:7" ht="16.5" thickTop="1" thickBot="1">
      <c r="D15" s="78" t="s">
        <v>160</v>
      </c>
      <c r="E15" s="72" t="e">
        <f>+#REF!</f>
        <v>#REF!</v>
      </c>
      <c r="G15" s="65"/>
    </row>
    <row r="16" spans="4:7" ht="15.75" hidden="1" thickBot="1">
      <c r="D16" s="68" t="s">
        <v>113</v>
      </c>
      <c r="E16" s="64">
        <v>0</v>
      </c>
      <c r="G16" s="65"/>
    </row>
    <row r="17" spans="4:7" ht="16.5" thickTop="1" thickBot="1">
      <c r="D17" s="67" t="s">
        <v>425</v>
      </c>
      <c r="E17" s="62" t="e">
        <f>+E10-E12</f>
        <v>#REF!</v>
      </c>
      <c r="G17" s="63" t="e">
        <f>+E17-#REF!</f>
        <v>#REF!</v>
      </c>
    </row>
    <row r="18" spans="4:7" ht="16.5" thickTop="1" thickBot="1">
      <c r="D18" s="67" t="s">
        <v>426</v>
      </c>
      <c r="E18" s="62" t="e">
        <f>SUM(E19:E23)</f>
        <v>#REF!</v>
      </c>
      <c r="G18" s="63" t="e">
        <f>+E18-#REF!</f>
        <v>#REF!</v>
      </c>
    </row>
    <row r="19" spans="4:7" ht="16.5" thickTop="1" thickBot="1">
      <c r="D19" s="76" t="s">
        <v>144</v>
      </c>
      <c r="E19" s="72" t="e">
        <f>+#REF!</f>
        <v>#REF!</v>
      </c>
      <c r="G19" s="65"/>
    </row>
    <row r="20" spans="4:7" ht="16.5" thickTop="1" thickBot="1">
      <c r="D20" s="77" t="s">
        <v>122</v>
      </c>
      <c r="E20" s="72" t="e">
        <f>+#REF!</f>
        <v>#REF!</v>
      </c>
      <c r="G20" s="65"/>
    </row>
    <row r="21" spans="4:7" ht="16.5" thickTop="1" thickBot="1">
      <c r="D21" s="77" t="s">
        <v>123</v>
      </c>
      <c r="E21" s="72" t="e">
        <f>+#REF!</f>
        <v>#REF!</v>
      </c>
      <c r="G21" s="65"/>
    </row>
    <row r="22" spans="4:7" ht="15.75" thickTop="1">
      <c r="D22" s="77" t="s">
        <v>124</v>
      </c>
      <c r="E22" s="72" t="e">
        <f>+#REF!</f>
        <v>#REF!</v>
      </c>
      <c r="G22" s="65"/>
    </row>
    <row r="23" spans="4:7" ht="15.75" thickBot="1">
      <c r="D23" s="78" t="s">
        <v>161</v>
      </c>
      <c r="E23" s="79" t="e">
        <f>-E17-SUM(E19:E22)</f>
        <v>#REF!</v>
      </c>
      <c r="G23" s="69" t="e">
        <f>+E23-#REF!</f>
        <v>#REF!</v>
      </c>
    </row>
    <row r="24" spans="4:7" ht="15.75" thickTop="1"/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444"/>
  <sheetViews>
    <sheetView topLeftCell="A186" workbookViewId="0">
      <selection activeCell="D204" sqref="D204"/>
    </sheetView>
  </sheetViews>
  <sheetFormatPr defaultColWidth="9.28515625" defaultRowHeight="12.75"/>
  <cols>
    <col min="1" max="1" width="2" style="11" customWidth="1"/>
    <col min="2" max="2" width="62" style="11" customWidth="1"/>
    <col min="3" max="3" width="63.28515625" style="11" customWidth="1"/>
    <col min="4" max="4" width="41.7109375" style="11" customWidth="1"/>
    <col min="5" max="5" width="20" style="11" customWidth="1"/>
    <col min="6" max="6" width="8.5703125" style="11" customWidth="1"/>
    <col min="7" max="7" width="5.42578125" style="11" customWidth="1"/>
    <col min="8" max="8" width="6.42578125" style="11" customWidth="1"/>
    <col min="9" max="9" width="8" style="11" customWidth="1"/>
    <col min="10" max="10" width="6.42578125" style="11" customWidth="1"/>
    <col min="11" max="11" width="9.28515625" style="11" customWidth="1"/>
    <col min="12" max="12" width="7.42578125" style="11" customWidth="1"/>
    <col min="13" max="13" width="17" style="11" customWidth="1"/>
    <col min="14" max="14" width="8.7109375" style="11" customWidth="1"/>
    <col min="15" max="15" width="83.28515625" style="11" customWidth="1"/>
    <col min="16" max="16" width="6.42578125" style="11" customWidth="1"/>
    <col min="17" max="17" width="5.42578125" style="11" customWidth="1"/>
    <col min="18" max="18" width="6.42578125" style="11" customWidth="1"/>
    <col min="19" max="19" width="2.7109375" style="11" customWidth="1"/>
    <col min="20" max="20" width="6.5703125" style="11" customWidth="1"/>
    <col min="21" max="21" width="5.7109375" style="11" customWidth="1"/>
    <col min="22" max="22" width="11.7109375" style="1" customWidth="1"/>
    <col min="23" max="16384" width="9.28515625" style="1"/>
  </cols>
  <sheetData>
    <row r="1" spans="1:3">
      <c r="A1" s="10">
        <v>2</v>
      </c>
      <c r="B1" s="11" t="s">
        <v>251</v>
      </c>
    </row>
    <row r="3" spans="1:3">
      <c r="B3" s="514" t="s">
        <v>196</v>
      </c>
      <c r="C3" s="514"/>
    </row>
    <row r="5" spans="1:3" ht="15" customHeight="1">
      <c r="B5" s="11" t="s">
        <v>199</v>
      </c>
      <c r="C5" s="11" t="s">
        <v>197</v>
      </c>
    </row>
    <row r="6" spans="1:3">
      <c r="B6" s="11" t="s">
        <v>200</v>
      </c>
      <c r="C6" s="11" t="s">
        <v>198</v>
      </c>
    </row>
    <row r="8" spans="1:3">
      <c r="B8" s="11" t="s">
        <v>208</v>
      </c>
      <c r="C8" s="11" t="s">
        <v>365</v>
      </c>
    </row>
    <row r="9" spans="1:3">
      <c r="B9" s="11" t="s">
        <v>206</v>
      </c>
      <c r="C9" s="11" t="s">
        <v>207</v>
      </c>
    </row>
    <row r="10" spans="1:3">
      <c r="B10" s="11" t="s">
        <v>213</v>
      </c>
      <c r="C10" s="11" t="s">
        <v>215</v>
      </c>
    </row>
    <row r="11" spans="1:3">
      <c r="B11" s="11" t="s">
        <v>214</v>
      </c>
      <c r="C11" s="11" t="s">
        <v>212</v>
      </c>
    </row>
    <row r="12" spans="1:3">
      <c r="B12" s="11" t="s">
        <v>216</v>
      </c>
      <c r="C12" s="11" t="s">
        <v>217</v>
      </c>
    </row>
    <row r="13" spans="1:3">
      <c r="B13" s="11" t="s">
        <v>211</v>
      </c>
      <c r="C13" s="11" t="s">
        <v>366</v>
      </c>
    </row>
    <row r="14" spans="1:3">
      <c r="B14" s="11" t="s">
        <v>367</v>
      </c>
      <c r="C14" s="11" t="s">
        <v>368</v>
      </c>
    </row>
    <row r="15" spans="1:3">
      <c r="B15" s="11" t="s">
        <v>209</v>
      </c>
      <c r="C15" s="11" t="s">
        <v>210</v>
      </c>
    </row>
    <row r="16" spans="1:3">
      <c r="B16" s="11" t="s">
        <v>201</v>
      </c>
      <c r="C16" s="11" t="s">
        <v>202</v>
      </c>
    </row>
    <row r="17" spans="2:3" ht="15" customHeight="1">
      <c r="B17" s="11" t="s">
        <v>203</v>
      </c>
      <c r="C17" s="11" t="s">
        <v>290</v>
      </c>
    </row>
    <row r="18" spans="2:3">
      <c r="B18" s="11" t="s">
        <v>369</v>
      </c>
      <c r="C18" s="11" t="s">
        <v>370</v>
      </c>
    </row>
    <row r="19" spans="2:3">
      <c r="B19" s="11" t="s">
        <v>291</v>
      </c>
      <c r="C19" s="11" t="s">
        <v>292</v>
      </c>
    </row>
    <row r="21" spans="2:3">
      <c r="B21" s="11" t="s">
        <v>221</v>
      </c>
      <c r="C21" s="11" t="s">
        <v>222</v>
      </c>
    </row>
    <row r="22" spans="2:3">
      <c r="B22" s="11" t="s">
        <v>204</v>
      </c>
      <c r="C22" s="11" t="s">
        <v>205</v>
      </c>
    </row>
    <row r="24" spans="2:3">
      <c r="B24" s="11" t="s">
        <v>331</v>
      </c>
    </row>
    <row r="25" spans="2:3">
      <c r="B25" s="11" t="s">
        <v>220</v>
      </c>
    </row>
    <row r="27" spans="2:3">
      <c r="B27" s="12" t="s">
        <v>172</v>
      </c>
    </row>
    <row r="28" spans="2:3">
      <c r="B28" s="12" t="s">
        <v>171</v>
      </c>
    </row>
    <row r="30" spans="2:3">
      <c r="B30" s="11" t="s">
        <v>218</v>
      </c>
    </row>
    <row r="31" spans="2:3">
      <c r="B31" s="11" t="s">
        <v>219</v>
      </c>
    </row>
    <row r="37" spans="2:20">
      <c r="B37" s="514" t="s">
        <v>244</v>
      </c>
      <c r="C37" s="514"/>
      <c r="D37" s="514"/>
      <c r="E37" s="514"/>
      <c r="F37" s="514"/>
      <c r="G37" s="514"/>
      <c r="H37" s="514"/>
      <c r="I37" s="514"/>
      <c r="J37" s="514"/>
      <c r="K37" s="514"/>
      <c r="L37" s="514"/>
      <c r="M37" s="514"/>
      <c r="N37" s="514"/>
      <c r="O37" s="514"/>
      <c r="P37" s="514"/>
      <c r="Q37" s="514"/>
      <c r="R37" s="514"/>
      <c r="S37" s="514"/>
      <c r="T37" s="514"/>
    </row>
    <row r="40" spans="2:20" ht="12.75" customHeight="1">
      <c r="B40" s="516" t="s">
        <v>239</v>
      </c>
      <c r="C40" s="516"/>
      <c r="D40" s="517" t="s">
        <v>245</v>
      </c>
      <c r="E40" s="517"/>
      <c r="F40" s="516" t="s">
        <v>240</v>
      </c>
      <c r="G40" s="516"/>
      <c r="H40" s="516"/>
      <c r="I40" s="2" t="s">
        <v>241</v>
      </c>
      <c r="J40" s="516" t="s">
        <v>242</v>
      </c>
      <c r="K40" s="516"/>
      <c r="L40" s="516"/>
      <c r="M40" s="516" t="s">
        <v>243</v>
      </c>
      <c r="N40" s="516"/>
      <c r="O40" s="516"/>
      <c r="P40" s="516"/>
    </row>
    <row r="41" spans="2:20">
      <c r="B41" s="516"/>
      <c r="C41" s="516"/>
      <c r="D41" s="517"/>
      <c r="E41" s="517"/>
      <c r="F41" s="13">
        <v>2008</v>
      </c>
      <c r="G41" s="14">
        <v>2009</v>
      </c>
      <c r="H41" s="14">
        <v>2010</v>
      </c>
      <c r="I41" s="14">
        <v>2011</v>
      </c>
      <c r="J41" s="14">
        <v>2012</v>
      </c>
      <c r="K41" s="14">
        <v>2013</v>
      </c>
      <c r="L41" s="14">
        <v>2014</v>
      </c>
      <c r="M41" s="14">
        <v>2011</v>
      </c>
      <c r="N41" s="14">
        <v>2012</v>
      </c>
      <c r="O41" s="14">
        <v>2013</v>
      </c>
      <c r="P41" s="14">
        <v>2014</v>
      </c>
    </row>
    <row r="42" spans="2:20">
      <c r="B42" s="520" t="s">
        <v>223</v>
      </c>
      <c r="C42" s="15" t="s">
        <v>224</v>
      </c>
      <c r="D42" s="519" t="s">
        <v>181</v>
      </c>
      <c r="E42" s="16" t="s">
        <v>182</v>
      </c>
      <c r="F42" s="519" t="s">
        <v>247</v>
      </c>
      <c r="G42" s="519"/>
      <c r="H42" s="519"/>
      <c r="I42" s="17" t="s">
        <v>248</v>
      </c>
      <c r="J42" s="515" t="s">
        <v>249</v>
      </c>
      <c r="K42" s="515"/>
      <c r="L42" s="515"/>
      <c r="M42" s="519" t="s">
        <v>250</v>
      </c>
      <c r="N42" s="519"/>
      <c r="O42" s="519"/>
      <c r="P42" s="519"/>
    </row>
    <row r="43" spans="2:20">
      <c r="B43" s="520"/>
      <c r="C43" s="18" t="s">
        <v>225</v>
      </c>
      <c r="D43" s="519"/>
      <c r="E43" s="16" t="s">
        <v>183</v>
      </c>
      <c r="G43" s="16"/>
      <c r="H43" s="16"/>
      <c r="I43" s="17"/>
      <c r="J43" s="16"/>
      <c r="K43" s="17"/>
      <c r="L43" s="16"/>
      <c r="M43" s="17"/>
      <c r="N43" s="16"/>
    </row>
    <row r="44" spans="2:20">
      <c r="B44" s="520"/>
      <c r="C44" s="15" t="s">
        <v>226</v>
      </c>
      <c r="D44" s="519"/>
      <c r="E44" s="16" t="s">
        <v>184</v>
      </c>
      <c r="F44" s="16"/>
      <c r="G44" s="17"/>
      <c r="H44" s="16"/>
      <c r="I44" s="17"/>
      <c r="J44" s="17"/>
      <c r="K44" s="17"/>
      <c r="L44" s="16"/>
      <c r="M44" s="16"/>
      <c r="N44" s="16"/>
    </row>
    <row r="45" spans="2:20">
      <c r="B45" s="520"/>
      <c r="C45" s="15" t="s">
        <v>227</v>
      </c>
      <c r="D45" s="519"/>
      <c r="E45" s="17" t="s">
        <v>185</v>
      </c>
      <c r="F45" s="17"/>
      <c r="G45" s="17"/>
      <c r="H45" s="17"/>
      <c r="I45" s="17"/>
      <c r="J45" s="17"/>
      <c r="K45" s="17"/>
      <c r="L45" s="17"/>
      <c r="M45" s="17"/>
      <c r="N45" s="17"/>
    </row>
    <row r="46" spans="2:20">
      <c r="B46" s="520"/>
      <c r="C46" s="15" t="s">
        <v>228</v>
      </c>
      <c r="D46" s="519"/>
      <c r="E46" s="17" t="s">
        <v>186</v>
      </c>
      <c r="F46" s="17"/>
      <c r="G46" s="17"/>
      <c r="H46" s="17"/>
      <c r="I46" s="17"/>
      <c r="J46" s="17"/>
      <c r="K46" s="17"/>
      <c r="L46" s="17"/>
      <c r="M46" s="17"/>
      <c r="N46" s="17"/>
    </row>
    <row r="47" spans="2:20">
      <c r="B47" s="520"/>
      <c r="C47" s="15" t="s">
        <v>229</v>
      </c>
      <c r="D47" s="519"/>
      <c r="E47" s="16" t="s">
        <v>187</v>
      </c>
      <c r="F47" s="17"/>
      <c r="G47" s="17"/>
      <c r="H47" s="17"/>
      <c r="I47" s="16"/>
      <c r="J47" s="16"/>
      <c r="K47" s="16"/>
      <c r="L47" s="16"/>
      <c r="M47" s="16"/>
      <c r="N47" s="16"/>
    </row>
    <row r="48" spans="2:20">
      <c r="B48" s="520"/>
      <c r="C48" s="15" t="s">
        <v>230</v>
      </c>
      <c r="D48" s="519"/>
      <c r="E48" s="17" t="s">
        <v>188</v>
      </c>
      <c r="F48" s="17"/>
      <c r="G48" s="17"/>
      <c r="H48" s="17"/>
      <c r="I48" s="17"/>
      <c r="J48" s="17"/>
      <c r="K48" s="17"/>
      <c r="L48" s="17"/>
      <c r="M48" s="17"/>
      <c r="N48" s="17"/>
    </row>
    <row r="49" spans="2:20">
      <c r="B49" s="520"/>
      <c r="C49" s="19" t="s">
        <v>231</v>
      </c>
      <c r="D49" s="519"/>
      <c r="E49" s="16" t="s">
        <v>246</v>
      </c>
      <c r="F49" s="17"/>
      <c r="G49" s="16"/>
      <c r="H49" s="16"/>
      <c r="I49" s="16"/>
      <c r="J49" s="16"/>
      <c r="K49" s="16"/>
      <c r="L49" s="16"/>
      <c r="M49" s="16"/>
      <c r="N49" s="16"/>
    </row>
    <row r="50" spans="2:20">
      <c r="B50" s="520"/>
      <c r="C50" s="15" t="s">
        <v>232</v>
      </c>
      <c r="D50" s="519"/>
      <c r="E50" s="17" t="s">
        <v>189</v>
      </c>
      <c r="F50" s="17"/>
      <c r="G50" s="17"/>
      <c r="H50" s="17"/>
      <c r="I50" s="17"/>
      <c r="J50" s="17"/>
      <c r="K50" s="17"/>
      <c r="L50" s="17"/>
      <c r="M50" s="17"/>
      <c r="N50" s="17"/>
    </row>
    <row r="51" spans="2:20">
      <c r="B51" s="520"/>
      <c r="C51" s="15" t="s">
        <v>379</v>
      </c>
      <c r="D51" s="519"/>
      <c r="E51" s="17" t="s">
        <v>380</v>
      </c>
      <c r="F51" s="17"/>
      <c r="G51" s="17"/>
      <c r="H51" s="17"/>
      <c r="I51" s="17"/>
      <c r="J51" s="17"/>
      <c r="K51" s="17"/>
      <c r="L51" s="17"/>
      <c r="M51" s="17"/>
      <c r="N51" s="17"/>
    </row>
    <row r="52" spans="2:20">
      <c r="B52" s="521" t="s">
        <v>233</v>
      </c>
      <c r="C52" s="20" t="s">
        <v>234</v>
      </c>
      <c r="D52" s="519" t="s">
        <v>190</v>
      </c>
      <c r="E52" s="17" t="s">
        <v>191</v>
      </c>
      <c r="F52" s="17"/>
      <c r="G52" s="17"/>
      <c r="H52" s="17"/>
      <c r="I52" s="17"/>
      <c r="J52" s="17"/>
      <c r="K52" s="17"/>
      <c r="L52" s="17"/>
      <c r="M52" s="17"/>
      <c r="N52" s="17"/>
    </row>
    <row r="53" spans="2:20">
      <c r="B53" s="521"/>
      <c r="C53" s="20" t="s">
        <v>235</v>
      </c>
      <c r="D53" s="519"/>
      <c r="E53" s="17" t="s">
        <v>192</v>
      </c>
      <c r="F53" s="17"/>
      <c r="G53" s="17"/>
      <c r="H53" s="17"/>
      <c r="I53" s="17"/>
      <c r="J53" s="17"/>
      <c r="K53" s="17"/>
      <c r="L53" s="17"/>
      <c r="M53" s="17"/>
      <c r="N53" s="17"/>
    </row>
    <row r="54" spans="2:20">
      <c r="B54" s="521"/>
      <c r="C54" s="20" t="s">
        <v>236</v>
      </c>
      <c r="D54" s="519"/>
      <c r="E54" s="17" t="s">
        <v>374</v>
      </c>
      <c r="F54" s="17"/>
      <c r="G54" s="17"/>
      <c r="H54" s="17"/>
      <c r="I54" s="17"/>
      <c r="J54" s="17"/>
      <c r="K54" s="16"/>
      <c r="L54" s="17"/>
      <c r="M54" s="17"/>
      <c r="N54" s="17"/>
    </row>
    <row r="55" spans="2:20">
      <c r="B55" s="521"/>
      <c r="C55" s="20" t="s">
        <v>375</v>
      </c>
      <c r="D55" s="519"/>
      <c r="E55" s="20" t="s">
        <v>377</v>
      </c>
      <c r="F55" s="17"/>
      <c r="G55" s="17"/>
      <c r="H55" s="17"/>
      <c r="I55" s="17"/>
      <c r="J55" s="17"/>
      <c r="K55" s="16"/>
      <c r="L55" s="17"/>
      <c r="M55" s="17"/>
      <c r="N55" s="17"/>
    </row>
    <row r="56" spans="2:20">
      <c r="B56" s="521"/>
      <c r="C56" s="20" t="s">
        <v>80</v>
      </c>
      <c r="D56" s="519"/>
      <c r="E56" s="17" t="s">
        <v>193</v>
      </c>
      <c r="F56" s="17"/>
      <c r="G56" s="16"/>
      <c r="H56" s="21"/>
      <c r="I56" s="21"/>
      <c r="J56" s="21"/>
      <c r="K56" s="21"/>
      <c r="L56" s="21"/>
      <c r="M56" s="21"/>
      <c r="N56" s="16"/>
    </row>
    <row r="57" spans="2:20">
      <c r="B57" s="521"/>
      <c r="C57" s="20" t="s">
        <v>237</v>
      </c>
      <c r="D57" s="519"/>
      <c r="E57" s="17" t="s">
        <v>194</v>
      </c>
      <c r="F57" s="17"/>
      <c r="G57" s="17"/>
      <c r="H57" s="17"/>
      <c r="I57" s="17"/>
      <c r="J57" s="21"/>
      <c r="K57" s="16"/>
      <c r="L57" s="17"/>
      <c r="M57" s="17"/>
      <c r="N57" s="17"/>
    </row>
    <row r="58" spans="2:20">
      <c r="B58" s="521"/>
      <c r="C58" s="20" t="s">
        <v>376</v>
      </c>
      <c r="D58" s="519"/>
      <c r="E58" s="17" t="s">
        <v>378</v>
      </c>
      <c r="F58" s="17"/>
      <c r="G58" s="17"/>
      <c r="H58" s="17"/>
      <c r="I58" s="17"/>
      <c r="J58" s="21"/>
      <c r="K58" s="16"/>
      <c r="L58" s="17"/>
      <c r="M58" s="17"/>
      <c r="N58" s="17"/>
    </row>
    <row r="59" spans="2:20">
      <c r="B59" s="521"/>
      <c r="C59" s="20" t="s">
        <v>238</v>
      </c>
      <c r="D59" s="519"/>
      <c r="E59" s="17" t="s">
        <v>195</v>
      </c>
      <c r="F59" s="17"/>
      <c r="G59" s="17"/>
      <c r="H59" s="17"/>
      <c r="I59" s="17"/>
      <c r="J59" s="17"/>
      <c r="K59" s="17"/>
      <c r="L59" s="21"/>
      <c r="M59" s="17"/>
      <c r="N59" s="17"/>
    </row>
    <row r="60" spans="2:20">
      <c r="B60" s="11" t="s">
        <v>333</v>
      </c>
      <c r="D60" s="11" t="s">
        <v>332</v>
      </c>
    </row>
    <row r="62" spans="2:20">
      <c r="B62" s="514" t="s">
        <v>252</v>
      </c>
      <c r="C62" s="514"/>
      <c r="D62" s="514"/>
      <c r="E62" s="514"/>
      <c r="F62" s="514"/>
      <c r="G62" s="514"/>
      <c r="H62" s="514"/>
      <c r="I62" s="514"/>
      <c r="J62" s="514"/>
      <c r="K62" s="514"/>
      <c r="L62" s="514"/>
      <c r="M62" s="514"/>
      <c r="N62" s="514"/>
      <c r="O62" s="514"/>
      <c r="P62" s="514"/>
      <c r="Q62" s="514"/>
      <c r="R62" s="514"/>
      <c r="S62" s="514"/>
      <c r="T62" s="514"/>
    </row>
    <row r="66" spans="2:22">
      <c r="B66" s="11" t="s">
        <v>371</v>
      </c>
    </row>
    <row r="67" spans="2:22">
      <c r="B67" s="11" t="s">
        <v>372</v>
      </c>
      <c r="M67" s="11" t="s">
        <v>338</v>
      </c>
      <c r="O67" s="11" t="s">
        <v>381</v>
      </c>
    </row>
    <row r="68" spans="2:22">
      <c r="D68" s="22"/>
      <c r="E68" s="23"/>
      <c r="F68" s="22"/>
      <c r="G68" s="23"/>
      <c r="H68" s="22"/>
      <c r="I68" s="23"/>
      <c r="J68" s="22"/>
      <c r="K68" s="23"/>
      <c r="L68" s="22"/>
      <c r="M68" s="23" t="s">
        <v>337</v>
      </c>
      <c r="N68" s="22"/>
      <c r="O68" s="23" t="s">
        <v>382</v>
      </c>
      <c r="P68" s="22"/>
      <c r="Q68" s="23"/>
      <c r="R68" s="22"/>
      <c r="S68" s="23"/>
      <c r="T68" s="22"/>
    </row>
    <row r="69" spans="2:22">
      <c r="C69" s="4">
        <v>2006</v>
      </c>
      <c r="D69" s="4"/>
      <c r="E69" s="4">
        <v>2007</v>
      </c>
      <c r="F69" s="4"/>
      <c r="G69" s="4">
        <v>2008</v>
      </c>
      <c r="H69" s="4"/>
      <c r="I69" s="4">
        <v>2009</v>
      </c>
      <c r="J69" s="4"/>
      <c r="K69" s="4">
        <v>2010</v>
      </c>
      <c r="L69" s="4"/>
      <c r="M69" s="4">
        <v>2011</v>
      </c>
      <c r="N69" s="4"/>
      <c r="O69" s="4">
        <v>2012</v>
      </c>
      <c r="P69" s="4"/>
      <c r="Q69" s="4">
        <v>2013</v>
      </c>
      <c r="R69" s="4"/>
      <c r="S69" s="4">
        <v>2014</v>
      </c>
      <c r="T69" s="4"/>
      <c r="U69" s="11">
        <v>2015</v>
      </c>
    </row>
    <row r="70" spans="2:22">
      <c r="B70" s="5" t="s">
        <v>127</v>
      </c>
      <c r="C70" s="6" t="s">
        <v>263</v>
      </c>
      <c r="D70" s="6" t="s">
        <v>150</v>
      </c>
      <c r="E70" s="6" t="s">
        <v>263</v>
      </c>
      <c r="F70" s="6" t="s">
        <v>150</v>
      </c>
      <c r="G70" s="6" t="s">
        <v>263</v>
      </c>
      <c r="H70" s="6" t="s">
        <v>150</v>
      </c>
      <c r="I70" s="6" t="s">
        <v>263</v>
      </c>
      <c r="J70" s="6" t="s">
        <v>150</v>
      </c>
      <c r="K70" s="6" t="s">
        <v>263</v>
      </c>
      <c r="L70" s="6" t="s">
        <v>150</v>
      </c>
      <c r="M70" s="6" t="s">
        <v>263</v>
      </c>
      <c r="N70" s="6" t="s">
        <v>150</v>
      </c>
      <c r="O70" s="6" t="s">
        <v>263</v>
      </c>
      <c r="P70" s="6" t="s">
        <v>150</v>
      </c>
      <c r="Q70" s="6" t="s">
        <v>263</v>
      </c>
      <c r="R70" s="6" t="s">
        <v>150</v>
      </c>
      <c r="S70" s="6" t="s">
        <v>263</v>
      </c>
      <c r="T70" s="6" t="s">
        <v>150</v>
      </c>
      <c r="U70" s="6" t="s">
        <v>263</v>
      </c>
      <c r="V70" s="3" t="s">
        <v>150</v>
      </c>
    </row>
    <row r="71" spans="2:22">
      <c r="B71" s="5" t="s">
        <v>253</v>
      </c>
      <c r="C71" s="6" t="s">
        <v>263</v>
      </c>
      <c r="D71" s="6" t="s">
        <v>166</v>
      </c>
      <c r="E71" s="6" t="s">
        <v>263</v>
      </c>
      <c r="F71" s="6" t="s">
        <v>166</v>
      </c>
      <c r="G71" s="6" t="s">
        <v>263</v>
      </c>
      <c r="H71" s="6" t="s">
        <v>166</v>
      </c>
      <c r="I71" s="6" t="s">
        <v>263</v>
      </c>
      <c r="J71" s="6" t="s">
        <v>166</v>
      </c>
      <c r="K71" s="6" t="s">
        <v>263</v>
      </c>
      <c r="L71" s="6" t="s">
        <v>166</v>
      </c>
      <c r="M71" s="6" t="s">
        <v>263</v>
      </c>
      <c r="N71" s="6" t="s">
        <v>166</v>
      </c>
      <c r="O71" s="6" t="s">
        <v>263</v>
      </c>
      <c r="P71" s="6" t="s">
        <v>166</v>
      </c>
      <c r="Q71" s="6" t="s">
        <v>263</v>
      </c>
      <c r="R71" s="6" t="s">
        <v>166</v>
      </c>
      <c r="S71" s="6" t="s">
        <v>263</v>
      </c>
      <c r="T71" s="6" t="s">
        <v>166</v>
      </c>
      <c r="U71" s="6" t="s">
        <v>263</v>
      </c>
      <c r="V71" s="3" t="s">
        <v>166</v>
      </c>
    </row>
    <row r="72" spans="2:22">
      <c r="B72" s="7" t="s">
        <v>128</v>
      </c>
      <c r="C72" s="23" t="s">
        <v>1</v>
      </c>
      <c r="D72" s="24"/>
      <c r="E72" s="25"/>
      <c r="F72" s="24"/>
      <c r="G72" s="25"/>
      <c r="H72" s="24"/>
      <c r="I72" s="25"/>
      <c r="J72" s="24"/>
      <c r="K72" s="25"/>
      <c r="L72" s="24"/>
      <c r="M72" s="25"/>
      <c r="N72" s="24"/>
      <c r="O72" s="25"/>
      <c r="P72" s="24"/>
      <c r="Q72" s="25"/>
      <c r="R72" s="24"/>
      <c r="S72" s="25"/>
      <c r="T72" s="24"/>
    </row>
    <row r="73" spans="2:22">
      <c r="B73" s="7" t="s">
        <v>2</v>
      </c>
      <c r="C73" s="23" t="s">
        <v>167</v>
      </c>
      <c r="D73" s="22"/>
      <c r="E73" s="23"/>
      <c r="F73" s="22"/>
      <c r="G73" s="23"/>
      <c r="H73" s="22"/>
      <c r="I73" s="23"/>
      <c r="J73" s="22"/>
      <c r="K73" s="23"/>
      <c r="L73" s="22"/>
      <c r="M73" s="23"/>
      <c r="N73" s="22"/>
      <c r="O73" s="23"/>
      <c r="P73" s="22"/>
      <c r="Q73" s="23"/>
      <c r="R73" s="22"/>
      <c r="S73" s="23"/>
      <c r="T73" s="22"/>
    </row>
    <row r="74" spans="2:22">
      <c r="B74" s="8" t="s">
        <v>3</v>
      </c>
      <c r="C74" s="23" t="s">
        <v>69</v>
      </c>
      <c r="D74" s="22"/>
      <c r="E74" s="23"/>
      <c r="F74" s="22"/>
      <c r="G74" s="23"/>
      <c r="H74" s="22"/>
      <c r="I74" s="23"/>
      <c r="J74" s="22"/>
      <c r="K74" s="23"/>
      <c r="L74" s="22"/>
      <c r="M74" s="23"/>
      <c r="N74" s="22"/>
      <c r="O74" s="23"/>
      <c r="P74" s="22"/>
      <c r="Q74" s="23"/>
      <c r="R74" s="22"/>
      <c r="S74" s="23"/>
      <c r="T74" s="22"/>
    </row>
    <row r="75" spans="2:22">
      <c r="B75" s="7" t="s">
        <v>5</v>
      </c>
      <c r="C75" s="23" t="s">
        <v>254</v>
      </c>
      <c r="D75" s="22"/>
      <c r="E75" s="23"/>
      <c r="F75" s="22"/>
      <c r="G75" s="23"/>
      <c r="H75" s="22"/>
      <c r="I75" s="23"/>
      <c r="J75" s="22"/>
      <c r="K75" s="23"/>
      <c r="L75" s="22"/>
      <c r="M75" s="23"/>
      <c r="N75" s="22"/>
      <c r="O75" s="23"/>
      <c r="P75" s="22"/>
      <c r="Q75" s="23"/>
      <c r="R75" s="22"/>
      <c r="S75" s="23"/>
      <c r="T75" s="22"/>
    </row>
    <row r="76" spans="2:22">
      <c r="B76" s="7" t="s">
        <v>7</v>
      </c>
      <c r="C76" s="26" t="s">
        <v>8</v>
      </c>
      <c r="D76" s="22"/>
      <c r="E76" s="23"/>
      <c r="F76" s="22"/>
      <c r="G76" s="23"/>
      <c r="H76" s="22"/>
      <c r="I76" s="23"/>
      <c r="J76" s="22"/>
      <c r="K76" s="23"/>
      <c r="L76" s="22"/>
      <c r="M76" s="23"/>
      <c r="N76" s="22"/>
      <c r="O76" s="23"/>
      <c r="P76" s="22"/>
      <c r="Q76" s="23"/>
      <c r="R76" s="22"/>
      <c r="S76" s="23"/>
      <c r="T76" s="22"/>
    </row>
    <row r="77" spans="2:22">
      <c r="B77" s="7" t="s">
        <v>9</v>
      </c>
      <c r="C77" s="26" t="s">
        <v>10</v>
      </c>
      <c r="D77" s="24"/>
      <c r="E77" s="25"/>
      <c r="F77" s="24"/>
      <c r="G77" s="25"/>
      <c r="H77" s="24"/>
      <c r="I77" s="25"/>
      <c r="J77" s="24"/>
      <c r="K77" s="25"/>
      <c r="L77" s="24"/>
      <c r="M77" s="25"/>
      <c r="N77" s="24"/>
      <c r="O77" s="25"/>
      <c r="P77" s="24"/>
      <c r="Q77" s="25"/>
      <c r="R77" s="24"/>
      <c r="S77" s="25"/>
      <c r="T77" s="24"/>
    </row>
    <row r="78" spans="2:22">
      <c r="B78" s="7" t="s">
        <v>12</v>
      </c>
      <c r="C78" s="26" t="s">
        <v>13</v>
      </c>
      <c r="D78" s="24"/>
      <c r="E78" s="23"/>
      <c r="F78" s="24"/>
      <c r="G78" s="23"/>
      <c r="H78" s="24"/>
      <c r="I78" s="23"/>
      <c r="J78" s="24"/>
      <c r="K78" s="23"/>
      <c r="L78" s="24"/>
      <c r="M78" s="23"/>
      <c r="N78" s="24"/>
      <c r="O78" s="23"/>
      <c r="P78" s="24"/>
      <c r="Q78" s="23"/>
      <c r="R78" s="24"/>
      <c r="S78" s="23"/>
      <c r="T78" s="24"/>
    </row>
    <row r="79" spans="2:22">
      <c r="B79" s="7" t="s">
        <v>14</v>
      </c>
      <c r="C79" s="26" t="s">
        <v>15</v>
      </c>
      <c r="D79" s="24"/>
      <c r="E79" s="23"/>
      <c r="F79" s="24"/>
      <c r="G79" s="23"/>
      <c r="H79" s="24"/>
      <c r="I79" s="23"/>
      <c r="J79" s="24"/>
      <c r="K79" s="23"/>
      <c r="L79" s="24"/>
      <c r="M79" s="23"/>
      <c r="N79" s="24"/>
      <c r="O79" s="23"/>
      <c r="P79" s="24"/>
      <c r="Q79" s="23"/>
      <c r="R79" s="24"/>
      <c r="S79" s="23"/>
      <c r="T79" s="24"/>
    </row>
    <row r="80" spans="2:22">
      <c r="B80" s="7" t="s">
        <v>17</v>
      </c>
      <c r="C80" s="26" t="s">
        <v>18</v>
      </c>
      <c r="D80" s="24"/>
      <c r="E80" s="23"/>
      <c r="F80" s="24"/>
      <c r="G80" s="23"/>
      <c r="H80" s="24"/>
      <c r="I80" s="23"/>
      <c r="J80" s="24"/>
      <c r="K80" s="23"/>
      <c r="L80" s="24"/>
      <c r="M80" s="23"/>
      <c r="N80" s="24"/>
      <c r="O80" s="23"/>
      <c r="P80" s="24"/>
      <c r="Q80" s="23"/>
      <c r="R80" s="24"/>
      <c r="S80" s="23"/>
      <c r="T80" s="24"/>
    </row>
    <row r="81" spans="2:20">
      <c r="B81" s="7" t="s">
        <v>19</v>
      </c>
      <c r="C81" s="26" t="s">
        <v>20</v>
      </c>
      <c r="D81" s="24"/>
      <c r="E81" s="23"/>
      <c r="F81" s="24"/>
      <c r="G81" s="23"/>
      <c r="H81" s="24"/>
      <c r="I81" s="23"/>
      <c r="J81" s="24"/>
      <c r="K81" s="23"/>
      <c r="L81" s="24"/>
      <c r="M81" s="23"/>
      <c r="N81" s="24"/>
      <c r="O81" s="23"/>
      <c r="P81" s="24"/>
      <c r="Q81" s="23"/>
      <c r="R81" s="24"/>
      <c r="S81" s="23"/>
      <c r="T81" s="24"/>
    </row>
    <row r="82" spans="2:20">
      <c r="B82" s="7" t="s">
        <v>21</v>
      </c>
      <c r="C82" s="26" t="s">
        <v>22</v>
      </c>
      <c r="D82" s="24"/>
      <c r="E82" s="25"/>
      <c r="F82" s="24"/>
      <c r="G82" s="25"/>
      <c r="H82" s="24"/>
      <c r="I82" s="25"/>
      <c r="J82" s="24"/>
      <c r="K82" s="25"/>
      <c r="L82" s="24"/>
      <c r="M82" s="25"/>
      <c r="N82" s="24"/>
      <c r="O82" s="25"/>
      <c r="P82" s="24"/>
      <c r="Q82" s="25"/>
      <c r="R82" s="24"/>
      <c r="S82" s="25"/>
      <c r="T82" s="24"/>
    </row>
    <row r="83" spans="2:20">
      <c r="B83" s="7" t="s">
        <v>23</v>
      </c>
      <c r="C83" s="26" t="s">
        <v>24</v>
      </c>
      <c r="D83" s="24"/>
      <c r="E83" s="23"/>
      <c r="F83" s="24"/>
      <c r="G83" s="23"/>
      <c r="H83" s="24"/>
      <c r="I83" s="23"/>
      <c r="J83" s="24"/>
      <c r="K83" s="23"/>
      <c r="L83" s="24"/>
      <c r="M83" s="23"/>
      <c r="N83" s="24"/>
      <c r="O83" s="23"/>
      <c r="P83" s="24"/>
      <c r="Q83" s="23"/>
      <c r="R83" s="24"/>
      <c r="S83" s="23"/>
      <c r="T83" s="24"/>
    </row>
    <row r="84" spans="2:20">
      <c r="B84" s="7" t="s">
        <v>25</v>
      </c>
      <c r="C84" s="26" t="s">
        <v>26</v>
      </c>
      <c r="D84" s="24"/>
      <c r="E84" s="23"/>
      <c r="F84" s="24"/>
      <c r="G84" s="23"/>
      <c r="H84" s="24"/>
      <c r="I84" s="23"/>
      <c r="J84" s="24"/>
      <c r="K84" s="23"/>
      <c r="L84" s="24"/>
      <c r="M84" s="23"/>
      <c r="N84" s="24"/>
      <c r="O84" s="23"/>
      <c r="P84" s="24"/>
      <c r="Q84" s="23"/>
      <c r="R84" s="24"/>
      <c r="S84" s="23"/>
      <c r="T84" s="24"/>
    </row>
    <row r="85" spans="2:20">
      <c r="B85" s="7" t="s">
        <v>27</v>
      </c>
      <c r="C85" s="26" t="s">
        <v>28</v>
      </c>
      <c r="D85" s="24"/>
      <c r="E85" s="23"/>
      <c r="F85" s="24"/>
      <c r="G85" s="23"/>
      <c r="H85" s="24"/>
      <c r="I85" s="23"/>
      <c r="J85" s="24"/>
      <c r="K85" s="23"/>
      <c r="L85" s="24"/>
      <c r="M85" s="23"/>
      <c r="N85" s="24"/>
      <c r="O85" s="23"/>
      <c r="P85" s="24"/>
      <c r="Q85" s="23"/>
      <c r="R85" s="24"/>
      <c r="S85" s="23"/>
      <c r="T85" s="24"/>
    </row>
    <row r="86" spans="2:20">
      <c r="B86" s="7" t="s">
        <v>29</v>
      </c>
      <c r="C86" s="26" t="s">
        <v>30</v>
      </c>
      <c r="D86" s="24"/>
      <c r="E86" s="23"/>
      <c r="F86" s="24"/>
      <c r="G86" s="23"/>
      <c r="H86" s="24"/>
      <c r="I86" s="23"/>
      <c r="J86" s="24"/>
      <c r="K86" s="23"/>
      <c r="L86" s="24"/>
      <c r="M86" s="23"/>
      <c r="N86" s="24"/>
      <c r="O86" s="23"/>
      <c r="P86" s="24"/>
      <c r="Q86" s="23"/>
      <c r="R86" s="24"/>
      <c r="S86" s="23"/>
      <c r="T86" s="24"/>
    </row>
    <row r="87" spans="2:20">
      <c r="B87" s="7" t="s">
        <v>31</v>
      </c>
      <c r="C87" s="26" t="s">
        <v>175</v>
      </c>
      <c r="D87" s="24"/>
      <c r="E87" s="23"/>
      <c r="F87" s="24"/>
      <c r="G87" s="23"/>
      <c r="H87" s="24"/>
      <c r="I87" s="23"/>
      <c r="J87" s="24"/>
      <c r="K87" s="23"/>
      <c r="L87" s="24"/>
      <c r="M87" s="23"/>
      <c r="N87" s="24"/>
      <c r="O87" s="23"/>
      <c r="P87" s="24"/>
      <c r="Q87" s="23"/>
      <c r="R87" s="24"/>
      <c r="S87" s="23"/>
      <c r="T87" s="24"/>
    </row>
    <row r="88" spans="2:20">
      <c r="B88" s="7" t="s">
        <v>32</v>
      </c>
      <c r="C88" s="12" t="s">
        <v>33</v>
      </c>
      <c r="D88" s="24"/>
      <c r="E88" s="23"/>
      <c r="F88" s="24"/>
      <c r="G88" s="23"/>
      <c r="H88" s="24"/>
      <c r="I88" s="23"/>
      <c r="J88" s="24"/>
      <c r="K88" s="23"/>
      <c r="L88" s="24"/>
      <c r="M88" s="23"/>
      <c r="N88" s="24"/>
      <c r="O88" s="23"/>
      <c r="P88" s="24"/>
      <c r="Q88" s="23"/>
      <c r="R88" s="24"/>
      <c r="S88" s="23"/>
      <c r="T88" s="24"/>
    </row>
    <row r="89" spans="2:20">
      <c r="B89" s="7" t="s">
        <v>34</v>
      </c>
      <c r="C89" s="12" t="s">
        <v>35</v>
      </c>
      <c r="D89" s="24"/>
      <c r="E89" s="25"/>
      <c r="F89" s="24"/>
      <c r="G89" s="25"/>
      <c r="H89" s="24"/>
      <c r="I89" s="25"/>
      <c r="J89" s="24"/>
      <c r="K89" s="25"/>
      <c r="L89" s="24"/>
      <c r="M89" s="25"/>
      <c r="N89" s="24"/>
      <c r="O89" s="25"/>
      <c r="P89" s="24"/>
      <c r="Q89" s="25"/>
      <c r="R89" s="24"/>
      <c r="S89" s="25"/>
      <c r="T89" s="24"/>
    </row>
    <row r="90" spans="2:20">
      <c r="B90" s="7" t="s">
        <v>37</v>
      </c>
      <c r="C90" s="12" t="s">
        <v>38</v>
      </c>
      <c r="D90" s="24"/>
      <c r="E90" s="23"/>
      <c r="F90" s="24"/>
      <c r="G90" s="23"/>
      <c r="H90" s="24"/>
      <c r="I90" s="23"/>
      <c r="J90" s="24"/>
      <c r="K90" s="23"/>
      <c r="L90" s="24"/>
      <c r="M90" s="23"/>
      <c r="N90" s="24"/>
      <c r="O90" s="23"/>
      <c r="P90" s="24"/>
      <c r="Q90" s="23"/>
      <c r="R90" s="24"/>
      <c r="S90" s="23"/>
      <c r="T90" s="24"/>
    </row>
    <row r="91" spans="2:20">
      <c r="B91" s="7" t="s">
        <v>39</v>
      </c>
      <c r="C91" s="12" t="s">
        <v>168</v>
      </c>
      <c r="D91" s="24"/>
      <c r="E91" s="23"/>
      <c r="F91" s="24"/>
      <c r="G91" s="23"/>
      <c r="H91" s="24"/>
      <c r="I91" s="23"/>
      <c r="J91" s="24"/>
      <c r="K91" s="23"/>
      <c r="L91" s="24"/>
      <c r="M91" s="23"/>
      <c r="N91" s="24"/>
      <c r="O91" s="23"/>
      <c r="P91" s="24"/>
      <c r="Q91" s="23"/>
      <c r="R91" s="24"/>
      <c r="S91" s="23"/>
      <c r="T91" s="24"/>
    </row>
    <row r="92" spans="2:20">
      <c r="B92" s="7" t="s">
        <v>40</v>
      </c>
      <c r="C92" s="12" t="s">
        <v>41</v>
      </c>
      <c r="D92" s="24"/>
      <c r="E92" s="23"/>
      <c r="F92" s="24"/>
      <c r="G92" s="23"/>
      <c r="H92" s="24"/>
      <c r="I92" s="23"/>
      <c r="J92" s="24"/>
      <c r="K92" s="23"/>
      <c r="L92" s="24"/>
      <c r="M92" s="23"/>
      <c r="N92" s="24"/>
      <c r="O92" s="23"/>
      <c r="P92" s="24"/>
      <c r="Q92" s="23"/>
      <c r="R92" s="24"/>
      <c r="S92" s="23"/>
      <c r="T92" s="24"/>
    </row>
    <row r="93" spans="2:20">
      <c r="B93" s="7" t="s">
        <v>42</v>
      </c>
      <c r="C93" s="12" t="s">
        <v>43</v>
      </c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4"/>
    </row>
    <row r="94" spans="2:20">
      <c r="B94" s="7" t="s">
        <v>45</v>
      </c>
      <c r="C94" s="12" t="s">
        <v>46</v>
      </c>
      <c r="D94" s="24"/>
      <c r="E94" s="25"/>
      <c r="F94" s="24"/>
      <c r="G94" s="25"/>
      <c r="H94" s="24"/>
      <c r="I94" s="25"/>
      <c r="J94" s="24"/>
      <c r="K94" s="25"/>
      <c r="L94" s="24"/>
      <c r="M94" s="25"/>
      <c r="N94" s="24"/>
      <c r="O94" s="25"/>
      <c r="P94" s="24"/>
      <c r="Q94" s="25"/>
      <c r="R94" s="24"/>
      <c r="S94" s="25"/>
      <c r="T94" s="24"/>
    </row>
    <row r="95" spans="2:20">
      <c r="B95" s="7" t="s">
        <v>47</v>
      </c>
      <c r="C95" s="12" t="s">
        <v>48</v>
      </c>
      <c r="D95" s="24"/>
      <c r="E95" s="25"/>
      <c r="F95" s="24"/>
      <c r="G95" s="25"/>
      <c r="H95" s="24"/>
      <c r="I95" s="25"/>
      <c r="J95" s="24"/>
      <c r="K95" s="25"/>
      <c r="L95" s="24"/>
      <c r="M95" s="25"/>
      <c r="N95" s="24"/>
      <c r="O95" s="25"/>
      <c r="P95" s="24"/>
      <c r="Q95" s="25"/>
      <c r="R95" s="24"/>
      <c r="S95" s="25"/>
      <c r="T95" s="24"/>
    </row>
    <row r="96" spans="2:20">
      <c r="B96" s="7" t="s">
        <v>50</v>
      </c>
      <c r="C96" s="12" t="s">
        <v>169</v>
      </c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  <c r="P96" s="24"/>
      <c r="Q96" s="25"/>
      <c r="R96" s="24"/>
      <c r="S96" s="25"/>
      <c r="T96" s="24"/>
    </row>
    <row r="97" spans="2:20">
      <c r="B97" s="7" t="s">
        <v>51</v>
      </c>
      <c r="C97" s="12" t="s">
        <v>52</v>
      </c>
      <c r="D97" s="22"/>
      <c r="E97" s="23"/>
      <c r="F97" s="22"/>
      <c r="G97" s="23"/>
      <c r="H97" s="22"/>
      <c r="I97" s="23"/>
      <c r="J97" s="22"/>
      <c r="K97" s="23"/>
      <c r="L97" s="22"/>
      <c r="M97" s="23"/>
      <c r="N97" s="22"/>
      <c r="O97" s="23"/>
      <c r="P97" s="22"/>
      <c r="Q97" s="23"/>
      <c r="R97" s="22"/>
      <c r="S97" s="23"/>
      <c r="T97" s="22"/>
    </row>
    <row r="98" spans="2:20">
      <c r="B98" s="7" t="s">
        <v>53</v>
      </c>
      <c r="C98" s="12" t="s">
        <v>54</v>
      </c>
      <c r="D98" s="22"/>
      <c r="E98" s="23"/>
      <c r="F98" s="22"/>
      <c r="G98" s="23"/>
      <c r="H98" s="22"/>
      <c r="I98" s="23"/>
      <c r="J98" s="22"/>
      <c r="K98" s="23"/>
      <c r="L98" s="22"/>
      <c r="M98" s="23"/>
      <c r="N98" s="22"/>
      <c r="O98" s="23"/>
      <c r="P98" s="22"/>
      <c r="Q98" s="23"/>
      <c r="R98" s="22"/>
      <c r="S98" s="23"/>
      <c r="T98" s="22"/>
    </row>
    <row r="99" spans="2:20">
      <c r="B99" s="7" t="s">
        <v>55</v>
      </c>
      <c r="C99" s="12" t="s">
        <v>56</v>
      </c>
      <c r="D99" s="22"/>
      <c r="E99" s="23"/>
      <c r="F99" s="22"/>
      <c r="G99" s="23"/>
      <c r="H99" s="22"/>
      <c r="I99" s="23"/>
      <c r="J99" s="22"/>
      <c r="K99" s="23"/>
      <c r="L99" s="22"/>
      <c r="M99" s="23"/>
      <c r="N99" s="22"/>
      <c r="O99" s="23"/>
      <c r="P99" s="22"/>
      <c r="Q99" s="23"/>
      <c r="R99" s="22"/>
      <c r="S99" s="23"/>
      <c r="T99" s="22"/>
    </row>
    <row r="100" spans="2:20">
      <c r="B100" s="7" t="s">
        <v>57</v>
      </c>
      <c r="C100" s="12" t="s">
        <v>58</v>
      </c>
      <c r="D100" s="22"/>
      <c r="E100" s="23"/>
      <c r="F100" s="22"/>
      <c r="G100" s="23"/>
      <c r="H100" s="22"/>
      <c r="I100" s="23"/>
      <c r="J100" s="22"/>
      <c r="K100" s="23"/>
      <c r="L100" s="22"/>
      <c r="M100" s="23"/>
      <c r="N100" s="22"/>
      <c r="O100" s="23"/>
      <c r="P100" s="22"/>
      <c r="Q100" s="23"/>
      <c r="R100" s="22"/>
      <c r="S100" s="23"/>
      <c r="T100" s="22"/>
    </row>
    <row r="101" spans="2:20">
      <c r="B101" s="7" t="s">
        <v>59</v>
      </c>
      <c r="C101" s="12" t="s">
        <v>60</v>
      </c>
      <c r="D101" s="22"/>
      <c r="E101" s="23"/>
      <c r="F101" s="22"/>
      <c r="G101" s="23"/>
      <c r="H101" s="22"/>
      <c r="I101" s="23"/>
      <c r="J101" s="22"/>
      <c r="K101" s="23"/>
      <c r="L101" s="22"/>
      <c r="M101" s="23"/>
      <c r="N101" s="22"/>
      <c r="O101" s="23"/>
      <c r="P101" s="22"/>
      <c r="Q101" s="23"/>
      <c r="R101" s="22"/>
      <c r="S101" s="23"/>
      <c r="T101" s="22"/>
    </row>
    <row r="102" spans="2:20">
      <c r="B102" s="7" t="s">
        <v>53</v>
      </c>
      <c r="C102" s="12" t="s">
        <v>54</v>
      </c>
      <c r="D102" s="22"/>
      <c r="E102" s="23"/>
      <c r="F102" s="22"/>
      <c r="G102" s="23"/>
      <c r="H102" s="22"/>
      <c r="I102" s="23"/>
      <c r="J102" s="22"/>
      <c r="K102" s="23"/>
      <c r="L102" s="22"/>
      <c r="M102" s="23"/>
      <c r="N102" s="22"/>
      <c r="O102" s="23"/>
      <c r="P102" s="22"/>
      <c r="Q102" s="23"/>
      <c r="R102" s="22"/>
      <c r="S102" s="23"/>
      <c r="T102" s="22"/>
    </row>
    <row r="103" spans="2:20">
      <c r="B103" s="7" t="s">
        <v>255</v>
      </c>
      <c r="C103" s="12" t="s">
        <v>61</v>
      </c>
      <c r="D103" s="22"/>
      <c r="E103" s="23"/>
      <c r="F103" s="22"/>
      <c r="G103" s="23"/>
      <c r="H103" s="22"/>
      <c r="I103" s="23"/>
      <c r="J103" s="22"/>
      <c r="K103" s="23"/>
      <c r="L103" s="22"/>
      <c r="M103" s="23"/>
      <c r="N103" s="22"/>
      <c r="O103" s="23"/>
      <c r="P103" s="22"/>
      <c r="Q103" s="23"/>
      <c r="R103" s="22"/>
      <c r="S103" s="23"/>
      <c r="T103" s="22"/>
    </row>
    <row r="104" spans="2:20">
      <c r="B104" s="7" t="s">
        <v>62</v>
      </c>
      <c r="C104" s="12" t="s">
        <v>340</v>
      </c>
      <c r="D104" s="22"/>
      <c r="E104" s="23"/>
      <c r="F104" s="22"/>
      <c r="G104" s="23"/>
      <c r="H104" s="22"/>
      <c r="I104" s="23"/>
      <c r="J104" s="22"/>
      <c r="K104" s="23"/>
      <c r="L104" s="22"/>
      <c r="M104" s="23"/>
      <c r="N104" s="22"/>
      <c r="O104" s="23"/>
      <c r="P104" s="22"/>
      <c r="Q104" s="23"/>
      <c r="R104" s="22"/>
      <c r="S104" s="23"/>
      <c r="T104" s="22"/>
    </row>
    <row r="105" spans="2:20">
      <c r="B105" s="7" t="s">
        <v>126</v>
      </c>
      <c r="C105" s="12" t="s">
        <v>170</v>
      </c>
      <c r="D105" s="22"/>
      <c r="E105" s="23"/>
      <c r="F105" s="22"/>
      <c r="G105" s="23"/>
      <c r="H105" s="22"/>
      <c r="I105" s="23"/>
      <c r="J105" s="22"/>
      <c r="K105" s="23"/>
      <c r="L105" s="22"/>
      <c r="M105" s="23"/>
      <c r="N105" s="22"/>
      <c r="O105" s="23"/>
      <c r="P105" s="22"/>
      <c r="Q105" s="23"/>
      <c r="R105" s="22"/>
      <c r="S105" s="23"/>
      <c r="T105" s="22"/>
    </row>
    <row r="106" spans="2:20">
      <c r="B106" s="9" t="s">
        <v>63</v>
      </c>
      <c r="C106" s="12" t="s">
        <v>341</v>
      </c>
      <c r="D106" s="22"/>
      <c r="E106" s="23"/>
      <c r="F106" s="22"/>
      <c r="G106" s="23"/>
      <c r="H106" s="22"/>
      <c r="I106" s="23"/>
      <c r="J106" s="22"/>
      <c r="K106" s="23"/>
      <c r="L106" s="22"/>
      <c r="M106" s="23"/>
      <c r="N106" s="22"/>
      <c r="O106" s="23"/>
      <c r="P106" s="22"/>
      <c r="Q106" s="23"/>
      <c r="R106" s="22"/>
      <c r="S106" s="23"/>
      <c r="T106" s="22"/>
    </row>
    <row r="107" spans="2:20">
      <c r="B107" s="9" t="s">
        <v>64</v>
      </c>
      <c r="C107" s="12" t="s">
        <v>65</v>
      </c>
      <c r="D107" s="22"/>
      <c r="E107" s="23"/>
      <c r="F107" s="22"/>
      <c r="G107" s="23"/>
      <c r="H107" s="22"/>
      <c r="I107" s="23"/>
      <c r="J107" s="22"/>
      <c r="K107" s="23"/>
      <c r="L107" s="22"/>
      <c r="M107" s="23"/>
      <c r="N107" s="22"/>
      <c r="O107" s="23"/>
      <c r="P107" s="22"/>
      <c r="Q107" s="23"/>
      <c r="R107" s="22"/>
      <c r="S107" s="23"/>
      <c r="T107" s="22"/>
    </row>
    <row r="108" spans="2:20">
      <c r="B108" s="9" t="s">
        <v>66</v>
      </c>
      <c r="C108" s="12" t="s">
        <v>67</v>
      </c>
      <c r="D108" s="22"/>
      <c r="E108" s="23"/>
      <c r="F108" s="22"/>
      <c r="G108" s="23"/>
      <c r="H108" s="22"/>
      <c r="I108" s="23"/>
      <c r="J108" s="22"/>
      <c r="K108" s="23"/>
      <c r="L108" s="22"/>
      <c r="M108" s="23"/>
      <c r="N108" s="22"/>
      <c r="O108" s="23"/>
      <c r="P108" s="22"/>
      <c r="Q108" s="23"/>
      <c r="R108" s="22"/>
      <c r="S108" s="23"/>
      <c r="T108" s="22"/>
    </row>
    <row r="109" spans="2:20">
      <c r="B109" s="9" t="s">
        <v>68</v>
      </c>
      <c r="C109" s="12" t="s">
        <v>69</v>
      </c>
      <c r="D109" s="22"/>
      <c r="E109" s="23"/>
      <c r="F109" s="22"/>
      <c r="G109" s="23"/>
      <c r="H109" s="22"/>
      <c r="I109" s="23"/>
      <c r="J109" s="22"/>
      <c r="K109" s="23"/>
      <c r="L109" s="22"/>
      <c r="M109" s="23"/>
      <c r="N109" s="22"/>
      <c r="O109" s="23"/>
      <c r="P109" s="22"/>
      <c r="Q109" s="23"/>
      <c r="R109" s="22"/>
      <c r="S109" s="23"/>
      <c r="T109" s="22"/>
    </row>
    <row r="110" spans="2:20">
      <c r="B110" s="9" t="s">
        <v>70</v>
      </c>
      <c r="C110" s="12" t="s">
        <v>71</v>
      </c>
      <c r="D110" s="22"/>
      <c r="E110" s="23"/>
      <c r="F110" s="22"/>
      <c r="G110" s="23"/>
      <c r="H110" s="22"/>
      <c r="I110" s="23"/>
      <c r="J110" s="22"/>
      <c r="K110" s="23"/>
      <c r="L110" s="22"/>
      <c r="M110" s="23"/>
      <c r="N110" s="22"/>
      <c r="O110" s="23"/>
      <c r="P110" s="22"/>
      <c r="Q110" s="23"/>
      <c r="R110" s="22"/>
      <c r="S110" s="23"/>
      <c r="T110" s="22"/>
    </row>
    <row r="111" spans="2:20">
      <c r="B111" s="9" t="s">
        <v>72</v>
      </c>
      <c r="C111" s="12" t="s">
        <v>73</v>
      </c>
      <c r="D111" s="22"/>
      <c r="E111" s="23"/>
      <c r="F111" s="22"/>
      <c r="G111" s="23"/>
      <c r="H111" s="22"/>
      <c r="I111" s="23"/>
      <c r="J111" s="22"/>
      <c r="K111" s="23"/>
      <c r="L111" s="22"/>
      <c r="M111" s="23"/>
      <c r="N111" s="22"/>
      <c r="O111" s="23"/>
      <c r="P111" s="22"/>
      <c r="Q111" s="23"/>
      <c r="R111" s="22"/>
      <c r="S111" s="23"/>
      <c r="T111" s="22"/>
    </row>
    <row r="112" spans="2:20">
      <c r="B112" s="9" t="s">
        <v>129</v>
      </c>
      <c r="C112" s="12" t="s">
        <v>179</v>
      </c>
      <c r="D112" s="24"/>
      <c r="E112" s="25"/>
      <c r="F112" s="24"/>
      <c r="G112" s="25"/>
      <c r="H112" s="24"/>
      <c r="I112" s="25"/>
      <c r="J112" s="24"/>
      <c r="K112" s="25"/>
      <c r="L112" s="24"/>
      <c r="M112" s="25"/>
      <c r="N112" s="24"/>
      <c r="O112" s="25"/>
      <c r="P112" s="24"/>
      <c r="Q112" s="25"/>
      <c r="R112" s="24"/>
      <c r="S112" s="25"/>
      <c r="T112" s="24"/>
    </row>
    <row r="113" spans="2:20">
      <c r="B113" s="9" t="s">
        <v>75</v>
      </c>
      <c r="C113" s="12" t="s">
        <v>76</v>
      </c>
      <c r="D113" s="22"/>
      <c r="E113" s="23"/>
      <c r="F113" s="22"/>
      <c r="G113" s="23"/>
      <c r="H113" s="22"/>
      <c r="I113" s="23"/>
      <c r="J113" s="22"/>
      <c r="K113" s="23"/>
      <c r="L113" s="22"/>
      <c r="M113" s="23"/>
      <c r="N113" s="22"/>
      <c r="O113" s="23"/>
      <c r="P113" s="22"/>
      <c r="Q113" s="23"/>
      <c r="R113" s="22"/>
      <c r="S113" s="23"/>
      <c r="T113" s="22"/>
    </row>
    <row r="114" spans="2:20">
      <c r="B114" s="9" t="s">
        <v>77</v>
      </c>
      <c r="C114" s="12" t="s">
        <v>78</v>
      </c>
      <c r="D114" s="22"/>
      <c r="E114" s="23"/>
      <c r="F114" s="22"/>
      <c r="G114" s="23"/>
      <c r="H114" s="22"/>
      <c r="I114" s="23"/>
      <c r="J114" s="22"/>
      <c r="K114" s="23"/>
      <c r="L114" s="22"/>
      <c r="M114" s="23"/>
      <c r="N114" s="22"/>
      <c r="O114" s="23"/>
      <c r="P114" s="22"/>
      <c r="Q114" s="23"/>
      <c r="R114" s="22"/>
      <c r="S114" s="23"/>
      <c r="T114" s="22"/>
    </row>
    <row r="115" spans="2:20">
      <c r="B115" s="9" t="s">
        <v>79</v>
      </c>
      <c r="C115" s="12" t="s">
        <v>151</v>
      </c>
      <c r="D115" s="22"/>
      <c r="E115" s="23"/>
      <c r="F115" s="22"/>
      <c r="G115" s="23"/>
      <c r="H115" s="22"/>
      <c r="I115" s="23"/>
      <c r="J115" s="22"/>
      <c r="K115" s="23"/>
      <c r="L115" s="22"/>
      <c r="M115" s="23"/>
      <c r="N115" s="22"/>
      <c r="O115" s="23"/>
      <c r="P115" s="22"/>
      <c r="Q115" s="23"/>
      <c r="R115" s="22"/>
      <c r="S115" s="23"/>
      <c r="T115" s="22"/>
    </row>
    <row r="116" spans="2:20">
      <c r="B116" s="9" t="s">
        <v>80</v>
      </c>
      <c r="C116" s="12" t="s">
        <v>81</v>
      </c>
      <c r="D116" s="22"/>
      <c r="E116" s="23"/>
      <c r="F116" s="22"/>
      <c r="G116" s="23"/>
      <c r="H116" s="22"/>
      <c r="I116" s="23"/>
      <c r="J116" s="22"/>
      <c r="K116" s="23"/>
      <c r="L116" s="22"/>
      <c r="M116" s="23"/>
      <c r="N116" s="22"/>
      <c r="O116" s="23"/>
      <c r="P116" s="22"/>
      <c r="Q116" s="23"/>
      <c r="R116" s="22"/>
      <c r="S116" s="23"/>
      <c r="T116" s="22"/>
    </row>
    <row r="117" spans="2:20">
      <c r="B117" s="9" t="s">
        <v>82</v>
      </c>
      <c r="C117" s="12" t="s">
        <v>83</v>
      </c>
      <c r="D117" s="22"/>
      <c r="E117" s="23"/>
      <c r="F117" s="22"/>
      <c r="G117" s="23"/>
      <c r="H117" s="22"/>
      <c r="I117" s="23"/>
      <c r="J117" s="22"/>
      <c r="K117" s="23"/>
      <c r="L117" s="22"/>
      <c r="M117" s="23"/>
      <c r="N117" s="22"/>
      <c r="O117" s="23"/>
      <c r="P117" s="22"/>
      <c r="Q117" s="23"/>
      <c r="R117" s="22"/>
      <c r="S117" s="23"/>
      <c r="T117" s="22"/>
    </row>
    <row r="118" spans="2:20">
      <c r="B118" s="9" t="s">
        <v>84</v>
      </c>
      <c r="C118" s="12" t="s">
        <v>85</v>
      </c>
      <c r="D118" s="24"/>
      <c r="E118" s="25"/>
      <c r="F118" s="24"/>
      <c r="G118" s="25"/>
      <c r="H118" s="24"/>
      <c r="I118" s="25"/>
      <c r="J118" s="24"/>
      <c r="K118" s="25"/>
      <c r="L118" s="24"/>
      <c r="M118" s="25"/>
      <c r="N118" s="24"/>
      <c r="O118" s="25"/>
      <c r="P118" s="24"/>
      <c r="Q118" s="25"/>
      <c r="R118" s="24"/>
      <c r="S118" s="25"/>
      <c r="T118" s="24"/>
    </row>
    <row r="119" spans="2:20">
      <c r="B119" s="9" t="s">
        <v>86</v>
      </c>
      <c r="C119" s="12" t="s">
        <v>342</v>
      </c>
      <c r="D119" s="22"/>
      <c r="E119" s="23"/>
      <c r="F119" s="22"/>
      <c r="G119" s="23"/>
      <c r="H119" s="22"/>
      <c r="I119" s="23"/>
      <c r="J119" s="22"/>
      <c r="K119" s="23"/>
      <c r="L119" s="22"/>
      <c r="M119" s="23"/>
      <c r="N119" s="22"/>
      <c r="O119" s="23"/>
      <c r="P119" s="22"/>
      <c r="Q119" s="23"/>
      <c r="R119" s="22"/>
      <c r="S119" s="23"/>
      <c r="T119" s="22"/>
    </row>
    <row r="120" spans="2:20">
      <c r="B120" s="9" t="s">
        <v>130</v>
      </c>
      <c r="C120" s="12" t="s">
        <v>180</v>
      </c>
      <c r="D120" s="22"/>
      <c r="E120" s="23"/>
      <c r="F120" s="22"/>
      <c r="G120" s="23"/>
      <c r="H120" s="22"/>
      <c r="I120" s="23"/>
      <c r="J120" s="22"/>
      <c r="K120" s="23"/>
      <c r="L120" s="22"/>
      <c r="M120" s="23"/>
      <c r="N120" s="22"/>
      <c r="O120" s="23"/>
      <c r="P120" s="22"/>
      <c r="Q120" s="23"/>
      <c r="R120" s="22"/>
      <c r="S120" s="23"/>
      <c r="T120" s="22"/>
    </row>
    <row r="121" spans="2:20">
      <c r="B121" s="9" t="s">
        <v>87</v>
      </c>
      <c r="C121" s="12" t="s">
        <v>88</v>
      </c>
      <c r="D121" s="22"/>
      <c r="E121" s="23"/>
      <c r="F121" s="22"/>
      <c r="G121" s="23"/>
      <c r="H121" s="22"/>
      <c r="I121" s="23"/>
      <c r="J121" s="22"/>
      <c r="K121" s="23"/>
      <c r="L121" s="22"/>
      <c r="M121" s="23"/>
      <c r="N121" s="22"/>
      <c r="O121" s="23"/>
      <c r="P121" s="22"/>
      <c r="Q121" s="23"/>
      <c r="R121" s="22"/>
      <c r="S121" s="23"/>
      <c r="T121" s="22"/>
    </row>
    <row r="122" spans="2:20">
      <c r="B122" s="9" t="s">
        <v>89</v>
      </c>
      <c r="C122" s="12" t="s">
        <v>90</v>
      </c>
      <c r="D122" s="22"/>
      <c r="E122" s="23"/>
      <c r="F122" s="22"/>
      <c r="G122" s="23"/>
      <c r="H122" s="22"/>
      <c r="I122" s="23"/>
      <c r="J122" s="22"/>
      <c r="K122" s="23"/>
      <c r="L122" s="22"/>
      <c r="M122" s="23"/>
      <c r="N122" s="22"/>
      <c r="O122" s="23"/>
      <c r="P122" s="22"/>
      <c r="Q122" s="23"/>
      <c r="R122" s="22"/>
      <c r="S122" s="23"/>
      <c r="T122" s="22"/>
    </row>
    <row r="123" spans="2:20">
      <c r="B123" s="9" t="s">
        <v>91</v>
      </c>
      <c r="C123" s="12" t="s">
        <v>92</v>
      </c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22"/>
      <c r="Q123" s="23"/>
      <c r="R123" s="22"/>
      <c r="S123" s="23"/>
      <c r="T123" s="22"/>
    </row>
    <row r="124" spans="2:20">
      <c r="B124" s="9" t="s">
        <v>93</v>
      </c>
      <c r="C124" s="12" t="s">
        <v>94</v>
      </c>
      <c r="D124" s="24"/>
      <c r="E124" s="25"/>
      <c r="F124" s="24"/>
      <c r="G124" s="25"/>
      <c r="H124" s="24"/>
      <c r="I124" s="25"/>
      <c r="J124" s="24"/>
      <c r="K124" s="25"/>
      <c r="L124" s="24"/>
      <c r="M124" s="25"/>
      <c r="N124" s="24"/>
      <c r="O124" s="25"/>
      <c r="P124" s="24"/>
      <c r="Q124" s="25"/>
      <c r="R124" s="24"/>
      <c r="S124" s="25"/>
      <c r="T124" s="24"/>
    </row>
    <row r="125" spans="2:20">
      <c r="B125" s="9" t="s">
        <v>95</v>
      </c>
      <c r="C125" s="12" t="s">
        <v>96</v>
      </c>
      <c r="D125" s="24"/>
      <c r="E125" s="25"/>
      <c r="F125" s="24"/>
      <c r="G125" s="25"/>
      <c r="H125" s="24"/>
      <c r="I125" s="25"/>
      <c r="J125" s="24"/>
      <c r="K125" s="25"/>
      <c r="L125" s="24"/>
      <c r="M125" s="25"/>
      <c r="N125" s="24"/>
      <c r="O125" s="25"/>
      <c r="P125" s="24"/>
      <c r="Q125" s="25"/>
      <c r="R125" s="24"/>
      <c r="S125" s="25"/>
      <c r="T125" s="24"/>
    </row>
    <row r="126" spans="2:20">
      <c r="B126" s="9" t="s">
        <v>97</v>
      </c>
      <c r="C126" s="12" t="s">
        <v>98</v>
      </c>
      <c r="D126" s="24"/>
      <c r="E126" s="25"/>
      <c r="F126" s="24"/>
      <c r="G126" s="25"/>
      <c r="H126" s="24"/>
      <c r="I126" s="25"/>
      <c r="J126" s="24"/>
      <c r="K126" s="25"/>
      <c r="L126" s="24"/>
      <c r="M126" s="25"/>
      <c r="N126" s="24"/>
      <c r="O126" s="25"/>
      <c r="P126" s="24"/>
      <c r="Q126" s="25"/>
      <c r="R126" s="24"/>
      <c r="S126" s="25"/>
      <c r="T126" s="24"/>
    </row>
    <row r="127" spans="2:20">
      <c r="B127" s="9" t="s">
        <v>100</v>
      </c>
      <c r="C127" s="12" t="s">
        <v>101</v>
      </c>
      <c r="D127" s="24"/>
      <c r="E127" s="25"/>
      <c r="F127" s="24"/>
      <c r="G127" s="25"/>
      <c r="H127" s="24"/>
      <c r="I127" s="25"/>
      <c r="J127" s="24"/>
      <c r="K127" s="25"/>
      <c r="L127" s="24"/>
      <c r="M127" s="25"/>
      <c r="N127" s="24"/>
      <c r="O127" s="25"/>
      <c r="P127" s="24"/>
      <c r="Q127" s="25"/>
      <c r="R127" s="24"/>
      <c r="S127" s="25"/>
      <c r="T127" s="24"/>
    </row>
    <row r="128" spans="2:20">
      <c r="B128" s="9" t="s">
        <v>102</v>
      </c>
      <c r="C128" s="12" t="s">
        <v>103</v>
      </c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  <c r="P128" s="24"/>
      <c r="Q128" s="25"/>
      <c r="R128" s="24"/>
      <c r="S128" s="25"/>
      <c r="T128" s="24"/>
    </row>
    <row r="129" spans="2:20">
      <c r="B129" s="9" t="s">
        <v>104</v>
      </c>
      <c r="C129" s="12" t="s">
        <v>105</v>
      </c>
      <c r="D129" s="24"/>
      <c r="E129" s="25"/>
      <c r="F129" s="24"/>
      <c r="G129" s="25"/>
      <c r="H129" s="24"/>
      <c r="I129" s="25"/>
      <c r="J129" s="24"/>
      <c r="K129" s="25"/>
      <c r="L129" s="24"/>
      <c r="M129" s="25"/>
      <c r="N129" s="24"/>
      <c r="O129" s="25"/>
      <c r="P129" s="24"/>
      <c r="Q129" s="25"/>
      <c r="R129" s="24"/>
      <c r="S129" s="25"/>
      <c r="T129" s="24"/>
    </row>
    <row r="130" spans="2:20">
      <c r="B130" s="9" t="s">
        <v>106</v>
      </c>
      <c r="C130" s="12" t="s">
        <v>107</v>
      </c>
      <c r="D130" s="24"/>
      <c r="E130" s="25"/>
      <c r="F130" s="24"/>
      <c r="G130" s="25"/>
      <c r="H130" s="24"/>
      <c r="I130" s="25"/>
      <c r="J130" s="24"/>
      <c r="K130" s="25"/>
      <c r="L130" s="24"/>
      <c r="M130" s="25"/>
      <c r="N130" s="24"/>
      <c r="O130" s="25"/>
      <c r="P130" s="24"/>
      <c r="Q130" s="25"/>
      <c r="R130" s="24"/>
      <c r="S130" s="25"/>
      <c r="T130" s="24"/>
    </row>
    <row r="131" spans="2:20">
      <c r="B131" s="9" t="s">
        <v>108</v>
      </c>
      <c r="C131" s="12" t="s">
        <v>173</v>
      </c>
      <c r="D131" s="24"/>
      <c r="E131" s="25"/>
      <c r="F131" s="24"/>
      <c r="G131" s="25"/>
      <c r="H131" s="24"/>
      <c r="I131" s="25"/>
      <c r="J131" s="24"/>
      <c r="K131" s="25"/>
      <c r="L131" s="24"/>
      <c r="M131" s="25"/>
      <c r="N131" s="24"/>
      <c r="O131" s="25"/>
      <c r="P131" s="24"/>
      <c r="Q131" s="25"/>
      <c r="R131" s="24"/>
      <c r="S131" s="25"/>
      <c r="T131" s="24"/>
    </row>
    <row r="132" spans="2:20">
      <c r="B132" s="9" t="s">
        <v>109</v>
      </c>
      <c r="C132" s="12" t="s">
        <v>174</v>
      </c>
      <c r="D132" s="22"/>
      <c r="E132" s="23"/>
      <c r="F132" s="22"/>
      <c r="G132" s="23"/>
      <c r="H132" s="22"/>
      <c r="I132" s="23"/>
      <c r="J132" s="22"/>
      <c r="K132" s="23"/>
      <c r="L132" s="22"/>
      <c r="M132" s="23"/>
      <c r="N132" s="22"/>
      <c r="O132" s="23"/>
      <c r="P132" s="22"/>
      <c r="Q132" s="23"/>
      <c r="R132" s="22"/>
      <c r="S132" s="23"/>
      <c r="T132" s="22"/>
    </row>
    <row r="133" spans="2:20">
      <c r="B133" s="9" t="s">
        <v>131</v>
      </c>
      <c r="C133" s="12" t="s">
        <v>176</v>
      </c>
      <c r="D133" s="22"/>
      <c r="E133" s="23"/>
      <c r="F133" s="22"/>
      <c r="G133" s="23"/>
      <c r="H133" s="22"/>
      <c r="I133" s="23"/>
      <c r="J133" s="22"/>
      <c r="K133" s="23"/>
      <c r="L133" s="22"/>
      <c r="M133" s="23"/>
      <c r="N133" s="22"/>
      <c r="O133" s="23"/>
      <c r="P133" s="22"/>
      <c r="Q133" s="23"/>
      <c r="R133" s="22"/>
      <c r="S133" s="23"/>
      <c r="T133" s="22"/>
    </row>
    <row r="134" spans="2:20">
      <c r="B134" s="9" t="s">
        <v>111</v>
      </c>
      <c r="C134" s="12" t="s">
        <v>112</v>
      </c>
      <c r="D134" s="22"/>
      <c r="E134" s="23"/>
      <c r="F134" s="22"/>
      <c r="G134" s="23"/>
      <c r="H134" s="22"/>
      <c r="I134" s="23"/>
      <c r="J134" s="22"/>
      <c r="K134" s="23"/>
      <c r="L134" s="22"/>
      <c r="M134" s="23"/>
      <c r="N134" s="22"/>
      <c r="O134" s="23"/>
      <c r="P134" s="22"/>
      <c r="Q134" s="23"/>
      <c r="R134" s="22"/>
      <c r="S134" s="23"/>
      <c r="T134" s="22"/>
    </row>
    <row r="135" spans="2:20">
      <c r="B135" s="9" t="s">
        <v>118</v>
      </c>
      <c r="C135" s="12" t="s">
        <v>119</v>
      </c>
      <c r="D135" s="22"/>
      <c r="E135" s="23"/>
      <c r="F135" s="22"/>
      <c r="G135" s="23"/>
      <c r="H135" s="22"/>
      <c r="I135" s="23"/>
      <c r="J135" s="22"/>
      <c r="K135" s="23"/>
      <c r="L135" s="22"/>
      <c r="M135" s="23"/>
      <c r="N135" s="22"/>
      <c r="O135" s="23"/>
      <c r="P135" s="22"/>
      <c r="Q135" s="23"/>
      <c r="R135" s="22"/>
      <c r="S135" s="23"/>
      <c r="T135" s="22"/>
    </row>
    <row r="136" spans="2:20">
      <c r="B136" s="9" t="s">
        <v>152</v>
      </c>
      <c r="C136" s="12" t="s">
        <v>177</v>
      </c>
      <c r="D136" s="24"/>
      <c r="E136" s="25"/>
      <c r="F136" s="24"/>
      <c r="G136" s="25"/>
      <c r="H136" s="24"/>
      <c r="I136" s="25"/>
      <c r="J136" s="24"/>
      <c r="K136" s="25"/>
      <c r="L136" s="24"/>
      <c r="M136" s="25"/>
      <c r="N136" s="24"/>
      <c r="O136" s="25"/>
      <c r="P136" s="24"/>
      <c r="Q136" s="25"/>
      <c r="R136" s="24"/>
      <c r="S136" s="25"/>
      <c r="T136" s="24"/>
    </row>
    <row r="137" spans="2:20">
      <c r="B137" s="9" t="s">
        <v>132</v>
      </c>
      <c r="C137" s="12" t="s">
        <v>120</v>
      </c>
      <c r="D137" s="24"/>
      <c r="E137" s="25"/>
      <c r="F137" s="24"/>
      <c r="G137" s="25"/>
      <c r="H137" s="24"/>
      <c r="I137" s="25"/>
      <c r="J137" s="24"/>
      <c r="K137" s="25"/>
      <c r="L137" s="24"/>
      <c r="M137" s="25"/>
      <c r="N137" s="24"/>
      <c r="O137" s="25"/>
      <c r="P137" s="24"/>
      <c r="Q137" s="25"/>
      <c r="R137" s="24"/>
      <c r="S137" s="25"/>
      <c r="T137" s="24"/>
    </row>
    <row r="138" spans="2:20">
      <c r="B138" s="9" t="s">
        <v>133</v>
      </c>
      <c r="C138" s="12" t="s">
        <v>178</v>
      </c>
      <c r="D138" s="22"/>
      <c r="E138" s="23"/>
      <c r="F138" s="22"/>
      <c r="G138" s="23"/>
      <c r="H138" s="22"/>
      <c r="I138" s="23"/>
      <c r="J138" s="22"/>
      <c r="K138" s="23"/>
      <c r="L138" s="22"/>
      <c r="M138" s="23"/>
      <c r="N138" s="22"/>
      <c r="O138" s="23"/>
      <c r="P138" s="22"/>
      <c r="Q138" s="23"/>
      <c r="R138" s="22"/>
      <c r="S138" s="23"/>
      <c r="T138" s="22"/>
    </row>
    <row r="139" spans="2:20">
      <c r="B139" s="9" t="s">
        <v>0</v>
      </c>
      <c r="C139" s="12" t="s">
        <v>134</v>
      </c>
      <c r="D139" s="22"/>
      <c r="E139" s="23"/>
      <c r="F139" s="22"/>
      <c r="G139" s="23"/>
      <c r="H139" s="22"/>
      <c r="I139" s="23"/>
      <c r="J139" s="22"/>
      <c r="K139" s="23"/>
      <c r="L139" s="22"/>
      <c r="M139" s="23"/>
      <c r="N139" s="22"/>
      <c r="O139" s="23"/>
      <c r="P139" s="22"/>
      <c r="Q139" s="23"/>
      <c r="R139" s="22"/>
      <c r="S139" s="23"/>
      <c r="T139" s="22"/>
    </row>
    <row r="140" spans="2:20">
      <c r="B140" s="9" t="s">
        <v>135</v>
      </c>
      <c r="C140" s="12" t="s">
        <v>136</v>
      </c>
      <c r="D140" s="22"/>
      <c r="E140" s="23"/>
      <c r="F140" s="22"/>
      <c r="G140" s="23"/>
      <c r="H140" s="22"/>
      <c r="I140" s="23"/>
      <c r="J140" s="22"/>
      <c r="K140" s="23"/>
      <c r="L140" s="22"/>
      <c r="M140" s="23"/>
      <c r="N140" s="22"/>
      <c r="O140" s="23"/>
      <c r="P140" s="22"/>
      <c r="Q140" s="23"/>
      <c r="R140" s="22"/>
      <c r="S140" s="23"/>
      <c r="T140" s="22"/>
    </row>
    <row r="141" spans="2:20">
      <c r="B141" s="9" t="s">
        <v>137</v>
      </c>
      <c r="C141" s="12" t="s">
        <v>138</v>
      </c>
      <c r="D141" s="22"/>
      <c r="E141" s="23"/>
      <c r="F141" s="22"/>
      <c r="G141" s="23"/>
      <c r="H141" s="22"/>
      <c r="I141" s="23"/>
      <c r="J141" s="22"/>
      <c r="K141" s="23"/>
      <c r="L141" s="22"/>
      <c r="M141" s="23"/>
      <c r="N141" s="22"/>
      <c r="O141" s="23"/>
      <c r="P141" s="22"/>
      <c r="Q141" s="23"/>
      <c r="R141" s="22"/>
      <c r="S141" s="23"/>
      <c r="T141" s="22"/>
    </row>
    <row r="142" spans="2:20">
      <c r="B142" s="9" t="s">
        <v>116</v>
      </c>
      <c r="C142" s="12" t="s">
        <v>139</v>
      </c>
    </row>
    <row r="143" spans="2:20">
      <c r="B143" s="9" t="s">
        <v>113</v>
      </c>
      <c r="C143" s="12" t="s">
        <v>140</v>
      </c>
    </row>
    <row r="144" spans="2:20">
      <c r="B144" s="9" t="s">
        <v>141</v>
      </c>
      <c r="C144" s="12" t="s">
        <v>142</v>
      </c>
    </row>
    <row r="145" spans="2:22">
      <c r="B145" s="9" t="s">
        <v>121</v>
      </c>
      <c r="C145" s="12" t="s">
        <v>143</v>
      </c>
    </row>
    <row r="146" spans="2:22">
      <c r="B146" s="9" t="s">
        <v>144</v>
      </c>
      <c r="C146" s="12" t="s">
        <v>145</v>
      </c>
    </row>
    <row r="147" spans="2:22">
      <c r="B147" s="9" t="s">
        <v>122</v>
      </c>
      <c r="C147" s="12" t="s">
        <v>146</v>
      </c>
    </row>
    <row r="148" spans="2:22">
      <c r="B148" s="9" t="s">
        <v>123</v>
      </c>
      <c r="C148" s="12" t="s">
        <v>147</v>
      </c>
    </row>
    <row r="149" spans="2:22">
      <c r="B149" s="9" t="s">
        <v>329</v>
      </c>
      <c r="C149" s="12" t="s">
        <v>148</v>
      </c>
    </row>
    <row r="150" spans="2:22">
      <c r="B150" s="9" t="s">
        <v>125</v>
      </c>
      <c r="C150" s="12" t="s">
        <v>149</v>
      </c>
    </row>
    <row r="151" spans="2:22">
      <c r="B151" s="11" t="s">
        <v>266</v>
      </c>
      <c r="C151" s="11" t="s">
        <v>267</v>
      </c>
    </row>
    <row r="154" spans="2:22">
      <c r="B154" s="514" t="s">
        <v>256</v>
      </c>
      <c r="C154" s="514"/>
      <c r="D154" s="514"/>
      <c r="E154" s="514"/>
      <c r="F154" s="514"/>
      <c r="G154" s="514"/>
      <c r="H154" s="514"/>
      <c r="I154" s="514"/>
      <c r="J154" s="514"/>
      <c r="K154" s="514"/>
      <c r="L154" s="514"/>
      <c r="M154" s="514"/>
      <c r="N154" s="514"/>
      <c r="O154" s="514"/>
      <c r="P154" s="514"/>
      <c r="Q154" s="514"/>
      <c r="R154" s="514"/>
      <c r="S154" s="514"/>
      <c r="T154" s="514"/>
    </row>
    <row r="158" spans="2:22">
      <c r="C158" s="11">
        <v>2006</v>
      </c>
      <c r="E158" s="11">
        <v>2007</v>
      </c>
      <c r="G158" s="11">
        <v>2008</v>
      </c>
      <c r="I158" s="11">
        <v>2009</v>
      </c>
      <c r="K158" s="11">
        <v>2010</v>
      </c>
      <c r="M158" s="11">
        <v>2011</v>
      </c>
      <c r="O158" s="11">
        <v>2012</v>
      </c>
      <c r="Q158" s="11">
        <v>2013</v>
      </c>
      <c r="S158" s="11">
        <v>2014</v>
      </c>
      <c r="U158" s="11">
        <v>2015</v>
      </c>
    </row>
    <row r="159" spans="2:22">
      <c r="B159" s="11" t="s">
        <v>259</v>
      </c>
      <c r="C159" s="11" t="s">
        <v>263</v>
      </c>
      <c r="D159" s="11" t="s">
        <v>153</v>
      </c>
      <c r="E159" s="11" t="s">
        <v>263</v>
      </c>
      <c r="F159" s="11" t="s">
        <v>153</v>
      </c>
      <c r="G159" s="11" t="s">
        <v>263</v>
      </c>
      <c r="H159" s="11" t="s">
        <v>153</v>
      </c>
      <c r="I159" s="11" t="s">
        <v>263</v>
      </c>
      <c r="J159" s="11" t="s">
        <v>153</v>
      </c>
      <c r="K159" s="11" t="s">
        <v>263</v>
      </c>
      <c r="L159" s="11" t="s">
        <v>153</v>
      </c>
      <c r="M159" s="11" t="s">
        <v>263</v>
      </c>
      <c r="N159" s="11" t="s">
        <v>153</v>
      </c>
      <c r="O159" s="11" t="s">
        <v>263</v>
      </c>
      <c r="P159" s="11" t="s">
        <v>153</v>
      </c>
      <c r="Q159" s="11" t="s">
        <v>263</v>
      </c>
      <c r="R159" s="11" t="s">
        <v>153</v>
      </c>
      <c r="S159" s="11" t="s">
        <v>263</v>
      </c>
      <c r="T159" s="11" t="s">
        <v>153</v>
      </c>
      <c r="U159" s="11" t="s">
        <v>263</v>
      </c>
      <c r="V159" s="1" t="s">
        <v>153</v>
      </c>
    </row>
    <row r="160" spans="2:22">
      <c r="B160" s="11" t="s">
        <v>258</v>
      </c>
      <c r="C160" s="11" t="s">
        <v>263</v>
      </c>
      <c r="D160" s="11" t="s">
        <v>257</v>
      </c>
      <c r="E160" s="11" t="s">
        <v>263</v>
      </c>
      <c r="F160" s="11" t="s">
        <v>257</v>
      </c>
      <c r="G160" s="11" t="s">
        <v>263</v>
      </c>
      <c r="H160" s="11" t="s">
        <v>257</v>
      </c>
      <c r="I160" s="11" t="s">
        <v>263</v>
      </c>
      <c r="J160" s="11" t="s">
        <v>257</v>
      </c>
      <c r="K160" s="11" t="s">
        <v>263</v>
      </c>
      <c r="L160" s="11" t="s">
        <v>257</v>
      </c>
      <c r="M160" s="11" t="s">
        <v>263</v>
      </c>
      <c r="N160" s="11" t="s">
        <v>257</v>
      </c>
      <c r="O160" s="11" t="s">
        <v>263</v>
      </c>
      <c r="P160" s="11" t="s">
        <v>257</v>
      </c>
      <c r="Q160" s="11" t="s">
        <v>263</v>
      </c>
      <c r="R160" s="11" t="s">
        <v>257</v>
      </c>
      <c r="S160" s="11" t="s">
        <v>263</v>
      </c>
      <c r="T160" s="11" t="s">
        <v>257</v>
      </c>
      <c r="U160" s="11" t="s">
        <v>263</v>
      </c>
      <c r="V160" s="1" t="s">
        <v>257</v>
      </c>
    </row>
    <row r="161" spans="2:3">
      <c r="B161" s="11" t="s">
        <v>261</v>
      </c>
      <c r="C161" s="11" t="s">
        <v>260</v>
      </c>
    </row>
    <row r="162" spans="2:3">
      <c r="B162" s="11" t="s">
        <v>128</v>
      </c>
      <c r="C162" s="11" t="s">
        <v>1</v>
      </c>
    </row>
    <row r="163" spans="2:3">
      <c r="B163" s="11" t="s">
        <v>2</v>
      </c>
      <c r="C163" s="11" t="s">
        <v>167</v>
      </c>
    </row>
    <row r="164" spans="2:3">
      <c r="B164" s="11" t="s">
        <v>3</v>
      </c>
      <c r="C164" s="11" t="s">
        <v>4</v>
      </c>
    </row>
    <row r="165" spans="2:3">
      <c r="B165" s="11" t="s">
        <v>5</v>
      </c>
      <c r="C165" s="11" t="s">
        <v>6</v>
      </c>
    </row>
    <row r="166" spans="2:3">
      <c r="B166" s="11" t="s">
        <v>7</v>
      </c>
      <c r="C166" s="11" t="s">
        <v>8</v>
      </c>
    </row>
    <row r="167" spans="2:3">
      <c r="B167" s="11" t="s">
        <v>9</v>
      </c>
      <c r="C167" s="11" t="s">
        <v>10</v>
      </c>
    </row>
    <row r="168" spans="2:3">
      <c r="B168" s="11" t="s">
        <v>11</v>
      </c>
      <c r="C168" s="11" t="s">
        <v>264</v>
      </c>
    </row>
    <row r="169" spans="2:3">
      <c r="B169" s="11" t="s">
        <v>12</v>
      </c>
      <c r="C169" s="11" t="s">
        <v>13</v>
      </c>
    </row>
    <row r="170" spans="2:3">
      <c r="B170" s="11" t="s">
        <v>14</v>
      </c>
      <c r="C170" s="11" t="s">
        <v>15</v>
      </c>
    </row>
    <row r="171" spans="2:3">
      <c r="B171" s="11" t="s">
        <v>16</v>
      </c>
      <c r="C171" s="11" t="s">
        <v>18</v>
      </c>
    </row>
    <row r="172" spans="2:3">
      <c r="B172" s="11" t="s">
        <v>19</v>
      </c>
      <c r="C172" s="11" t="s">
        <v>20</v>
      </c>
    </row>
    <row r="173" spans="2:3">
      <c r="B173" s="11" t="s">
        <v>21</v>
      </c>
      <c r="C173" s="11" t="s">
        <v>22</v>
      </c>
    </row>
    <row r="174" spans="2:3">
      <c r="B174" s="11" t="s">
        <v>23</v>
      </c>
      <c r="C174" s="11" t="s">
        <v>24</v>
      </c>
    </row>
    <row r="175" spans="2:3">
      <c r="B175" s="11" t="s">
        <v>25</v>
      </c>
      <c r="C175" s="11" t="s">
        <v>26</v>
      </c>
    </row>
    <row r="176" spans="2:3">
      <c r="B176" s="11" t="s">
        <v>27</v>
      </c>
      <c r="C176" s="11" t="s">
        <v>28</v>
      </c>
    </row>
    <row r="177" spans="2:3">
      <c r="B177" s="11" t="s">
        <v>29</v>
      </c>
      <c r="C177" s="11" t="s">
        <v>30</v>
      </c>
    </row>
    <row r="178" spans="2:3">
      <c r="B178" s="11" t="s">
        <v>31</v>
      </c>
      <c r="C178" s="11" t="s">
        <v>175</v>
      </c>
    </row>
    <row r="179" spans="2:3">
      <c r="B179" s="11" t="s">
        <v>32</v>
      </c>
      <c r="C179" s="11" t="s">
        <v>33</v>
      </c>
    </row>
    <row r="180" spans="2:3">
      <c r="B180" s="11" t="s">
        <v>34</v>
      </c>
      <c r="C180" s="11" t="s">
        <v>268</v>
      </c>
    </row>
    <row r="181" spans="2:3">
      <c r="B181" s="11" t="s">
        <v>36</v>
      </c>
      <c r="C181" s="11" t="s">
        <v>273</v>
      </c>
    </row>
    <row r="182" spans="2:3">
      <c r="B182" s="11" t="s">
        <v>37</v>
      </c>
      <c r="C182" s="11" t="s">
        <v>38</v>
      </c>
    </row>
    <row r="183" spans="2:3">
      <c r="B183" s="11" t="s">
        <v>39</v>
      </c>
      <c r="C183" s="11" t="s">
        <v>168</v>
      </c>
    </row>
    <row r="184" spans="2:3">
      <c r="B184" s="11" t="s">
        <v>40</v>
      </c>
      <c r="C184" s="11" t="s">
        <v>41</v>
      </c>
    </row>
    <row r="185" spans="2:3">
      <c r="B185" s="11" t="s">
        <v>42</v>
      </c>
      <c r="C185" s="11" t="s">
        <v>43</v>
      </c>
    </row>
    <row r="186" spans="2:3">
      <c r="B186" s="11" t="s">
        <v>162</v>
      </c>
      <c r="C186" s="11" t="s">
        <v>278</v>
      </c>
    </row>
    <row r="187" spans="2:3">
      <c r="B187" s="11" t="s">
        <v>44</v>
      </c>
      <c r="C187" s="11" t="s">
        <v>277</v>
      </c>
    </row>
    <row r="188" spans="2:3">
      <c r="B188" s="11" t="s">
        <v>45</v>
      </c>
      <c r="C188" s="11" t="s">
        <v>46</v>
      </c>
    </row>
    <row r="189" spans="2:3">
      <c r="B189" s="11" t="s">
        <v>47</v>
      </c>
      <c r="C189" s="11" t="s">
        <v>48</v>
      </c>
    </row>
    <row r="190" spans="2:3">
      <c r="B190" s="11" t="s">
        <v>49</v>
      </c>
      <c r="C190" s="11" t="s">
        <v>269</v>
      </c>
    </row>
    <row r="191" spans="2:3">
      <c r="B191" s="11" t="s">
        <v>50</v>
      </c>
      <c r="C191" s="11" t="s">
        <v>169</v>
      </c>
    </row>
    <row r="192" spans="2:3">
      <c r="B192" s="11" t="s">
        <v>51</v>
      </c>
      <c r="C192" s="11" t="s">
        <v>52</v>
      </c>
    </row>
    <row r="193" spans="2:3">
      <c r="B193" s="11" t="s">
        <v>53</v>
      </c>
      <c r="C193" s="11" t="s">
        <v>54</v>
      </c>
    </row>
    <row r="194" spans="2:3">
      <c r="B194" s="11" t="s">
        <v>55</v>
      </c>
      <c r="C194" s="11" t="s">
        <v>56</v>
      </c>
    </row>
    <row r="195" spans="2:3">
      <c r="B195" s="11" t="s">
        <v>57</v>
      </c>
      <c r="C195" s="11" t="s">
        <v>58</v>
      </c>
    </row>
    <row r="196" spans="2:3">
      <c r="B196" s="11" t="s">
        <v>59</v>
      </c>
      <c r="C196" s="11" t="s">
        <v>60</v>
      </c>
    </row>
    <row r="197" spans="2:3">
      <c r="B197" s="11" t="s">
        <v>53</v>
      </c>
      <c r="C197" s="11" t="s">
        <v>54</v>
      </c>
    </row>
    <row r="198" spans="2:3">
      <c r="B198" s="7" t="s">
        <v>409</v>
      </c>
      <c r="C198" s="11" t="s">
        <v>497</v>
      </c>
    </row>
    <row r="199" spans="2:3">
      <c r="B199" s="11" t="s">
        <v>123</v>
      </c>
      <c r="C199" s="11" t="s">
        <v>147</v>
      </c>
    </row>
    <row r="200" spans="2:3">
      <c r="B200" s="11" t="s">
        <v>62</v>
      </c>
      <c r="C200" s="11" t="s">
        <v>340</v>
      </c>
    </row>
    <row r="201" spans="2:3">
      <c r="B201" s="11" t="s">
        <v>262</v>
      </c>
      <c r="C201" s="11" t="s">
        <v>270</v>
      </c>
    </row>
    <row r="202" spans="2:3">
      <c r="B202" s="11" t="s">
        <v>63</v>
      </c>
      <c r="C202" s="11" t="s">
        <v>341</v>
      </c>
    </row>
    <row r="203" spans="2:3">
      <c r="B203" s="11" t="s">
        <v>64</v>
      </c>
      <c r="C203" s="11" t="s">
        <v>65</v>
      </c>
    </row>
    <row r="204" spans="2:3">
      <c r="B204" s="11" t="s">
        <v>66</v>
      </c>
      <c r="C204" s="11" t="s">
        <v>67</v>
      </c>
    </row>
    <row r="205" spans="2:3">
      <c r="B205" s="11" t="s">
        <v>68</v>
      </c>
      <c r="C205" s="11" t="s">
        <v>69</v>
      </c>
    </row>
    <row r="206" spans="2:3">
      <c r="B206" s="11" t="s">
        <v>70</v>
      </c>
      <c r="C206" s="11" t="s">
        <v>71</v>
      </c>
    </row>
    <row r="207" spans="2:3">
      <c r="B207" s="11" t="s">
        <v>72</v>
      </c>
      <c r="C207" s="11" t="s">
        <v>73</v>
      </c>
    </row>
    <row r="208" spans="2:3">
      <c r="B208" s="11" t="s">
        <v>74</v>
      </c>
      <c r="C208" s="11" t="s">
        <v>271</v>
      </c>
    </row>
    <row r="209" spans="2:3">
      <c r="B209" s="11" t="s">
        <v>75</v>
      </c>
      <c r="C209" s="11" t="s">
        <v>76</v>
      </c>
    </row>
    <row r="210" spans="2:3">
      <c r="B210" s="11" t="s">
        <v>77</v>
      </c>
      <c r="C210" s="11" t="s">
        <v>78</v>
      </c>
    </row>
    <row r="211" spans="2:3">
      <c r="B211" s="11" t="s">
        <v>79</v>
      </c>
      <c r="C211" s="11" t="s">
        <v>272</v>
      </c>
    </row>
    <row r="212" spans="2:3">
      <c r="B212" s="11" t="s">
        <v>80</v>
      </c>
      <c r="C212" s="11" t="s">
        <v>81</v>
      </c>
    </row>
    <row r="213" spans="2:3">
      <c r="B213" s="11" t="s">
        <v>82</v>
      </c>
      <c r="C213" s="11" t="s">
        <v>83</v>
      </c>
    </row>
    <row r="214" spans="2:3">
      <c r="B214" s="11" t="s">
        <v>84</v>
      </c>
      <c r="C214" s="11" t="s">
        <v>85</v>
      </c>
    </row>
    <row r="215" spans="2:3">
      <c r="B215" s="11" t="s">
        <v>86</v>
      </c>
      <c r="C215" s="11" t="s">
        <v>342</v>
      </c>
    </row>
    <row r="216" spans="2:3">
      <c r="B216" s="11" t="s">
        <v>87</v>
      </c>
      <c r="C216" s="11" t="s">
        <v>88</v>
      </c>
    </row>
    <row r="217" spans="2:3">
      <c r="B217" s="11" t="s">
        <v>89</v>
      </c>
      <c r="C217" s="11" t="s">
        <v>90</v>
      </c>
    </row>
    <row r="218" spans="2:3">
      <c r="B218" s="11" t="s">
        <v>91</v>
      </c>
      <c r="C218" s="11" t="s">
        <v>92</v>
      </c>
    </row>
    <row r="219" spans="2:3">
      <c r="B219" s="11" t="s">
        <v>93</v>
      </c>
      <c r="C219" s="11" t="s">
        <v>94</v>
      </c>
    </row>
    <row r="220" spans="2:3">
      <c r="B220" s="11" t="s">
        <v>95</v>
      </c>
      <c r="C220" s="11" t="s">
        <v>96</v>
      </c>
    </row>
    <row r="221" spans="2:3">
      <c r="B221" s="11" t="s">
        <v>97</v>
      </c>
      <c r="C221" s="11" t="s">
        <v>98</v>
      </c>
    </row>
    <row r="222" spans="2:3">
      <c r="B222" s="11" t="s">
        <v>99</v>
      </c>
      <c r="C222" s="11" t="s">
        <v>101</v>
      </c>
    </row>
    <row r="223" spans="2:3">
      <c r="B223" s="11" t="s">
        <v>102</v>
      </c>
      <c r="C223" s="11" t="s">
        <v>103</v>
      </c>
    </row>
    <row r="224" spans="2:3">
      <c r="B224" s="11" t="s">
        <v>104</v>
      </c>
      <c r="C224" s="11" t="s">
        <v>105</v>
      </c>
    </row>
    <row r="225" spans="2:3">
      <c r="B225" s="11" t="s">
        <v>106</v>
      </c>
      <c r="C225" s="11" t="s">
        <v>107</v>
      </c>
    </row>
    <row r="226" spans="2:3">
      <c r="B226" s="11" t="s">
        <v>108</v>
      </c>
      <c r="C226" s="12" t="s">
        <v>173</v>
      </c>
    </row>
    <row r="227" spans="2:3">
      <c r="B227" s="11" t="s">
        <v>109</v>
      </c>
      <c r="C227" s="12" t="s">
        <v>174</v>
      </c>
    </row>
    <row r="228" spans="2:3">
      <c r="B228" s="11" t="s">
        <v>163</v>
      </c>
      <c r="C228" s="11" t="s">
        <v>343</v>
      </c>
    </row>
    <row r="229" spans="2:3">
      <c r="B229" s="11" t="s">
        <v>110</v>
      </c>
      <c r="C229" s="12" t="s">
        <v>176</v>
      </c>
    </row>
    <row r="230" spans="2:3">
      <c r="B230" s="11" t="s">
        <v>111</v>
      </c>
      <c r="C230" s="11" t="s">
        <v>112</v>
      </c>
    </row>
    <row r="231" spans="2:3">
      <c r="B231" s="11" t="s">
        <v>113</v>
      </c>
      <c r="C231" s="11" t="s">
        <v>114</v>
      </c>
    </row>
    <row r="232" spans="2:3">
      <c r="B232" s="11" t="s">
        <v>115</v>
      </c>
      <c r="C232" s="11" t="s">
        <v>117</v>
      </c>
    </row>
    <row r="233" spans="2:3">
      <c r="B233" s="11" t="s">
        <v>118</v>
      </c>
      <c r="C233" s="11" t="s">
        <v>119</v>
      </c>
    </row>
    <row r="234" spans="2:3">
      <c r="B234" s="11" t="s">
        <v>152</v>
      </c>
      <c r="C234" s="12" t="s">
        <v>177</v>
      </c>
    </row>
    <row r="235" spans="2:3">
      <c r="B235" s="11" t="s">
        <v>265</v>
      </c>
      <c r="C235" s="11" t="s">
        <v>287</v>
      </c>
    </row>
    <row r="236" spans="2:3">
      <c r="B236" s="11" t="s">
        <v>133</v>
      </c>
      <c r="C236" s="12" t="s">
        <v>178</v>
      </c>
    </row>
    <row r="237" spans="2:3">
      <c r="B237" s="11" t="s">
        <v>0</v>
      </c>
      <c r="C237" s="12" t="s">
        <v>134</v>
      </c>
    </row>
    <row r="238" spans="2:3">
      <c r="B238" s="11" t="s">
        <v>158</v>
      </c>
      <c r="C238" s="12" t="s">
        <v>136</v>
      </c>
    </row>
    <row r="239" spans="2:3">
      <c r="B239" s="11" t="s">
        <v>159</v>
      </c>
      <c r="C239" s="12" t="s">
        <v>138</v>
      </c>
    </row>
    <row r="240" spans="2:3">
      <c r="B240" s="11" t="s">
        <v>160</v>
      </c>
      <c r="C240" s="12" t="s">
        <v>139</v>
      </c>
    </row>
    <row r="241" spans="2:21">
      <c r="B241" s="11" t="s">
        <v>113</v>
      </c>
      <c r="C241" s="12" t="s">
        <v>140</v>
      </c>
    </row>
    <row r="242" spans="2:21">
      <c r="B242" s="11" t="s">
        <v>141</v>
      </c>
      <c r="C242" s="12" t="s">
        <v>142</v>
      </c>
    </row>
    <row r="243" spans="2:21">
      <c r="B243" s="11" t="s">
        <v>121</v>
      </c>
      <c r="C243" s="12" t="s">
        <v>143</v>
      </c>
    </row>
    <row r="244" spans="2:21">
      <c r="B244" s="11" t="s">
        <v>144</v>
      </c>
      <c r="C244" s="12" t="s">
        <v>145</v>
      </c>
    </row>
    <row r="245" spans="2:21">
      <c r="B245" s="11" t="s">
        <v>122</v>
      </c>
      <c r="C245" s="12" t="s">
        <v>146</v>
      </c>
    </row>
    <row r="246" spans="2:21">
      <c r="B246" s="11" t="s">
        <v>124</v>
      </c>
      <c r="C246" s="12" t="s">
        <v>148</v>
      </c>
    </row>
    <row r="247" spans="2:21">
      <c r="B247" s="11" t="s">
        <v>123</v>
      </c>
      <c r="C247" s="5" t="s">
        <v>147</v>
      </c>
    </row>
    <row r="248" spans="2:21">
      <c r="B248" s="11" t="s">
        <v>164</v>
      </c>
      <c r="C248" s="5" t="s">
        <v>275</v>
      </c>
    </row>
    <row r="249" spans="2:21">
      <c r="B249" s="11" t="s">
        <v>165</v>
      </c>
      <c r="C249" s="5" t="s">
        <v>276</v>
      </c>
    </row>
    <row r="250" spans="2:21">
      <c r="B250" s="11" t="s">
        <v>266</v>
      </c>
      <c r="C250" s="11" t="s">
        <v>274</v>
      </c>
    </row>
    <row r="253" spans="2:21">
      <c r="B253" s="514" t="s">
        <v>279</v>
      </c>
      <c r="C253" s="514"/>
      <c r="D253" s="514"/>
      <c r="E253" s="514"/>
      <c r="F253" s="514"/>
      <c r="G253" s="514"/>
      <c r="H253" s="514"/>
      <c r="I253" s="514"/>
      <c r="J253" s="514"/>
      <c r="K253" s="514"/>
      <c r="L253" s="514"/>
      <c r="M253" s="514"/>
      <c r="N253" s="514"/>
      <c r="O253" s="514"/>
      <c r="P253" s="514"/>
      <c r="Q253" s="514"/>
      <c r="R253" s="514"/>
      <c r="S253" s="514"/>
      <c r="T253" s="514"/>
    </row>
    <row r="256" spans="2:21">
      <c r="C256" s="11">
        <v>2006</v>
      </c>
      <c r="E256" s="11">
        <v>2007</v>
      </c>
      <c r="G256" s="11">
        <v>2008</v>
      </c>
      <c r="I256" s="11">
        <v>2009</v>
      </c>
      <c r="K256" s="11">
        <v>2010</v>
      </c>
      <c r="M256" s="11">
        <v>2011</v>
      </c>
      <c r="O256" s="11">
        <v>2012</v>
      </c>
      <c r="Q256" s="11">
        <v>2013</v>
      </c>
      <c r="S256" s="11">
        <v>2014</v>
      </c>
      <c r="U256" s="11">
        <v>2015</v>
      </c>
    </row>
    <row r="257" spans="2:22">
      <c r="B257" s="11" t="s">
        <v>235</v>
      </c>
      <c r="C257" s="11" t="s">
        <v>263</v>
      </c>
      <c r="D257" s="11" t="s">
        <v>153</v>
      </c>
      <c r="E257" s="11" t="s">
        <v>263</v>
      </c>
      <c r="F257" s="11" t="s">
        <v>153</v>
      </c>
      <c r="G257" s="11" t="s">
        <v>263</v>
      </c>
      <c r="H257" s="11" t="s">
        <v>153</v>
      </c>
      <c r="I257" s="11" t="s">
        <v>263</v>
      </c>
      <c r="J257" s="11" t="s">
        <v>153</v>
      </c>
      <c r="K257" s="11" t="s">
        <v>263</v>
      </c>
      <c r="L257" s="11" t="s">
        <v>153</v>
      </c>
      <c r="M257" s="11" t="s">
        <v>263</v>
      </c>
      <c r="N257" s="11" t="s">
        <v>153</v>
      </c>
      <c r="O257" s="11" t="s">
        <v>263</v>
      </c>
      <c r="P257" s="11" t="s">
        <v>153</v>
      </c>
      <c r="Q257" s="11" t="s">
        <v>263</v>
      </c>
      <c r="R257" s="11" t="s">
        <v>153</v>
      </c>
      <c r="S257" s="11" t="s">
        <v>263</v>
      </c>
      <c r="T257" s="11" t="s">
        <v>153</v>
      </c>
      <c r="U257" s="11" t="s">
        <v>263</v>
      </c>
      <c r="V257" s="1" t="s">
        <v>153</v>
      </c>
    </row>
    <row r="258" spans="2:22">
      <c r="B258" s="11" t="s">
        <v>192</v>
      </c>
      <c r="C258" s="11" t="s">
        <v>263</v>
      </c>
      <c r="D258" s="11" t="s">
        <v>257</v>
      </c>
      <c r="E258" s="11" t="s">
        <v>263</v>
      </c>
      <c r="F258" s="11" t="s">
        <v>257</v>
      </c>
      <c r="G258" s="11" t="s">
        <v>263</v>
      </c>
      <c r="H258" s="11" t="s">
        <v>257</v>
      </c>
      <c r="I258" s="11" t="s">
        <v>263</v>
      </c>
      <c r="J258" s="11" t="s">
        <v>257</v>
      </c>
      <c r="K258" s="11" t="s">
        <v>263</v>
      </c>
      <c r="L258" s="11" t="s">
        <v>257</v>
      </c>
      <c r="M258" s="11" t="s">
        <v>263</v>
      </c>
      <c r="N258" s="11" t="s">
        <v>257</v>
      </c>
      <c r="O258" s="11" t="s">
        <v>263</v>
      </c>
      <c r="P258" s="11" t="s">
        <v>257</v>
      </c>
      <c r="Q258" s="11" t="s">
        <v>263</v>
      </c>
      <c r="R258" s="11" t="s">
        <v>257</v>
      </c>
      <c r="S258" s="11" t="s">
        <v>263</v>
      </c>
      <c r="T258" s="11" t="s">
        <v>257</v>
      </c>
      <c r="U258" s="11" t="s">
        <v>263</v>
      </c>
      <c r="V258" s="1" t="s">
        <v>257</v>
      </c>
    </row>
    <row r="259" spans="2:22">
      <c r="B259" s="11" t="s">
        <v>128</v>
      </c>
      <c r="C259" s="11" t="s">
        <v>1</v>
      </c>
    </row>
    <row r="260" spans="2:22">
      <c r="B260" s="11" t="s">
        <v>2</v>
      </c>
      <c r="C260" s="11" t="s">
        <v>167</v>
      </c>
    </row>
    <row r="261" spans="2:22">
      <c r="B261" s="11" t="s">
        <v>3</v>
      </c>
      <c r="C261" s="11" t="s">
        <v>4</v>
      </c>
    </row>
    <row r="262" spans="2:22">
      <c r="B262" s="11" t="s">
        <v>5</v>
      </c>
      <c r="C262" s="11" t="s">
        <v>6</v>
      </c>
    </row>
    <row r="263" spans="2:22">
      <c r="B263" s="11" t="s">
        <v>7</v>
      </c>
      <c r="C263" s="11" t="s">
        <v>8</v>
      </c>
    </row>
    <row r="264" spans="2:22">
      <c r="B264" s="11" t="s">
        <v>9</v>
      </c>
      <c r="C264" s="11" t="s">
        <v>10</v>
      </c>
    </row>
    <row r="265" spans="2:22">
      <c r="B265" s="11" t="s">
        <v>12</v>
      </c>
      <c r="C265" s="11" t="s">
        <v>13</v>
      </c>
    </row>
    <row r="266" spans="2:22">
      <c r="B266" s="11" t="s">
        <v>14</v>
      </c>
      <c r="C266" s="11" t="s">
        <v>15</v>
      </c>
    </row>
    <row r="267" spans="2:22">
      <c r="B267" s="11" t="s">
        <v>11</v>
      </c>
      <c r="C267" s="11" t="s">
        <v>282</v>
      </c>
    </row>
    <row r="268" spans="2:22">
      <c r="B268" s="11" t="s">
        <v>16</v>
      </c>
      <c r="C268" s="11" t="s">
        <v>18</v>
      </c>
    </row>
    <row r="269" spans="2:22">
      <c r="B269" s="11" t="s">
        <v>19</v>
      </c>
      <c r="C269" s="11" t="s">
        <v>20</v>
      </c>
    </row>
    <row r="270" spans="2:22">
      <c r="B270" s="11" t="s">
        <v>21</v>
      </c>
      <c r="C270" s="11" t="s">
        <v>22</v>
      </c>
    </row>
    <row r="271" spans="2:22">
      <c r="B271" s="11" t="s">
        <v>23</v>
      </c>
      <c r="C271" s="11" t="s">
        <v>24</v>
      </c>
    </row>
    <row r="272" spans="2:22">
      <c r="B272" s="11" t="s">
        <v>25</v>
      </c>
      <c r="C272" s="11" t="s">
        <v>26</v>
      </c>
    </row>
    <row r="273" spans="2:3">
      <c r="B273" s="11" t="s">
        <v>27</v>
      </c>
      <c r="C273" s="11" t="s">
        <v>28</v>
      </c>
    </row>
    <row r="274" spans="2:3">
      <c r="B274" s="11" t="s">
        <v>29</v>
      </c>
      <c r="C274" s="11" t="s">
        <v>30</v>
      </c>
    </row>
    <row r="275" spans="2:3">
      <c r="B275" s="11" t="s">
        <v>39</v>
      </c>
      <c r="C275" s="11" t="s">
        <v>168</v>
      </c>
    </row>
    <row r="276" spans="2:3">
      <c r="B276" s="11" t="s">
        <v>53</v>
      </c>
      <c r="C276" s="11" t="s">
        <v>54</v>
      </c>
    </row>
    <row r="277" spans="2:3">
      <c r="B277" s="7" t="s">
        <v>255</v>
      </c>
      <c r="C277" s="11" t="s">
        <v>61</v>
      </c>
    </row>
    <row r="278" spans="2:3">
      <c r="B278" s="11" t="s">
        <v>235</v>
      </c>
      <c r="C278" s="11" t="s">
        <v>283</v>
      </c>
    </row>
    <row r="279" spans="2:3">
      <c r="B279" s="11" t="s">
        <v>280</v>
      </c>
      <c r="C279" s="11" t="s">
        <v>284</v>
      </c>
    </row>
    <row r="280" spans="2:3">
      <c r="B280" s="11" t="s">
        <v>63</v>
      </c>
      <c r="C280" s="11" t="s">
        <v>341</v>
      </c>
    </row>
    <row r="281" spans="2:3">
      <c r="B281" s="11" t="s">
        <v>64</v>
      </c>
      <c r="C281" s="11" t="s">
        <v>65</v>
      </c>
    </row>
    <row r="282" spans="2:3">
      <c r="B282" s="11" t="s">
        <v>66</v>
      </c>
      <c r="C282" s="11" t="s">
        <v>67</v>
      </c>
    </row>
    <row r="283" spans="2:3">
      <c r="B283" s="11" t="s">
        <v>68</v>
      </c>
      <c r="C283" s="11" t="s">
        <v>69</v>
      </c>
    </row>
    <row r="284" spans="2:3">
      <c r="B284" s="11" t="s">
        <v>70</v>
      </c>
      <c r="C284" s="11" t="s">
        <v>71</v>
      </c>
    </row>
    <row r="285" spans="2:3">
      <c r="B285" s="11" t="s">
        <v>72</v>
      </c>
      <c r="C285" s="11" t="s">
        <v>73</v>
      </c>
    </row>
    <row r="286" spans="2:3">
      <c r="B286" s="11" t="s">
        <v>154</v>
      </c>
      <c r="C286" s="11" t="s">
        <v>271</v>
      </c>
    </row>
    <row r="287" spans="2:3">
      <c r="B287" s="11" t="s">
        <v>75</v>
      </c>
      <c r="C287" s="11" t="s">
        <v>76</v>
      </c>
    </row>
    <row r="288" spans="2:3">
      <c r="B288" s="11" t="s">
        <v>77</v>
      </c>
      <c r="C288" s="11" t="s">
        <v>78</v>
      </c>
    </row>
    <row r="289" spans="2:3">
      <c r="B289" s="11" t="s">
        <v>79</v>
      </c>
      <c r="C289" s="11" t="s">
        <v>272</v>
      </c>
    </row>
    <row r="290" spans="2:3">
      <c r="B290" s="11" t="s">
        <v>80</v>
      </c>
      <c r="C290" s="11" t="s">
        <v>81</v>
      </c>
    </row>
    <row r="291" spans="2:3">
      <c r="B291" s="11" t="s">
        <v>82</v>
      </c>
      <c r="C291" s="11" t="s">
        <v>83</v>
      </c>
    </row>
    <row r="292" spans="2:3">
      <c r="B292" s="11" t="s">
        <v>84</v>
      </c>
      <c r="C292" s="11" t="s">
        <v>85</v>
      </c>
    </row>
    <row r="293" spans="2:3">
      <c r="B293" s="11" t="s">
        <v>86</v>
      </c>
      <c r="C293" s="11" t="s">
        <v>342</v>
      </c>
    </row>
    <row r="294" spans="2:3">
      <c r="B294" s="11" t="s">
        <v>155</v>
      </c>
      <c r="C294" s="11" t="s">
        <v>344</v>
      </c>
    </row>
    <row r="295" spans="2:3">
      <c r="B295" s="11" t="s">
        <v>87</v>
      </c>
      <c r="C295" s="11" t="s">
        <v>88</v>
      </c>
    </row>
    <row r="296" spans="2:3">
      <c r="B296" s="11" t="s">
        <v>89</v>
      </c>
      <c r="C296" s="11" t="s">
        <v>90</v>
      </c>
    </row>
    <row r="297" spans="2:3">
      <c r="B297" s="11" t="s">
        <v>91</v>
      </c>
      <c r="C297" s="11" t="s">
        <v>92</v>
      </c>
    </row>
    <row r="298" spans="2:3">
      <c r="B298" s="11" t="s">
        <v>93</v>
      </c>
      <c r="C298" s="11" t="s">
        <v>94</v>
      </c>
    </row>
    <row r="299" spans="2:3">
      <c r="B299" s="11" t="s">
        <v>95</v>
      </c>
      <c r="C299" s="11" t="s">
        <v>96</v>
      </c>
    </row>
    <row r="300" spans="2:3">
      <c r="B300" s="11" t="s">
        <v>97</v>
      </c>
      <c r="C300" s="11" t="s">
        <v>98</v>
      </c>
    </row>
    <row r="301" spans="2:3">
      <c r="B301" s="11" t="s">
        <v>156</v>
      </c>
      <c r="C301" s="11" t="s">
        <v>101</v>
      </c>
    </row>
    <row r="302" spans="2:3">
      <c r="B302" s="11" t="s">
        <v>102</v>
      </c>
      <c r="C302" s="11" t="s">
        <v>103</v>
      </c>
    </row>
    <row r="303" spans="2:3">
      <c r="B303" s="11" t="s">
        <v>104</v>
      </c>
      <c r="C303" s="11" t="s">
        <v>105</v>
      </c>
    </row>
    <row r="304" spans="2:3">
      <c r="B304" s="11" t="s">
        <v>109</v>
      </c>
      <c r="C304" s="12" t="s">
        <v>174</v>
      </c>
    </row>
    <row r="305" spans="2:3">
      <c r="B305" s="11" t="s">
        <v>106</v>
      </c>
      <c r="C305" s="11" t="s">
        <v>107</v>
      </c>
    </row>
    <row r="306" spans="2:3">
      <c r="B306" s="11" t="s">
        <v>281</v>
      </c>
      <c r="C306" s="11" t="s">
        <v>343</v>
      </c>
    </row>
    <row r="307" spans="2:3">
      <c r="B307" s="11" t="s">
        <v>110</v>
      </c>
      <c r="C307" s="11" t="s">
        <v>285</v>
      </c>
    </row>
    <row r="308" spans="2:3">
      <c r="B308" s="11" t="s">
        <v>157</v>
      </c>
      <c r="C308" s="11" t="s">
        <v>286</v>
      </c>
    </row>
    <row r="309" spans="2:3">
      <c r="B309" s="11" t="s">
        <v>111</v>
      </c>
      <c r="C309" s="11" t="s">
        <v>112</v>
      </c>
    </row>
    <row r="310" spans="2:3">
      <c r="B310" s="11" t="s">
        <v>113</v>
      </c>
      <c r="C310" s="11" t="s">
        <v>114</v>
      </c>
    </row>
    <row r="311" spans="2:3">
      <c r="B311" s="11" t="s">
        <v>116</v>
      </c>
      <c r="C311" s="11" t="s">
        <v>117</v>
      </c>
    </row>
    <row r="312" spans="2:3">
      <c r="B312" s="11" t="s">
        <v>118</v>
      </c>
      <c r="C312" s="11" t="s">
        <v>119</v>
      </c>
    </row>
    <row r="313" spans="2:3">
      <c r="B313" s="11" t="s">
        <v>152</v>
      </c>
      <c r="C313" s="12" t="s">
        <v>177</v>
      </c>
    </row>
    <row r="314" spans="2:3">
      <c r="B314" s="11" t="s">
        <v>265</v>
      </c>
      <c r="C314" s="11" t="s">
        <v>287</v>
      </c>
    </row>
    <row r="315" spans="2:3">
      <c r="B315" s="11" t="s">
        <v>133</v>
      </c>
      <c r="C315" s="12" t="s">
        <v>178</v>
      </c>
    </row>
    <row r="316" spans="2:3">
      <c r="B316" s="11" t="s">
        <v>0</v>
      </c>
      <c r="C316" s="12" t="s">
        <v>134</v>
      </c>
    </row>
    <row r="317" spans="2:3">
      <c r="B317" s="11" t="s">
        <v>158</v>
      </c>
      <c r="C317" s="12" t="s">
        <v>136</v>
      </c>
    </row>
    <row r="318" spans="2:3">
      <c r="B318" s="11" t="s">
        <v>159</v>
      </c>
      <c r="C318" s="12" t="s">
        <v>138</v>
      </c>
    </row>
    <row r="319" spans="2:3">
      <c r="B319" s="11" t="s">
        <v>116</v>
      </c>
      <c r="C319" s="12" t="s">
        <v>139</v>
      </c>
    </row>
    <row r="320" spans="2:3">
      <c r="B320" s="11" t="s">
        <v>113</v>
      </c>
      <c r="C320" s="12" t="s">
        <v>140</v>
      </c>
    </row>
    <row r="321" spans="2:20">
      <c r="B321" s="11" t="s">
        <v>141</v>
      </c>
      <c r="C321" s="12" t="s">
        <v>142</v>
      </c>
    </row>
    <row r="322" spans="2:20">
      <c r="B322" s="11" t="s">
        <v>121</v>
      </c>
      <c r="C322" s="12" t="s">
        <v>288</v>
      </c>
    </row>
    <row r="323" spans="2:20">
      <c r="B323" s="11" t="s">
        <v>144</v>
      </c>
      <c r="C323" s="12" t="s">
        <v>145</v>
      </c>
    </row>
    <row r="324" spans="2:20">
      <c r="B324" s="11" t="s">
        <v>122</v>
      </c>
      <c r="C324" s="12" t="s">
        <v>146</v>
      </c>
    </row>
    <row r="325" spans="2:20">
      <c r="B325" s="11" t="s">
        <v>123</v>
      </c>
      <c r="C325" s="5" t="s">
        <v>147</v>
      </c>
    </row>
    <row r="326" spans="2:20">
      <c r="B326" s="11" t="s">
        <v>124</v>
      </c>
      <c r="C326" s="12" t="s">
        <v>289</v>
      </c>
    </row>
    <row r="327" spans="2:20">
      <c r="B327" s="11" t="s">
        <v>161</v>
      </c>
      <c r="C327" s="12" t="s">
        <v>149</v>
      </c>
    </row>
    <row r="328" spans="2:20">
      <c r="B328" s="11" t="s">
        <v>266</v>
      </c>
      <c r="C328" s="11" t="s">
        <v>274</v>
      </c>
    </row>
    <row r="331" spans="2:20">
      <c r="B331" s="514" t="s">
        <v>315</v>
      </c>
      <c r="C331" s="514"/>
      <c r="D331" s="514"/>
      <c r="E331" s="514"/>
      <c r="F331" s="514"/>
      <c r="G331" s="514"/>
      <c r="H331" s="514"/>
      <c r="I331" s="514"/>
      <c r="J331" s="514"/>
      <c r="K331" s="514"/>
      <c r="L331" s="514"/>
      <c r="M331" s="514"/>
      <c r="N331" s="514"/>
      <c r="O331" s="514"/>
      <c r="P331" s="514"/>
      <c r="Q331" s="514"/>
      <c r="R331" s="514"/>
      <c r="S331" s="514"/>
      <c r="T331" s="514"/>
    </row>
    <row r="334" spans="2:20">
      <c r="C334" s="11">
        <v>2013</v>
      </c>
    </row>
    <row r="335" spans="2:20">
      <c r="B335" s="11" t="s">
        <v>385</v>
      </c>
      <c r="C335" s="11" t="s">
        <v>293</v>
      </c>
      <c r="D335" s="11" t="s">
        <v>294</v>
      </c>
      <c r="E335" s="11" t="s">
        <v>295</v>
      </c>
      <c r="F335" s="11" t="s">
        <v>296</v>
      </c>
      <c r="G335" s="11" t="s">
        <v>297</v>
      </c>
      <c r="H335" s="11" t="s">
        <v>298</v>
      </c>
      <c r="I335" s="11" t="s">
        <v>299</v>
      </c>
      <c r="J335" s="11" t="s">
        <v>300</v>
      </c>
      <c r="K335" s="11" t="s">
        <v>301</v>
      </c>
      <c r="L335" s="11" t="s">
        <v>302</v>
      </c>
      <c r="M335" s="11" t="s">
        <v>303</v>
      </c>
      <c r="N335" s="11" t="s">
        <v>304</v>
      </c>
      <c r="O335" s="11" t="s">
        <v>384</v>
      </c>
    </row>
    <row r="336" spans="2:20">
      <c r="B336" s="11" t="s">
        <v>386</v>
      </c>
      <c r="C336" s="11" t="s">
        <v>316</v>
      </c>
      <c r="D336" s="11" t="s">
        <v>317</v>
      </c>
      <c r="E336" s="11" t="s">
        <v>318</v>
      </c>
      <c r="F336" s="11" t="s">
        <v>296</v>
      </c>
      <c r="G336" s="11" t="s">
        <v>319</v>
      </c>
      <c r="H336" s="11" t="s">
        <v>320</v>
      </c>
      <c r="I336" s="11" t="s">
        <v>321</v>
      </c>
      <c r="J336" s="11" t="s">
        <v>322</v>
      </c>
      <c r="K336" s="11" t="s">
        <v>323</v>
      </c>
      <c r="L336" s="11" t="s">
        <v>324</v>
      </c>
      <c r="M336" s="11" t="s">
        <v>325</v>
      </c>
      <c r="N336" s="11" t="s">
        <v>326</v>
      </c>
      <c r="O336" s="11" t="s">
        <v>383</v>
      </c>
    </row>
    <row r="337" spans="2:3">
      <c r="B337" s="11" t="s">
        <v>128</v>
      </c>
      <c r="C337" s="11" t="s">
        <v>1</v>
      </c>
    </row>
    <row r="338" spans="2:3">
      <c r="B338" s="11" t="s">
        <v>2</v>
      </c>
      <c r="C338" s="11" t="s">
        <v>167</v>
      </c>
    </row>
    <row r="339" spans="2:3">
      <c r="B339" s="11" t="s">
        <v>3</v>
      </c>
      <c r="C339" s="11" t="s">
        <v>4</v>
      </c>
    </row>
    <row r="340" spans="2:3">
      <c r="B340" s="11" t="s">
        <v>5</v>
      </c>
      <c r="C340" s="11" t="s">
        <v>6</v>
      </c>
    </row>
    <row r="341" spans="2:3">
      <c r="B341" s="11" t="s">
        <v>305</v>
      </c>
      <c r="C341" s="11" t="s">
        <v>8</v>
      </c>
    </row>
    <row r="342" spans="2:3">
      <c r="B342" s="11" t="s">
        <v>9</v>
      </c>
      <c r="C342" s="11" t="s">
        <v>10</v>
      </c>
    </row>
    <row r="343" spans="2:3">
      <c r="B343" s="11" t="s">
        <v>306</v>
      </c>
      <c r="C343" s="11" t="s">
        <v>13</v>
      </c>
    </row>
    <row r="344" spans="2:3">
      <c r="B344" s="11" t="s">
        <v>307</v>
      </c>
      <c r="C344" s="11" t="s">
        <v>15</v>
      </c>
    </row>
    <row r="345" spans="2:3">
      <c r="B345" s="11" t="s">
        <v>16</v>
      </c>
      <c r="C345" s="11" t="s">
        <v>18</v>
      </c>
    </row>
    <row r="346" spans="2:3">
      <c r="B346" s="11" t="s">
        <v>19</v>
      </c>
      <c r="C346" s="11" t="s">
        <v>20</v>
      </c>
    </row>
    <row r="347" spans="2:3">
      <c r="B347" s="11" t="s">
        <v>308</v>
      </c>
      <c r="C347" s="11" t="s">
        <v>22</v>
      </c>
    </row>
    <row r="348" spans="2:3">
      <c r="B348" s="11" t="s">
        <v>309</v>
      </c>
      <c r="C348" s="11" t="s">
        <v>24</v>
      </c>
    </row>
    <row r="349" spans="2:3">
      <c r="B349" s="11" t="s">
        <v>310</v>
      </c>
      <c r="C349" s="11" t="s">
        <v>26</v>
      </c>
    </row>
    <row r="350" spans="2:3">
      <c r="B350" s="11" t="s">
        <v>27</v>
      </c>
      <c r="C350" s="11" t="s">
        <v>28</v>
      </c>
    </row>
    <row r="351" spans="2:3">
      <c r="B351" s="11" t="s">
        <v>29</v>
      </c>
      <c r="C351" s="11" t="s">
        <v>30</v>
      </c>
    </row>
    <row r="352" spans="2:3">
      <c r="B352" s="11" t="s">
        <v>31</v>
      </c>
      <c r="C352" s="11" t="s">
        <v>175</v>
      </c>
    </row>
    <row r="353" spans="2:3">
      <c r="B353" s="11" t="s">
        <v>32</v>
      </c>
      <c r="C353" s="11" t="s">
        <v>33</v>
      </c>
    </row>
    <row r="354" spans="2:3">
      <c r="B354" s="11" t="s">
        <v>34</v>
      </c>
      <c r="C354" s="11" t="s">
        <v>35</v>
      </c>
    </row>
    <row r="355" spans="2:3">
      <c r="B355" s="11" t="s">
        <v>37</v>
      </c>
      <c r="C355" s="11" t="s">
        <v>38</v>
      </c>
    </row>
    <row r="356" spans="2:3">
      <c r="B356" s="11" t="s">
        <v>39</v>
      </c>
      <c r="C356" s="11" t="s">
        <v>168</v>
      </c>
    </row>
    <row r="357" spans="2:3">
      <c r="B357" s="11" t="s">
        <v>328</v>
      </c>
      <c r="C357" s="11" t="s">
        <v>41</v>
      </c>
    </row>
    <row r="358" spans="2:3">
      <c r="B358" s="11" t="s">
        <v>311</v>
      </c>
      <c r="C358" s="11" t="s">
        <v>43</v>
      </c>
    </row>
    <row r="359" spans="2:3">
      <c r="B359" s="11" t="s">
        <v>45</v>
      </c>
      <c r="C359" s="11" t="s">
        <v>46</v>
      </c>
    </row>
    <row r="360" spans="2:3">
      <c r="B360" s="11" t="s">
        <v>312</v>
      </c>
      <c r="C360" s="11" t="s">
        <v>48</v>
      </c>
    </row>
    <row r="361" spans="2:3">
      <c r="B361" s="11" t="s">
        <v>313</v>
      </c>
      <c r="C361" s="11" t="s">
        <v>169</v>
      </c>
    </row>
    <row r="362" spans="2:3">
      <c r="B362" s="11" t="s">
        <v>51</v>
      </c>
      <c r="C362" s="11" t="s">
        <v>52</v>
      </c>
    </row>
    <row r="363" spans="2:3">
      <c r="B363" s="11" t="s">
        <v>53</v>
      </c>
      <c r="C363" s="11" t="s">
        <v>54</v>
      </c>
    </row>
    <row r="364" spans="2:3">
      <c r="B364" s="11" t="s">
        <v>55</v>
      </c>
      <c r="C364" s="11" t="s">
        <v>56</v>
      </c>
    </row>
    <row r="365" spans="2:3">
      <c r="B365" s="11" t="s">
        <v>57</v>
      </c>
      <c r="C365" s="11" t="s">
        <v>58</v>
      </c>
    </row>
    <row r="366" spans="2:3">
      <c r="B366" s="11" t="s">
        <v>314</v>
      </c>
      <c r="C366" s="11" t="s">
        <v>60</v>
      </c>
    </row>
    <row r="367" spans="2:3">
      <c r="B367" s="11" t="s">
        <v>53</v>
      </c>
      <c r="C367" s="11" t="s">
        <v>54</v>
      </c>
    </row>
    <row r="368" spans="2:3">
      <c r="B368" s="7" t="s">
        <v>255</v>
      </c>
      <c r="C368" s="11" t="s">
        <v>61</v>
      </c>
    </row>
    <row r="369" spans="2:3">
      <c r="B369" s="11" t="s">
        <v>62</v>
      </c>
      <c r="C369" s="11" t="s">
        <v>340</v>
      </c>
    </row>
    <row r="370" spans="2:3">
      <c r="B370" s="11" t="s">
        <v>126</v>
      </c>
      <c r="C370" s="11" t="s">
        <v>170</v>
      </c>
    </row>
    <row r="371" spans="2:3">
      <c r="B371" s="11" t="s">
        <v>63</v>
      </c>
      <c r="C371" s="11" t="s">
        <v>341</v>
      </c>
    </row>
    <row r="372" spans="2:3">
      <c r="B372" s="11" t="s">
        <v>64</v>
      </c>
      <c r="C372" s="11" t="s">
        <v>65</v>
      </c>
    </row>
    <row r="373" spans="2:3">
      <c r="B373" s="11" t="s">
        <v>66</v>
      </c>
      <c r="C373" s="11" t="s">
        <v>67</v>
      </c>
    </row>
    <row r="374" spans="2:3">
      <c r="B374" s="11" t="s">
        <v>68</v>
      </c>
      <c r="C374" s="11" t="s">
        <v>69</v>
      </c>
    </row>
    <row r="375" spans="2:3">
      <c r="B375" s="11" t="s">
        <v>70</v>
      </c>
      <c r="C375" s="11" t="s">
        <v>71</v>
      </c>
    </row>
    <row r="376" spans="2:3">
      <c r="B376" s="11" t="s">
        <v>72</v>
      </c>
      <c r="C376" s="11" t="s">
        <v>73</v>
      </c>
    </row>
    <row r="377" spans="2:3">
      <c r="B377" s="11" t="s">
        <v>129</v>
      </c>
      <c r="C377" s="11" t="s">
        <v>179</v>
      </c>
    </row>
    <row r="378" spans="2:3">
      <c r="B378" s="11" t="s">
        <v>75</v>
      </c>
      <c r="C378" s="11" t="s">
        <v>76</v>
      </c>
    </row>
    <row r="379" spans="2:3">
      <c r="B379" s="11" t="s">
        <v>77</v>
      </c>
      <c r="C379" s="11" t="s">
        <v>78</v>
      </c>
    </row>
    <row r="380" spans="2:3">
      <c r="B380" s="11" t="s">
        <v>79</v>
      </c>
      <c r="C380" s="11" t="s">
        <v>151</v>
      </c>
    </row>
    <row r="381" spans="2:3">
      <c r="B381" s="11" t="s">
        <v>80</v>
      </c>
      <c r="C381" s="11" t="s">
        <v>81</v>
      </c>
    </row>
    <row r="382" spans="2:3">
      <c r="B382" s="11" t="s">
        <v>82</v>
      </c>
      <c r="C382" s="11" t="s">
        <v>83</v>
      </c>
    </row>
    <row r="383" spans="2:3">
      <c r="B383" s="11" t="s">
        <v>84</v>
      </c>
      <c r="C383" s="11" t="s">
        <v>85</v>
      </c>
    </row>
    <row r="384" spans="2:3">
      <c r="B384" s="11" t="s">
        <v>86</v>
      </c>
      <c r="C384" s="11" t="s">
        <v>342</v>
      </c>
    </row>
    <row r="385" spans="2:3">
      <c r="B385" s="11" t="s">
        <v>130</v>
      </c>
      <c r="C385" s="11" t="s">
        <v>180</v>
      </c>
    </row>
    <row r="386" spans="2:3">
      <c r="B386" s="11" t="s">
        <v>87</v>
      </c>
      <c r="C386" s="11" t="s">
        <v>88</v>
      </c>
    </row>
    <row r="387" spans="2:3">
      <c r="B387" s="11" t="s">
        <v>89</v>
      </c>
      <c r="C387" s="11" t="s">
        <v>90</v>
      </c>
    </row>
    <row r="388" spans="2:3">
      <c r="B388" s="11" t="s">
        <v>91</v>
      </c>
      <c r="C388" s="11" t="s">
        <v>92</v>
      </c>
    </row>
    <row r="389" spans="2:3">
      <c r="B389" s="11" t="s">
        <v>93</v>
      </c>
      <c r="C389" s="11" t="s">
        <v>94</v>
      </c>
    </row>
    <row r="390" spans="2:3">
      <c r="B390" s="11" t="s">
        <v>95</v>
      </c>
      <c r="C390" s="11" t="s">
        <v>96</v>
      </c>
    </row>
    <row r="391" spans="2:3">
      <c r="B391" s="11" t="s">
        <v>97</v>
      </c>
      <c r="C391" s="11" t="s">
        <v>98</v>
      </c>
    </row>
    <row r="392" spans="2:3">
      <c r="B392" s="11" t="s">
        <v>100</v>
      </c>
      <c r="C392" s="11" t="s">
        <v>101</v>
      </c>
    </row>
    <row r="393" spans="2:3">
      <c r="B393" s="11" t="s">
        <v>102</v>
      </c>
      <c r="C393" s="11" t="s">
        <v>103</v>
      </c>
    </row>
    <row r="394" spans="2:3">
      <c r="B394" s="11" t="s">
        <v>104</v>
      </c>
      <c r="C394" s="11" t="s">
        <v>105</v>
      </c>
    </row>
    <row r="395" spans="2:3">
      <c r="B395" s="11" t="s">
        <v>106</v>
      </c>
      <c r="C395" s="11" t="s">
        <v>107</v>
      </c>
    </row>
    <row r="396" spans="2:3">
      <c r="B396" s="11" t="s">
        <v>108</v>
      </c>
      <c r="C396" s="11" t="s">
        <v>173</v>
      </c>
    </row>
    <row r="397" spans="2:3">
      <c r="B397" s="11" t="s">
        <v>109</v>
      </c>
      <c r="C397" s="11" t="s">
        <v>174</v>
      </c>
    </row>
    <row r="398" spans="2:3">
      <c r="B398" s="11" t="s">
        <v>131</v>
      </c>
      <c r="C398" s="11" t="s">
        <v>373</v>
      </c>
    </row>
    <row r="399" spans="2:3">
      <c r="B399" s="11" t="s">
        <v>111</v>
      </c>
      <c r="C399" s="11" t="s">
        <v>112</v>
      </c>
    </row>
    <row r="400" spans="2:3">
      <c r="B400" s="11" t="s">
        <v>118</v>
      </c>
      <c r="C400" s="11" t="s">
        <v>119</v>
      </c>
    </row>
    <row r="401" spans="2:3">
      <c r="B401" s="11" t="s">
        <v>152</v>
      </c>
      <c r="C401" s="11" t="s">
        <v>177</v>
      </c>
    </row>
    <row r="402" spans="2:3">
      <c r="B402" s="11" t="s">
        <v>132</v>
      </c>
      <c r="C402" s="11" t="s">
        <v>120</v>
      </c>
    </row>
    <row r="403" spans="2:3">
      <c r="B403" s="11" t="s">
        <v>133</v>
      </c>
      <c r="C403" s="11" t="s">
        <v>178</v>
      </c>
    </row>
    <row r="404" spans="2:3">
      <c r="B404" s="11" t="s">
        <v>0</v>
      </c>
      <c r="C404" s="11" t="s">
        <v>134</v>
      </c>
    </row>
    <row r="405" spans="2:3">
      <c r="B405" s="11" t="s">
        <v>135</v>
      </c>
      <c r="C405" s="11" t="s">
        <v>136</v>
      </c>
    </row>
    <row r="406" spans="2:3">
      <c r="B406" s="11" t="s">
        <v>137</v>
      </c>
      <c r="C406" s="11" t="s">
        <v>138</v>
      </c>
    </row>
    <row r="407" spans="2:3">
      <c r="B407" s="11" t="s">
        <v>116</v>
      </c>
      <c r="C407" s="11" t="s">
        <v>139</v>
      </c>
    </row>
    <row r="408" spans="2:3">
      <c r="B408" s="11" t="s">
        <v>113</v>
      </c>
      <c r="C408" s="11" t="s">
        <v>140</v>
      </c>
    </row>
    <row r="409" spans="2:3">
      <c r="B409" s="11" t="s">
        <v>141</v>
      </c>
      <c r="C409" s="11" t="s">
        <v>142</v>
      </c>
    </row>
    <row r="410" spans="2:3">
      <c r="B410" s="11" t="s">
        <v>121</v>
      </c>
      <c r="C410" s="11" t="s">
        <v>143</v>
      </c>
    </row>
    <row r="411" spans="2:3">
      <c r="B411" s="11" t="s">
        <v>144</v>
      </c>
      <c r="C411" s="11" t="s">
        <v>145</v>
      </c>
    </row>
    <row r="412" spans="2:3">
      <c r="B412" s="11" t="s">
        <v>122</v>
      </c>
      <c r="C412" s="11" t="s">
        <v>146</v>
      </c>
    </row>
    <row r="413" spans="2:3">
      <c r="B413" s="11" t="s">
        <v>123</v>
      </c>
      <c r="C413" s="11" t="s">
        <v>147</v>
      </c>
    </row>
    <row r="414" spans="2:3">
      <c r="B414" s="11" t="s">
        <v>329</v>
      </c>
      <c r="C414" s="11" t="s">
        <v>148</v>
      </c>
    </row>
    <row r="415" spans="2:3">
      <c r="B415" s="11" t="s">
        <v>125</v>
      </c>
      <c r="C415" s="11" t="s">
        <v>149</v>
      </c>
    </row>
    <row r="416" spans="2:3">
      <c r="B416" s="11" t="s">
        <v>266</v>
      </c>
      <c r="C416" s="11" t="s">
        <v>267</v>
      </c>
    </row>
    <row r="419" spans="2:23">
      <c r="B419" s="514" t="s">
        <v>387</v>
      </c>
      <c r="C419" s="518"/>
      <c r="D419" s="518"/>
      <c r="E419" s="518"/>
      <c r="F419" s="518"/>
      <c r="G419" s="518"/>
      <c r="H419" s="518"/>
      <c r="I419" s="518"/>
      <c r="J419" s="518"/>
      <c r="K419" s="518"/>
      <c r="L419" s="518"/>
      <c r="M419" s="518"/>
      <c r="N419" s="518"/>
      <c r="O419" s="518"/>
      <c r="P419" s="518"/>
      <c r="Q419" s="518"/>
      <c r="R419" s="518"/>
      <c r="S419" s="518"/>
      <c r="T419" s="518"/>
    </row>
    <row r="421" spans="2:23">
      <c r="B421" s="11" t="s">
        <v>327</v>
      </c>
    </row>
    <row r="422" spans="2:23">
      <c r="B422" s="11" t="s">
        <v>334</v>
      </c>
      <c r="O422" s="1"/>
    </row>
    <row r="424" spans="2:23">
      <c r="B424" s="11" t="s">
        <v>389</v>
      </c>
    </row>
    <row r="425" spans="2:23">
      <c r="B425" s="11" t="s">
        <v>389</v>
      </c>
    </row>
    <row r="427" spans="2:23">
      <c r="B427" s="514" t="s">
        <v>330</v>
      </c>
      <c r="C427" s="514"/>
      <c r="D427" s="514"/>
      <c r="E427" s="514"/>
      <c r="F427" s="514"/>
      <c r="G427" s="514"/>
      <c r="H427" s="514"/>
      <c r="I427" s="514"/>
      <c r="J427" s="514"/>
      <c r="K427" s="514"/>
      <c r="L427" s="514"/>
      <c r="M427" s="514"/>
      <c r="N427" s="514"/>
      <c r="O427" s="514"/>
      <c r="P427" s="514"/>
      <c r="Q427" s="514"/>
      <c r="R427" s="514"/>
      <c r="S427" s="514"/>
      <c r="T427" s="514"/>
    </row>
    <row r="429" spans="2:23">
      <c r="B429" s="11" t="s">
        <v>335</v>
      </c>
      <c r="C429" s="11" t="s">
        <v>240</v>
      </c>
      <c r="D429" s="11" t="s">
        <v>388</v>
      </c>
      <c r="E429" s="27" t="s">
        <v>390</v>
      </c>
      <c r="F429" s="27" t="s">
        <v>391</v>
      </c>
    </row>
    <row r="430" spans="2:23">
      <c r="B430" s="11" t="s">
        <v>336</v>
      </c>
      <c r="C430" s="11" t="s">
        <v>339</v>
      </c>
      <c r="D430" s="11" t="s">
        <v>388</v>
      </c>
      <c r="E430" s="27" t="s">
        <v>390</v>
      </c>
      <c r="F430" s="27" t="s">
        <v>392</v>
      </c>
      <c r="W430" s="28"/>
    </row>
    <row r="432" spans="2:23">
      <c r="B432" s="514" t="s">
        <v>345</v>
      </c>
      <c r="C432" s="514"/>
      <c r="D432" s="514"/>
      <c r="E432" s="514"/>
      <c r="F432" s="514"/>
      <c r="G432" s="514"/>
      <c r="H432" s="514"/>
      <c r="I432" s="514"/>
      <c r="J432" s="514"/>
      <c r="K432" s="514"/>
      <c r="L432" s="514"/>
      <c r="M432" s="514"/>
      <c r="N432" s="514"/>
      <c r="O432" s="514"/>
      <c r="P432" s="514"/>
      <c r="Q432" s="514"/>
      <c r="R432" s="514"/>
      <c r="S432" s="514"/>
      <c r="T432" s="514"/>
    </row>
    <row r="435" spans="2:6">
      <c r="B435" s="11" t="s">
        <v>353</v>
      </c>
      <c r="C435" s="11" t="s">
        <v>354</v>
      </c>
    </row>
    <row r="437" spans="2:6">
      <c r="B437" s="11" t="s">
        <v>346</v>
      </c>
      <c r="C437" s="11" t="s">
        <v>345</v>
      </c>
    </row>
    <row r="438" spans="2:6">
      <c r="B438" s="11" t="s">
        <v>347</v>
      </c>
      <c r="C438" s="11" t="s">
        <v>355</v>
      </c>
    </row>
    <row r="439" spans="2:6">
      <c r="B439" s="11" t="s">
        <v>348</v>
      </c>
      <c r="C439" s="11" t="s">
        <v>356</v>
      </c>
    </row>
    <row r="441" spans="2:6">
      <c r="B441" s="11" t="s">
        <v>357</v>
      </c>
      <c r="C441" s="11" t="s">
        <v>349</v>
      </c>
      <c r="D441" s="11" t="s">
        <v>350</v>
      </c>
      <c r="E441" s="11" t="s">
        <v>351</v>
      </c>
      <c r="F441" s="11" t="s">
        <v>352</v>
      </c>
    </row>
    <row r="442" spans="2:6">
      <c r="B442" s="11" t="s">
        <v>358</v>
      </c>
      <c r="C442" s="11" t="s">
        <v>359</v>
      </c>
      <c r="D442" s="11" t="s">
        <v>360</v>
      </c>
      <c r="E442" s="11" t="s">
        <v>361</v>
      </c>
      <c r="F442" s="11" t="s">
        <v>362</v>
      </c>
    </row>
    <row r="443" spans="2:6">
      <c r="B443" s="11" t="s">
        <v>363</v>
      </c>
    </row>
    <row r="444" spans="2:6">
      <c r="B444" s="11" t="s">
        <v>364</v>
      </c>
    </row>
  </sheetData>
  <mergeCells count="21">
    <mergeCell ref="B419:T419"/>
    <mergeCell ref="B432:T432"/>
    <mergeCell ref="B427:T427"/>
    <mergeCell ref="B331:T331"/>
    <mergeCell ref="M42:P42"/>
    <mergeCell ref="B42:B51"/>
    <mergeCell ref="B52:B59"/>
    <mergeCell ref="D42:D51"/>
    <mergeCell ref="D52:D59"/>
    <mergeCell ref="F42:H42"/>
    <mergeCell ref="B3:C3"/>
    <mergeCell ref="B253:T253"/>
    <mergeCell ref="B154:T154"/>
    <mergeCell ref="B62:T62"/>
    <mergeCell ref="B37:T37"/>
    <mergeCell ref="J42:L42"/>
    <mergeCell ref="B40:C41"/>
    <mergeCell ref="F40:H40"/>
    <mergeCell ref="J40:L40"/>
    <mergeCell ref="M40:P40"/>
    <mergeCell ref="D40:E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Cental Budget (2)</vt:lpstr>
      <vt:lpstr>Public Expenditure (2)</vt:lpstr>
      <vt:lpstr>Cental Budget (3)</vt:lpstr>
      <vt:lpstr>Cental Budget</vt:lpstr>
      <vt:lpstr>Local Government</vt:lpstr>
      <vt:lpstr>Public Expenditure</vt:lpstr>
      <vt:lpstr>PRIMICI</vt:lpstr>
      <vt:lpstr>DEFICIT Tabela</vt:lpstr>
      <vt:lpstr>MasterSheet</vt:lpstr>
      <vt:lpstr>Sheet1</vt:lpstr>
      <vt:lpstr>Sheet2</vt:lpstr>
      <vt:lpstr>Sheet3</vt:lpstr>
      <vt:lpstr>Cental Budget - kons II</vt:lpstr>
      <vt:lpstr>Public Expenditure - kons II</vt:lpstr>
      <vt:lpstr>Sheet4</vt:lpstr>
      <vt:lpstr>Sheet4!OLE_LINK1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Tatjana Minic</cp:lastModifiedBy>
  <cp:lastPrinted>2014-03-31T14:20:27Z</cp:lastPrinted>
  <dcterms:created xsi:type="dcterms:W3CDTF">2008-03-17T08:49:23Z</dcterms:created>
  <dcterms:modified xsi:type="dcterms:W3CDTF">2016-07-05T07:25:14Z</dcterms:modified>
</cp:coreProperties>
</file>