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KukoiFTjKU+oapkhXMIyo08z9LDq9qtE0NeMYTiNqGs4MjW+RqGXyhmJnR58gN00r/+bcELLZTooNdpyclpNeg==" workbookSaltValue="x2T6c1ifp+rghmuvpCxEVA==" workbookSpinCount="100000" lockStructure="1"/>
  <bookViews>
    <workbookView xWindow="0" yWindow="0" windowWidth="22260" windowHeight="8970" tabRatio="587" firstSheet="1" activeTab="2"/>
  </bookViews>
  <sheets>
    <sheet name="Analitika - 2014" sheetId="3" state="hidden" r:id="rId1"/>
    <sheet name="Pregled" sheetId="1" r:id="rId2"/>
    <sheet name="Analiti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S53" i="20" l="1"/>
  <c r="G5" i="22" l="1"/>
  <c r="H5" i="22"/>
  <c r="I5" i="22"/>
  <c r="J5" i="22"/>
  <c r="K5" i="22"/>
  <c r="L5" i="22"/>
  <c r="M5" i="22"/>
  <c r="N5" i="22"/>
  <c r="O5" i="22"/>
  <c r="P19" i="22" l="1"/>
  <c r="S121" i="22" l="1"/>
  <c r="M129" i="22" l="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N55" i="11" s="1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N40" i="11" s="1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N30" i="11" s="1"/>
  <c r="P30" i="22"/>
  <c r="N30" i="22"/>
  <c r="L30" i="22"/>
  <c r="J30" i="22"/>
  <c r="H30" i="22"/>
  <c r="S31" i="22"/>
  <c r="T31" i="22" s="1"/>
  <c r="Q30" i="22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G34" i="11"/>
  <c r="P10" i="22"/>
  <c r="T26" i="22"/>
  <c r="G26" i="11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N10" i="11" s="1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N29" i="11" s="1"/>
  <c r="S40" i="22"/>
  <c r="T40" i="22" s="1"/>
  <c r="S19" i="22"/>
  <c r="T19" i="22" s="1"/>
  <c r="S30" i="22"/>
  <c r="T30" i="22" s="1"/>
  <c r="Q53" i="22" l="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 s="1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O54" i="22"/>
  <c r="J53" i="22"/>
  <c r="A145" i="19"/>
  <c r="A144" i="19"/>
  <c r="A151" i="19"/>
  <c r="A157" i="19"/>
  <c r="A152" i="19"/>
  <c r="A153" i="19"/>
  <c r="T29" i="22" l="1"/>
  <c r="G29" i="11"/>
  <c r="R54" i="22"/>
  <c r="N54" i="11" s="1"/>
  <c r="N53" i="11"/>
  <c r="Q64" i="22"/>
  <c r="Q54" i="22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J55" i="11"/>
  <c r="I55" i="11"/>
  <c r="J40" i="11"/>
  <c r="I40" i="11"/>
  <c r="G16" i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R64" i="22" l="1"/>
  <c r="N59" i="11"/>
  <c r="Q60" i="22"/>
  <c r="P138" i="22"/>
  <c r="O64" i="22"/>
  <c r="N64" i="22"/>
  <c r="G12" i="1"/>
  <c r="H12" i="1" s="1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G20" i="1" s="1"/>
  <c r="S59" i="22"/>
  <c r="T59" i="22" s="1"/>
  <c r="G138" i="22"/>
  <c r="S133" i="22"/>
  <c r="Q54" i="11"/>
  <c r="S128" i="22"/>
  <c r="R60" i="22" l="1"/>
  <c r="N60" i="11" s="1"/>
  <c r="N64" i="11"/>
  <c r="P134" i="22"/>
  <c r="O60" i="22"/>
  <c r="N60" i="22"/>
  <c r="Q59" i="11"/>
  <c r="M134" i="22"/>
  <c r="G54" i="11"/>
  <c r="M60" i="22"/>
  <c r="J60" i="22"/>
  <c r="T128" i="22"/>
  <c r="T133" i="22"/>
  <c r="I134" i="22"/>
  <c r="H60" i="22"/>
  <c r="I53" i="11"/>
  <c r="H20" i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<sst xmlns="http://schemas.openxmlformats.org/spreadsheetml/2006/main" count="1728" uniqueCount="828">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</sst>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2021. godini iznosili su 1.910,0 mil. € ili 39,1%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u odnosu na planirane za 29,8 mil. € ili 1,6%. U odnosu na prethodnu godinu prihodi su veći za 271,5 mil. € ili 16,6%.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2021. godini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2.011,6 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41,2% BDP-a i manji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53,1 mil. € ili 2,6% u odnosu na prethodnu godinu. U odnosu na planirane, izdaci su manji za 44,0 mil. € ili 2,1%. U 2021. godini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101,6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BDP-a, što je za 73,7 mil. € ili 42,1% manje od planiranog, odnosno za 324,6 mil. € ili 76,2% manje od zabilježenog u istom periodu 2020.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Rješenjem o privremenom finansiranju budžeta za januar, februar, mart, april, maj i jun 2021. godine, odnosno Zakonom o budžetu za 2021. godinu za period jul - decembar.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2021-12</v>
      </c>
      <c r="O6" s="143" t="str">
        <f>+CONCATENATE(N6,"p")</f>
        <v>2021-12p</v>
      </c>
      <c r="P6" s="130"/>
      <c r="Q6" s="130"/>
      <c r="R6" s="143" t="str">
        <f>+IF(Master!B3-10&gt;=0,CONCATENATE(Master!B4-1,"-",Master!B3),CONCATENATE(Master!B4-1,"-0",Master!B3))</f>
        <v>2020-12</v>
      </c>
      <c r="S6" s="130"/>
      <c r="T6" s="130"/>
    </row>
    <row r="7" spans="1:20">
      <c r="A7" s="144"/>
      <c r="B7" s="533" t="s">
        <v>692</v>
      </c>
      <c r="C7" s="534"/>
      <c r="D7" s="534"/>
      <c r="E7" s="534"/>
      <c r="F7" s="534"/>
      <c r="G7" s="542" t="s">
        <v>691</v>
      </c>
      <c r="H7" s="543"/>
      <c r="I7" s="543"/>
      <c r="J7" s="543"/>
      <c r="K7" s="543"/>
      <c r="L7" s="543"/>
      <c r="M7" s="544"/>
      <c r="N7" s="545" t="str">
        <f>+Master!G242</f>
        <v>Decembar</v>
      </c>
      <c r="O7" s="543"/>
      <c r="P7" s="543"/>
      <c r="Q7" s="543"/>
      <c r="R7" s="543"/>
      <c r="S7" s="543"/>
      <c r="T7" s="546"/>
    </row>
    <row r="8" spans="1:20">
      <c r="A8" s="144"/>
      <c r="B8" s="535"/>
      <c r="C8" s="536"/>
      <c r="D8" s="536"/>
      <c r="E8" s="536"/>
      <c r="F8" s="537"/>
      <c r="G8" s="145" t="str">
        <f>+Master!G25</f>
        <v>Ostvarenje</v>
      </c>
      <c r="H8" s="145" t="str">
        <f>+Master!G24</f>
        <v>Plan</v>
      </c>
      <c r="I8" s="531" t="str">
        <f>+Master!G260</f>
        <v>Odstupanje</v>
      </c>
      <c r="J8" s="531"/>
      <c r="K8" s="145" t="str">
        <f>+CONCATENATE(Master!G245," ",Master!B4-1)</f>
        <v>Jan - Dec 2020</v>
      </c>
      <c r="L8" s="531" t="str">
        <f>+I8</f>
        <v>Odstupanje</v>
      </c>
      <c r="M8" s="541"/>
      <c r="N8" s="146" t="str">
        <f>+G8</f>
        <v>Ostvarenje</v>
      </c>
      <c r="O8" s="145" t="str">
        <f>+H8</f>
        <v>Plan</v>
      </c>
      <c r="P8" s="531" t="str">
        <f>+I8</f>
        <v>Odstupanje</v>
      </c>
      <c r="Q8" s="531"/>
      <c r="R8" s="145" t="str">
        <f>+CONCATENATE(Master!G244," ",Master!B4-1)</f>
        <v>Decembar 2020</v>
      </c>
      <c r="S8" s="531" t="str">
        <f>+P8</f>
        <v>Odstupanje</v>
      </c>
      <c r="T8" s="532"/>
    </row>
    <row r="9" spans="1:20" ht="15.7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01" t="str">
        <f>+VLOOKUP($A10,Master!$D$29:$G$225,4,FALSE)</f>
        <v>Prihodi budžeta</v>
      </c>
      <c r="C10" s="502"/>
      <c r="D10" s="502"/>
      <c r="E10" s="502"/>
      <c r="F10" s="502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03" t="str">
        <f>+VLOOKUP($A11,Master!$D$29:$G$225,4,FALSE)</f>
        <v>Porezi</v>
      </c>
      <c r="C11" s="504"/>
      <c r="D11" s="504"/>
      <c r="E11" s="504"/>
      <c r="F11" s="504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05" t="str">
        <f>+VLOOKUP($A12,Master!$D$29:$G$225,4,FALSE)</f>
        <v>Porez na dohodak fizičkih lica</v>
      </c>
      <c r="C12" s="506"/>
      <c r="D12" s="506"/>
      <c r="E12" s="506"/>
      <c r="F12" s="506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05" t="str">
        <f>+VLOOKUP($A13,Master!$D$29:$G$225,4,FALSE)</f>
        <v>Porez na dobit pravnih lica</v>
      </c>
      <c r="C13" s="506"/>
      <c r="D13" s="506"/>
      <c r="E13" s="506"/>
      <c r="F13" s="506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05" t="str">
        <f>+VLOOKUP($A14,Master!$D$29:$G$225,4,FALSE)</f>
        <v>Porez na promet nepokretnosti</v>
      </c>
      <c r="C14" s="506"/>
      <c r="D14" s="506"/>
      <c r="E14" s="506"/>
      <c r="F14" s="506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05" t="str">
        <f>+VLOOKUP($A15,Master!$D$29:$G$225,4,FALSE)</f>
        <v>Porez na dodatu vrijednost</v>
      </c>
      <c r="C15" s="506"/>
      <c r="D15" s="506"/>
      <c r="E15" s="506"/>
      <c r="F15" s="506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05" t="str">
        <f>+VLOOKUP($A16,Master!$D$29:$G$225,4,FALSE)</f>
        <v>Akcize</v>
      </c>
      <c r="C16" s="506"/>
      <c r="D16" s="506"/>
      <c r="E16" s="506"/>
      <c r="F16" s="506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05" t="str">
        <f>+VLOOKUP($A17,Master!$D$29:$G$225,4,FALSE)</f>
        <v>Porez na međunarodnu trgovinu i transakcije</v>
      </c>
      <c r="C17" s="506"/>
      <c r="D17" s="506"/>
      <c r="E17" s="506"/>
      <c r="F17" s="506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05" t="e">
        <f>+VLOOKUP($A18,Master!$D$29:$G$225,4,FALSE)</f>
        <v>#N/A</v>
      </c>
      <c r="C18" s="506"/>
      <c r="D18" s="506"/>
      <c r="E18" s="506"/>
      <c r="F18" s="506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05" t="str">
        <f>+VLOOKUP($A19,Master!$D$29:$G$225,4,FALSE)</f>
        <v>Ostali državni porezi</v>
      </c>
      <c r="C19" s="506"/>
      <c r="D19" s="506"/>
      <c r="E19" s="506"/>
      <c r="F19" s="506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09" t="str">
        <f>+VLOOKUP($A20,Master!$D$29:$G$225,4,FALSE)</f>
        <v>Doprinosi</v>
      </c>
      <c r="C20" s="510"/>
      <c r="D20" s="510"/>
      <c r="E20" s="510"/>
      <c r="F20" s="510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05" t="str">
        <f>+VLOOKUP($A21,Master!$D$29:$G$225,4,FALSE)</f>
        <v>Doprinosi za penzijsko i invalidsko osiguranje</v>
      </c>
      <c r="C21" s="506"/>
      <c r="D21" s="506"/>
      <c r="E21" s="506"/>
      <c r="F21" s="506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05" t="str">
        <f>+VLOOKUP($A22,Master!$D$29:$G$225,4,FALSE)</f>
        <v>Doprinosi za zdravstveno osiguranje</v>
      </c>
      <c r="C22" s="506"/>
      <c r="D22" s="506"/>
      <c r="E22" s="506"/>
      <c r="F22" s="506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05" t="str">
        <f>+VLOOKUP($A23,Master!$D$29:$G$225,4,FALSE)</f>
        <v>Doprinosi za osiguranje od nezaposlenosti</v>
      </c>
      <c r="C23" s="506"/>
      <c r="D23" s="506"/>
      <c r="E23" s="506"/>
      <c r="F23" s="506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05" t="str">
        <f>+VLOOKUP($A24,Master!$D$29:$G$225,4,FALSE)</f>
        <v>Ostali doprinosi</v>
      </c>
      <c r="C24" s="506"/>
      <c r="D24" s="506"/>
      <c r="E24" s="506"/>
      <c r="F24" s="506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07" t="str">
        <f>+VLOOKUP($A25,Master!$D$29:$G$225,4,FALSE)</f>
        <v>Takse</v>
      </c>
      <c r="C25" s="508"/>
      <c r="D25" s="508"/>
      <c r="E25" s="508"/>
      <c r="F25" s="508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07" t="str">
        <f>+VLOOKUP($A26,Master!$D$29:$G$225,4,FALSE)</f>
        <v>Naknade</v>
      </c>
      <c r="C26" s="508"/>
      <c r="D26" s="508"/>
      <c r="E26" s="508"/>
      <c r="F26" s="508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07" t="str">
        <f>+VLOOKUP($A27,Master!$D$29:$G$225,4,FALSE)</f>
        <v>Ostali prihodi</v>
      </c>
      <c r="C27" s="508"/>
      <c r="D27" s="508"/>
      <c r="E27" s="508"/>
      <c r="F27" s="508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07" t="str">
        <f>+VLOOKUP($A28,Master!$D$29:$G$225,4,FALSE)</f>
        <v>Primici od otplate kredita i sredstva prenesena iz prethodne godine</v>
      </c>
      <c r="C28" s="508"/>
      <c r="D28" s="508"/>
      <c r="E28" s="508"/>
      <c r="F28" s="508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11" t="str">
        <f>+VLOOKUP($A29,Master!$D$29:$G$225,4,FALSE)</f>
        <v>Donacije i transferi</v>
      </c>
      <c r="C29" s="512"/>
      <c r="D29" s="512"/>
      <c r="E29" s="512"/>
      <c r="F29" s="512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13" t="str">
        <f>+VLOOKUP($A30,Master!$D$29:$G$225,4,FALSE)</f>
        <v>Izdaci budžeta</v>
      </c>
      <c r="C30" s="514"/>
      <c r="D30" s="514"/>
      <c r="E30" s="514"/>
      <c r="F30" s="514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15" t="str">
        <f>+VLOOKUP($A31,Master!$D$29:$G$225,4,FALSE)</f>
        <v>Tekući izdaci</v>
      </c>
      <c r="C31" s="516"/>
      <c r="D31" s="516"/>
      <c r="E31" s="516"/>
      <c r="F31" s="516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17" t="str">
        <f>+VLOOKUP($A32,Master!$D$29:$G$225,4,FALSE)</f>
        <v>Tekuća budžetska potrošnja</v>
      </c>
      <c r="C32" s="518"/>
      <c r="D32" s="518"/>
      <c r="E32" s="518"/>
      <c r="F32" s="518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05" t="str">
        <f>+VLOOKUP($A33,Master!$D$29:$G$225,4,FALSE)</f>
        <v>Bruto zarade i doprinosi na teret poslodavca</v>
      </c>
      <c r="C33" s="506"/>
      <c r="D33" s="506"/>
      <c r="E33" s="506"/>
      <c r="F33" s="506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05" t="str">
        <f>+VLOOKUP($A34,Master!$D$29:$G$225,4,FALSE)</f>
        <v>Ostala lična primanja</v>
      </c>
      <c r="C34" s="506"/>
      <c r="D34" s="506"/>
      <c r="E34" s="506"/>
      <c r="F34" s="506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05" t="str">
        <f>+VLOOKUP($A35,Master!$D$29:$G$225,4,FALSE)</f>
        <v>Rashodi za materijal</v>
      </c>
      <c r="C35" s="506"/>
      <c r="D35" s="506"/>
      <c r="E35" s="506"/>
      <c r="F35" s="506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05" t="str">
        <f>+VLOOKUP($A36,Master!$D$29:$G$225,4,FALSE)</f>
        <v>Rashodi za usluge</v>
      </c>
      <c r="C36" s="506"/>
      <c r="D36" s="506"/>
      <c r="E36" s="506"/>
      <c r="F36" s="506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05" t="str">
        <f>+VLOOKUP($A37,Master!$D$29:$G$225,4,FALSE)</f>
        <v>Rashodi za tekuće održavanje</v>
      </c>
      <c r="C37" s="506"/>
      <c r="D37" s="506"/>
      <c r="E37" s="506"/>
      <c r="F37" s="506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05" t="str">
        <f>+VLOOKUP($A38,Master!$D$29:$G$225,4,FALSE)</f>
        <v>Kamate</v>
      </c>
      <c r="C38" s="506"/>
      <c r="D38" s="506"/>
      <c r="E38" s="506"/>
      <c r="F38" s="506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05" t="str">
        <f>+VLOOKUP($A39,Master!$D$29:$G$225,4,FALSE)</f>
        <v>Renta</v>
      </c>
      <c r="C39" s="506"/>
      <c r="D39" s="506"/>
      <c r="E39" s="506"/>
      <c r="F39" s="506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05" t="str">
        <f>+VLOOKUP($A40,Master!$D$29:$G$225,4,FALSE)</f>
        <v>Subvencije</v>
      </c>
      <c r="C40" s="506"/>
      <c r="D40" s="506"/>
      <c r="E40" s="506"/>
      <c r="F40" s="506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05" t="str">
        <f>+VLOOKUP($A41,Master!$D$29:$G$225,4,FALSE)</f>
        <v>Ostali izdaci</v>
      </c>
      <c r="C41" s="506"/>
      <c r="D41" s="506"/>
      <c r="E41" s="506"/>
      <c r="F41" s="506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05" t="e">
        <f>+VLOOKUP($A42,Master!$D$29:$G$225,4,FALSE)</f>
        <v>#N/A</v>
      </c>
      <c r="C42" s="506"/>
      <c r="D42" s="506"/>
      <c r="E42" s="506"/>
      <c r="F42" s="506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21" t="str">
        <f>+VLOOKUP($A43,Master!$D$29:$G$225,4,FALSE)</f>
        <v>Transferi za socijalnu zaštitu</v>
      </c>
      <c r="C43" s="522"/>
      <c r="D43" s="522"/>
      <c r="E43" s="522"/>
      <c r="F43" s="522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05" t="str">
        <f>+VLOOKUP($A44,Master!$D$29:$G$225,4,FALSE)</f>
        <v>Prava iz oblasti socijalne zaštite</v>
      </c>
      <c r="C44" s="506"/>
      <c r="D44" s="506"/>
      <c r="E44" s="506"/>
      <c r="F44" s="506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05" t="str">
        <f>+VLOOKUP($A45,Master!$D$29:$G$225,4,FALSE)</f>
        <v>Sredstva za tehnološke viškove</v>
      </c>
      <c r="C45" s="506"/>
      <c r="D45" s="506"/>
      <c r="E45" s="506"/>
      <c r="F45" s="506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05" t="str">
        <f>+VLOOKUP($A46,Master!$D$29:$G$225,4,FALSE)</f>
        <v>Prava iz oblasti penzijskog i invalidskog osiguranja</v>
      </c>
      <c r="C46" s="506"/>
      <c r="D46" s="506"/>
      <c r="E46" s="506"/>
      <c r="F46" s="506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05" t="str">
        <f>+VLOOKUP($A47,Master!$D$29:$G$225,4,FALSE)</f>
        <v>Ostala prava iz oblasti zdravstvene zaštite</v>
      </c>
      <c r="C47" s="506"/>
      <c r="D47" s="506"/>
      <c r="E47" s="506"/>
      <c r="F47" s="506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05" t="str">
        <f>+VLOOKUP($A48,Master!$D$29:$G$225,4,FALSE)</f>
        <v>Ostala prava iz zdravstvenog osiguranja</v>
      </c>
      <c r="C48" s="506"/>
      <c r="D48" s="506"/>
      <c r="E48" s="506"/>
      <c r="F48" s="506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19" t="str">
        <f>+VLOOKUP($A49,Master!$D$29:$G$225,4,FALSE)</f>
        <v xml:space="preserve">Transferi institucijama, pojedincima, nevladinom i javnom sektoru </v>
      </c>
      <c r="C49" s="520"/>
      <c r="D49" s="520"/>
      <c r="E49" s="520"/>
      <c r="F49" s="520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19" t="str">
        <f>+VLOOKUP($A50,Master!$D$29:$G$225,4,FALSE)</f>
        <v>Kapitalni izdaci</v>
      </c>
      <c r="C50" s="520"/>
      <c r="D50" s="520"/>
      <c r="E50" s="520"/>
      <c r="F50" s="520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23" t="str">
        <f>+VLOOKUP($A51,Master!$D$29:$G$225,4,FALSE)</f>
        <v>Pozajmice i krediti</v>
      </c>
      <c r="C51" s="524"/>
      <c r="D51" s="524"/>
      <c r="E51" s="524"/>
      <c r="F51" s="524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23" t="str">
        <f>+VLOOKUP($A52,Master!$D$29:$G$225,4,FALSE)</f>
        <v>Rezerve</v>
      </c>
      <c r="C52" s="524"/>
      <c r="D52" s="524"/>
      <c r="E52" s="524"/>
      <c r="F52" s="524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5" t="str">
        <f>+VLOOKUP($A53,Master!$D$29:$G$225,4,FALSE)</f>
        <v>Otplata garancija</v>
      </c>
      <c r="C53" s="526"/>
      <c r="D53" s="526"/>
      <c r="E53" s="526"/>
      <c r="F53" s="526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5" t="str">
        <f>+VLOOKUP($A54,Master!$D$29:$G$225,4,FALSE)</f>
        <v>Otplata obaveza iz prethodnog perioda</v>
      </c>
      <c r="C54" s="526"/>
      <c r="D54" s="526"/>
      <c r="E54" s="526"/>
      <c r="F54" s="526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5" t="str">
        <f>+VLOOKUP($A55,Master!$D$29:$G$227,4,FALSE)</f>
        <v>Neto povećanje obaveza</v>
      </c>
      <c r="C55" s="526"/>
      <c r="D55" s="526"/>
      <c r="E55" s="526"/>
      <c r="F55" s="526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7" t="str">
        <f>+VLOOKUP($A56,Master!$D$29:$G$225,4,FALSE)</f>
        <v>Suficit / deficit</v>
      </c>
      <c r="C56" s="528"/>
      <c r="D56" s="528"/>
      <c r="E56" s="528"/>
      <c r="F56" s="528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29" t="str">
        <f>+VLOOKUP($A57,Master!$D$29:$G$225,4,FALSE)</f>
        <v>Primarni suficit/deficit</v>
      </c>
      <c r="C57" s="530"/>
      <c r="D57" s="530"/>
      <c r="E57" s="530"/>
      <c r="F57" s="530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21" t="str">
        <f>+VLOOKUP($A58,Master!$D$29:$G$225,4,FALSE)</f>
        <v>Otplata dugova</v>
      </c>
      <c r="C58" s="522"/>
      <c r="D58" s="522"/>
      <c r="E58" s="522"/>
      <c r="F58" s="522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47" t="str">
        <f>+VLOOKUP($A59,Master!$D$29:$G$225,4,FALSE)</f>
        <v>Otplata hartija od vrijednosti i kredita rezidentima</v>
      </c>
      <c r="C59" s="548"/>
      <c r="D59" s="548"/>
      <c r="E59" s="548"/>
      <c r="F59" s="548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23" t="str">
        <f>+VLOOKUP($A60,Master!$D$29:$G$225,4,FALSE)</f>
        <v>Otplata hartija od vrijednosti i kredita nerezidentima</v>
      </c>
      <c r="C60" s="524"/>
      <c r="D60" s="524"/>
      <c r="E60" s="524"/>
      <c r="F60" s="524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49" t="str">
        <f>+VLOOKUP($A62,Master!$D$29:$G$225,4,FALSE)</f>
        <v>Nedostajuća sredstva</v>
      </c>
      <c r="C62" s="550"/>
      <c r="D62" s="550"/>
      <c r="E62" s="550"/>
      <c r="F62" s="550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13" t="str">
        <f>+VLOOKUP($A63,Master!$D$29:$G$225,4,FALSE)</f>
        <v>Finansiranje</v>
      </c>
      <c r="C63" s="514"/>
      <c r="D63" s="514"/>
      <c r="E63" s="514"/>
      <c r="F63" s="514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47" t="str">
        <f>+VLOOKUP($A64,Master!$D$29:$G$225,4,FALSE)</f>
        <v>Pozajmice i krediti od domaćih izvora</v>
      </c>
      <c r="C64" s="548"/>
      <c r="D64" s="548"/>
      <c r="E64" s="548"/>
      <c r="F64" s="548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23" t="str">
        <f>+VLOOKUP($A65,Master!$D$29:$G$225,4,FALSE)</f>
        <v>Pozajmice i krediti od inostranih izvora</v>
      </c>
      <c r="C65" s="524"/>
      <c r="D65" s="524"/>
      <c r="E65" s="524"/>
      <c r="F65" s="524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23" t="str">
        <f>+VLOOKUP($A66,Master!$D$29:$G$225,4,FALSE)</f>
        <v>Primici od prodaje imovine</v>
      </c>
      <c r="C66" s="524"/>
      <c r="D66" s="524"/>
      <c r="E66" s="524"/>
      <c r="F66" s="524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Decembar</v>
      </c>
      <c r="E11" s="135"/>
      <c r="F11" s="135"/>
      <c r="G11" s="137" t="str">
        <f>+Master!G273</f>
        <v>Prihodi za period Januar - Decembar</v>
      </c>
      <c r="H11" s="135"/>
      <c r="I11" s="135"/>
      <c r="J11" s="135"/>
      <c r="K11" s="136"/>
    </row>
    <row r="12" spans="3:11">
      <c r="C12" s="134"/>
      <c r="D12" s="138">
        <f>+'Analitika - 2021'!N10</f>
        <v>246786376.26000002</v>
      </c>
      <c r="E12" s="455">
        <f>+D12/'2021'!T7</f>
        <v>5.0557510552516755E-2</v>
      </c>
      <c r="F12" s="135"/>
      <c r="G12" s="138">
        <f>+'Analitika - 2021'!G10</f>
        <v>1909996558.0599999</v>
      </c>
      <c r="H12" s="455">
        <f>+G12/'2021'!T7</f>
        <v>0.391288500616639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Decembar</v>
      </c>
      <c r="E15" s="135"/>
      <c r="F15" s="135"/>
      <c r="G15" s="137" t="str">
        <f>+Master!G274</f>
        <v>Rashodi za period Januar - Decembar</v>
      </c>
      <c r="H15" s="135"/>
      <c r="I15" s="135"/>
      <c r="J15" s="135"/>
      <c r="K15" s="136"/>
    </row>
    <row r="16" spans="3:11">
      <c r="C16" s="134"/>
      <c r="D16" s="138">
        <f>+'Analitika - 2021'!N29</f>
        <v>272548252.21000004</v>
      </c>
      <c r="E16" s="455">
        <f>+D16/'2021'!T7</f>
        <v>5.5835177557208127E-2</v>
      </c>
      <c r="F16" s="135"/>
      <c r="G16" s="138">
        <f>+'Analitika - 2021'!G29</f>
        <v>2011576558.4900002</v>
      </c>
      <c r="H16" s="455">
        <f>+G16/'2021'!T7</f>
        <v>0.41209853081965875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Decembar</v>
      </c>
      <c r="E19" s="135"/>
      <c r="F19" s="135"/>
      <c r="G19" s="137" t="str">
        <f>+Master!G275</f>
        <v>Suficit/Deficit za period Januar - Decembar</v>
      </c>
      <c r="H19" s="135"/>
      <c r="I19" s="135"/>
      <c r="J19" s="135"/>
      <c r="K19" s="136"/>
    </row>
    <row r="20" spans="3:12">
      <c r="C20" s="134"/>
      <c r="D20" s="138">
        <f>+'Analitika - 2021'!N53</f>
        <v>-25761875.950000018</v>
      </c>
      <c r="E20" s="455">
        <f>+D20/'2021'!T7</f>
        <v>-5.2776670046913773E-3</v>
      </c>
      <c r="F20" s="135"/>
      <c r="G20" s="138">
        <f>+'Analitika - 2021'!G53</f>
        <v>-101580000.42999996</v>
      </c>
      <c r="H20" s="455">
        <f>+G20/'2021'!T7</f>
        <v>-2.0810030203019681E-2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vDzc5Da42VvFvMmgCniYJQG8/Emlr/Ngy2iF06RzWe3fH4j4Kygncqr34ZB1I5udteuvl4hymyxhGYJE4/bGVA==" saltValue="rXeyq29XdB4k2+kxbQNqE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tabSelected="1" zoomScale="115" zoomScaleNormal="115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tr">
        <f>+Master!G7</f>
        <v>Ministarstvo finansija i socijalnog staranja</v>
      </c>
      <c r="G3" s="355"/>
    </row>
    <row r="4" spans="1:20" s="1" customFormat="1">
      <c r="E4" s="4" t="str">
        <f>+Master!G8</f>
        <v>Direktorat za državni budžet</v>
      </c>
      <c r="G4" s="355"/>
      <c r="H4" s="363"/>
      <c r="I4" s="363"/>
      <c r="J4" s="363"/>
    </row>
    <row r="5" spans="1:20" s="1" customFormat="1">
      <c r="G5" s="355"/>
      <c r="H5" s="355"/>
      <c r="N5" s="484"/>
      <c r="P5" s="484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2021-12</v>
      </c>
      <c r="O6" s="143" t="str">
        <f>+CONCATENATE(N6,"p")</f>
        <v>2021-12p</v>
      </c>
      <c r="P6" s="130"/>
      <c r="Q6" s="130"/>
      <c r="R6" s="143" t="str">
        <f>+IF(Master!B3-10&gt;=0,CONCATENATE(Master!B4-1,"-",Master!B3),CONCATENATE(Master!B4-1,"-0",Master!B3))</f>
        <v>2020-12</v>
      </c>
      <c r="S6" s="130"/>
      <c r="T6" s="130"/>
    </row>
    <row r="7" spans="1:20">
      <c r="A7" s="144"/>
      <c r="B7" s="533" t="str">
        <f>+Master!G253</f>
        <v>Analitika za period Jan - Dec</v>
      </c>
      <c r="C7" s="534"/>
      <c r="D7" s="534"/>
      <c r="E7" s="534"/>
      <c r="F7" s="534"/>
      <c r="G7" s="542" t="str">
        <f>+Master!G245</f>
        <v>Jan - Dec</v>
      </c>
      <c r="H7" s="543"/>
      <c r="I7" s="543"/>
      <c r="J7" s="543"/>
      <c r="K7" s="543"/>
      <c r="L7" s="543"/>
      <c r="M7" s="544"/>
      <c r="N7" s="545" t="str">
        <f>+Master!G244</f>
        <v>Decembar</v>
      </c>
      <c r="O7" s="543"/>
      <c r="P7" s="543"/>
      <c r="Q7" s="543"/>
      <c r="R7" s="543"/>
      <c r="S7" s="543"/>
      <c r="T7" s="546"/>
    </row>
    <row r="8" spans="1:20">
      <c r="A8" s="144"/>
      <c r="B8" s="535"/>
      <c r="C8" s="536"/>
      <c r="D8" s="536"/>
      <c r="E8" s="536"/>
      <c r="F8" s="537"/>
      <c r="G8" s="357" t="str">
        <f>+Master!G25</f>
        <v>Ostvarenje</v>
      </c>
      <c r="H8" s="145" t="str">
        <f>+Master!G24</f>
        <v>Plan</v>
      </c>
      <c r="I8" s="531" t="str">
        <f>+Master!G260</f>
        <v>Odstupanje</v>
      </c>
      <c r="J8" s="531"/>
      <c r="K8" s="145" t="str">
        <f>+CONCATENATE(Master!G245," ",Master!B4-1)</f>
        <v>Jan - Dec 2020</v>
      </c>
      <c r="L8" s="531" t="str">
        <f>+I8</f>
        <v>Odstupanje</v>
      </c>
      <c r="M8" s="541"/>
      <c r="N8" s="146" t="str">
        <f>+G8</f>
        <v>Ostvarenje</v>
      </c>
      <c r="O8" s="145" t="str">
        <f>+H8</f>
        <v>Plan</v>
      </c>
      <c r="P8" s="531" t="str">
        <f>+I8</f>
        <v>Odstupanje</v>
      </c>
      <c r="Q8" s="531"/>
      <c r="R8" s="145" t="str">
        <f>+CONCATENATE(Master!G244," ",Master!B4-1)</f>
        <v>Decembar 2020</v>
      </c>
      <c r="S8" s="531" t="str">
        <f>+P8</f>
        <v>Odstupanje</v>
      </c>
      <c r="T8" s="532"/>
    </row>
    <row r="9" spans="1:20" ht="15.75" thickBot="1">
      <c r="A9" s="144"/>
      <c r="B9" s="538"/>
      <c r="C9" s="539"/>
      <c r="D9" s="539"/>
      <c r="E9" s="539"/>
      <c r="F9" s="540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13" t="str">
        <f>+VLOOKUP($A10,Master!$D$29:$G$225,4,FALSE)</f>
        <v>Prihodi budžeta</v>
      </c>
      <c r="C10" s="514"/>
      <c r="D10" s="514"/>
      <c r="E10" s="514"/>
      <c r="F10" s="514"/>
      <c r="G10" s="151">
        <f>'2021'!S10</f>
        <v>1909996558.0599999</v>
      </c>
      <c r="H10" s="151">
        <f>SUM('2021'!G84:R84)</f>
        <v>1880205845.3399</v>
      </c>
      <c r="I10" s="152">
        <f>+G10-H10</f>
        <v>29790712.720099926</v>
      </c>
      <c r="J10" s="154">
        <f>IF(+IF(ISERROR(G10/H10),"…",G10/H10-1)&gt;200%,"...",IF(ISERROR(G10/H10),"…",G10/H10-1))</f>
        <v>1.5844388950250421E-2</v>
      </c>
      <c r="K10" s="151">
        <f>SUM('2020'!G10:R10)</f>
        <v>1638529040.5900002</v>
      </c>
      <c r="L10" s="152">
        <f>+G10-K10</f>
        <v>271467517.46999979</v>
      </c>
      <c r="M10" s="154">
        <f>IF(+IF(ISERROR(G10/K10),"…",G10/K10-1)&gt;200%,"...",IF(ISERROR(G10/K10),"…",G10/K10-1))</f>
        <v>0.16567757466919852</v>
      </c>
      <c r="N10" s="151">
        <f>'2021'!R10</f>
        <v>246786376.26000002</v>
      </c>
      <c r="O10" s="151">
        <f>'2021'!R84</f>
        <v>217094780.25459373</v>
      </c>
      <c r="P10" s="152">
        <f>+N10-O10</f>
        <v>29691596.00540629</v>
      </c>
      <c r="Q10" s="154">
        <f>IF(+IF(ISERROR(N10/O10),"…",N10/O10-1)&gt;200%,"...",IF(ISERROR(N10/O10),"…",N10/O10-1))</f>
        <v>0.1367678945140276</v>
      </c>
      <c r="R10" s="151">
        <f>'2020'!R10</f>
        <v>183087641.51999998</v>
      </c>
      <c r="S10" s="152">
        <f>+N10-R10</f>
        <v>63698734.740000039</v>
      </c>
      <c r="T10" s="154">
        <f>IF(+IF(ISERROR(N10/R10),"…",N10/R10-1)&gt;200%,"...",IF(ISERROR(N10/R10),"…",N10/R10-1))</f>
        <v>0.34791389637864634</v>
      </c>
    </row>
    <row r="11" spans="1:20">
      <c r="A11" s="150">
        <v>711</v>
      </c>
      <c r="B11" s="503" t="str">
        <f>+VLOOKUP($A11,Master!$D$29:$G$225,4,FALSE)</f>
        <v>Porezi</v>
      </c>
      <c r="C11" s="504"/>
      <c r="D11" s="504"/>
      <c r="E11" s="504"/>
      <c r="F11" s="504"/>
      <c r="G11" s="277">
        <f>'2021'!S11</f>
        <v>1183874153.45</v>
      </c>
      <c r="H11" s="277">
        <f>SUM('2021'!G85:R85)</f>
        <v>1105088585.2469258</v>
      </c>
      <c r="I11" s="158">
        <f t="shared" ref="I11:I57" si="0">+G11-H11</f>
        <v>78785568.203074217</v>
      </c>
      <c r="J11" s="160">
        <f t="shared" ref="J11:J64" si="1">IF(+IF(ISERROR(G11/H11-1),"…",G11/H11-1)&gt;200%,"...",IF(ISERROR(G11/H11-1),"…",G11/H11-1))</f>
        <v>7.129344131762072E-2</v>
      </c>
      <c r="K11" s="277">
        <f>SUM('2020'!G11:R11)</f>
        <v>966103834.27999997</v>
      </c>
      <c r="L11" s="158">
        <f>+G11-K11</f>
        <v>217770319.17000008</v>
      </c>
      <c r="M11" s="160">
        <f t="shared" ref="M11:M64" si="2">IF(+IF(ISERROR(G11/K11),"…",G11/K11-1)&gt;200%,"...",IF(ISERROR(G11/K11),"…",G11/K11-1))</f>
        <v>0.22541088384386332</v>
      </c>
      <c r="N11" s="277">
        <f>'2021'!R11</f>
        <v>117752057.5</v>
      </c>
      <c r="O11" s="277">
        <f>'2021'!R85</f>
        <v>101482973.94958548</v>
      </c>
      <c r="P11" s="158">
        <f>+N11-O11</f>
        <v>16269083.550414518</v>
      </c>
      <c r="Q11" s="160">
        <f t="shared" ref="Q11:Q64" si="3">IF(+IF(ISERROR(N11/O11),"…",N11/O11-1)&gt;200%,"...",IF(ISERROR(N11/O11),"…",N11/O11-1))</f>
        <v>0.1603134291127164</v>
      </c>
      <c r="R11" s="277">
        <f>'2020'!R11</f>
        <v>88352824.489999995</v>
      </c>
      <c r="S11" s="158">
        <f t="shared" ref="S11:S57" si="4">+N11-R11</f>
        <v>29399233.010000005</v>
      </c>
      <c r="T11" s="160">
        <f t="shared" ref="T11:T64" si="5">IF(+IF(ISERROR(N11/R11),"…",N11/R11-1)&gt;200%,"...",IF(ISERROR(N11/R11),"…",N11/R11-1))</f>
        <v>0.33274808337709105</v>
      </c>
    </row>
    <row r="12" spans="1:20">
      <c r="A12" s="150">
        <v>7111</v>
      </c>
      <c r="B12" s="505" t="str">
        <f>+VLOOKUP($A12,Master!$D$29:$G$225,4,FALSE)</f>
        <v>Porez na dohodak fizičkih lica</v>
      </c>
      <c r="C12" s="506"/>
      <c r="D12" s="506"/>
      <c r="E12" s="506"/>
      <c r="F12" s="506"/>
      <c r="G12" s="163">
        <f>'2021'!S12</f>
        <v>126864271.05</v>
      </c>
      <c r="H12" s="163">
        <f>SUM('2021'!G86:R86)</f>
        <v>154959583.58430818</v>
      </c>
      <c r="I12" s="164">
        <f t="shared" si="0"/>
        <v>-28095312.53430818</v>
      </c>
      <c r="J12" s="166">
        <f t="shared" si="1"/>
        <v>-0.18130735695364386</v>
      </c>
      <c r="K12" s="163">
        <f>SUM('2020'!G12:R12)</f>
        <v>118342028.88000001</v>
      </c>
      <c r="L12" s="164">
        <f>+G12-K12</f>
        <v>8522242.1699999869</v>
      </c>
      <c r="M12" s="166">
        <f t="shared" si="2"/>
        <v>7.2013656100501811E-2</v>
      </c>
      <c r="N12" s="163">
        <f>'2021'!R12</f>
        <v>19177675.75</v>
      </c>
      <c r="O12" s="163">
        <f>'2021'!R86</f>
        <v>23946572.847330451</v>
      </c>
      <c r="P12" s="164">
        <f t="shared" ref="P12:P57" si="6">+N12-O12</f>
        <v>-4768897.097330451</v>
      </c>
      <c r="Q12" s="166">
        <f t="shared" si="3"/>
        <v>-0.19914737393672954</v>
      </c>
      <c r="R12" s="163">
        <f>'2020'!R12</f>
        <v>17470538.280000001</v>
      </c>
      <c r="S12" s="164">
        <f t="shared" si="4"/>
        <v>1707137.4699999988</v>
      </c>
      <c r="T12" s="166">
        <f t="shared" si="5"/>
        <v>9.7715218766573519E-2</v>
      </c>
    </row>
    <row r="13" spans="1:20">
      <c r="A13" s="150">
        <v>7112</v>
      </c>
      <c r="B13" s="505" t="str">
        <f>+VLOOKUP($A13,Master!$D$29:$G$225,4,FALSE)</f>
        <v>Porez na dobit pravnih lica</v>
      </c>
      <c r="C13" s="506"/>
      <c r="D13" s="506"/>
      <c r="E13" s="506"/>
      <c r="F13" s="506"/>
      <c r="G13" s="163">
        <f>'2021'!S13</f>
        <v>74713724.469999999</v>
      </c>
      <c r="H13" s="163">
        <f>SUM('2021'!G87:R87)</f>
        <v>60015792.830110021</v>
      </c>
      <c r="I13" s="164">
        <f t="shared" si="0"/>
        <v>14697931.639889978</v>
      </c>
      <c r="J13" s="166">
        <f t="shared" si="1"/>
        <v>0.24490106598268579</v>
      </c>
      <c r="K13" s="163">
        <f>SUM('2020'!G13:R13)</f>
        <v>78425356.609999999</v>
      </c>
      <c r="L13" s="164">
        <f t="shared" ref="L13:L57" si="7">+G13-K13</f>
        <v>-3711632.1400000006</v>
      </c>
      <c r="M13" s="166">
        <f t="shared" si="2"/>
        <v>-4.7326939913802435E-2</v>
      </c>
      <c r="N13" s="163">
        <f>'2021'!R13</f>
        <v>3395713.2</v>
      </c>
      <c r="O13" s="163">
        <f>'2021'!R87</f>
        <v>3815671.6744992118</v>
      </c>
      <c r="P13" s="164">
        <f t="shared" si="6"/>
        <v>-419958.47449921165</v>
      </c>
      <c r="Q13" s="166">
        <f t="shared" si="3"/>
        <v>-0.11006148073637101</v>
      </c>
      <c r="R13" s="163">
        <f>'2020'!R13</f>
        <v>1567852.92</v>
      </c>
      <c r="S13" s="164">
        <f t="shared" si="4"/>
        <v>1827860.2800000003</v>
      </c>
      <c r="T13" s="166">
        <f t="shared" si="5"/>
        <v>1.1658365760482177</v>
      </c>
    </row>
    <row r="14" spans="1:20">
      <c r="A14" s="150">
        <v>7113</v>
      </c>
      <c r="B14" s="505" t="str">
        <f>+VLOOKUP($A14,Master!$D$29:$G$225,4,FALSE)</f>
        <v>Porez na promet nepokretnosti</v>
      </c>
      <c r="C14" s="506"/>
      <c r="D14" s="506"/>
      <c r="E14" s="506"/>
      <c r="F14" s="506"/>
      <c r="G14" s="163">
        <f>'2021'!S14</f>
        <v>2078253.77</v>
      </c>
      <c r="H14" s="163">
        <f>SUM('2021'!G88:R88)</f>
        <v>1609075.0279599999</v>
      </c>
      <c r="I14" s="164">
        <f t="shared" si="0"/>
        <v>469178.74204000016</v>
      </c>
      <c r="J14" s="166">
        <f t="shared" si="1"/>
        <v>0.29158288699242907</v>
      </c>
      <c r="K14" s="163">
        <f>SUM('2020'!G14:R14)</f>
        <v>1543450.7200000002</v>
      </c>
      <c r="L14" s="164">
        <f t="shared" si="7"/>
        <v>534803.04999999981</v>
      </c>
      <c r="M14" s="166">
        <f t="shared" si="2"/>
        <v>0.34649829960233514</v>
      </c>
      <c r="N14" s="163">
        <f>'2021'!R14</f>
        <v>326836.90000000002</v>
      </c>
      <c r="O14" s="163">
        <f>'2021'!R88</f>
        <v>218789.00026011077</v>
      </c>
      <c r="P14" s="164">
        <f t="shared" si="6"/>
        <v>108047.89973988925</v>
      </c>
      <c r="Q14" s="166">
        <f t="shared" si="3"/>
        <v>0.49384520982057967</v>
      </c>
      <c r="R14" s="163">
        <f>'2020'!R14</f>
        <v>149701.35999999999</v>
      </c>
      <c r="S14" s="164">
        <f t="shared" si="4"/>
        <v>177135.54000000004</v>
      </c>
      <c r="T14" s="166">
        <f t="shared" si="5"/>
        <v>1.1832593905626512</v>
      </c>
    </row>
    <row r="15" spans="1:20">
      <c r="A15" s="150">
        <v>7114</v>
      </c>
      <c r="B15" s="505" t="str">
        <f>+VLOOKUP($A15,Master!$D$29:$G$225,4,FALSE)</f>
        <v>Porez na dodatu vrijednost</v>
      </c>
      <c r="C15" s="506"/>
      <c r="D15" s="506"/>
      <c r="E15" s="506"/>
      <c r="F15" s="506"/>
      <c r="G15" s="163">
        <f>'2021'!S15</f>
        <v>691948121.63999999</v>
      </c>
      <c r="H15" s="163">
        <f>SUM('2021'!G89:R89)</f>
        <v>611810518.84138763</v>
      </c>
      <c r="I15" s="164">
        <f t="shared" si="0"/>
        <v>80137602.798612356</v>
      </c>
      <c r="J15" s="166">
        <f t="shared" si="1"/>
        <v>0.13098434945246185</v>
      </c>
      <c r="K15" s="163">
        <f>SUM('2020'!G15:R15)</f>
        <v>529780411.99000001</v>
      </c>
      <c r="L15" s="164">
        <f t="shared" si="7"/>
        <v>162167709.64999998</v>
      </c>
      <c r="M15" s="166">
        <f t="shared" si="2"/>
        <v>0.30610363459995393</v>
      </c>
      <c r="N15" s="163">
        <f>'2021'!R15</f>
        <v>69407107.409999996</v>
      </c>
      <c r="O15" s="163">
        <f>'2021'!R89</f>
        <v>50497872.769622691</v>
      </c>
      <c r="P15" s="164">
        <f t="shared" si="6"/>
        <v>18909234.640377305</v>
      </c>
      <c r="Q15" s="166">
        <f t="shared" si="3"/>
        <v>0.37445606326118885</v>
      </c>
      <c r="R15" s="163">
        <f>'2020'!R15</f>
        <v>47614560.32</v>
      </c>
      <c r="S15" s="164">
        <f t="shared" si="4"/>
        <v>21792547.089999996</v>
      </c>
      <c r="T15" s="166">
        <f t="shared" si="5"/>
        <v>0.45768661820124512</v>
      </c>
    </row>
    <row r="16" spans="1:20">
      <c r="A16" s="150">
        <v>7115</v>
      </c>
      <c r="B16" s="505" t="str">
        <f>+VLOOKUP($A16,Master!$D$29:$G$225,4,FALSE)</f>
        <v>Akcize</v>
      </c>
      <c r="C16" s="506"/>
      <c r="D16" s="506"/>
      <c r="E16" s="506"/>
      <c r="F16" s="506"/>
      <c r="G16" s="163">
        <f>'2021'!S16</f>
        <v>248717895.15999997</v>
      </c>
      <c r="H16" s="163">
        <f>SUM('2021'!G90:R90)</f>
        <v>240968307.65850002</v>
      </c>
      <c r="I16" s="164">
        <f t="shared" si="0"/>
        <v>7749587.5014999509</v>
      </c>
      <c r="J16" s="166">
        <f t="shared" si="1"/>
        <v>3.2160193914307911E-2</v>
      </c>
      <c r="K16" s="163">
        <f>SUM('2020'!G16:R16)</f>
        <v>205392597.77000004</v>
      </c>
      <c r="L16" s="164">
        <f t="shared" si="7"/>
        <v>43325297.389999926</v>
      </c>
      <c r="M16" s="166">
        <f t="shared" si="2"/>
        <v>0.21093894259283807</v>
      </c>
      <c r="N16" s="163">
        <f>'2021'!R16</f>
        <v>21883171.960000001</v>
      </c>
      <c r="O16" s="163">
        <f>'2021'!R90</f>
        <v>20023707.412636567</v>
      </c>
      <c r="P16" s="164">
        <f t="shared" si="6"/>
        <v>1859464.547363434</v>
      </c>
      <c r="Q16" s="166">
        <f t="shared" si="3"/>
        <v>9.2863150117243665E-2</v>
      </c>
      <c r="R16" s="163">
        <f>'2020'!R16</f>
        <v>18798010.52</v>
      </c>
      <c r="S16" s="164">
        <f t="shared" si="4"/>
        <v>3085161.4400000013</v>
      </c>
      <c r="T16" s="166">
        <f t="shared" si="5"/>
        <v>0.16412169983188196</v>
      </c>
    </row>
    <row r="17" spans="1:20">
      <c r="A17" s="150">
        <v>7116</v>
      </c>
      <c r="B17" s="505" t="str">
        <f>+VLOOKUP($A17,Master!$D$29:$G$225,4,FALSE)</f>
        <v>Porez na međunarodnu trgovinu i transakcije</v>
      </c>
      <c r="C17" s="506"/>
      <c r="D17" s="506"/>
      <c r="E17" s="506"/>
      <c r="F17" s="506"/>
      <c r="G17" s="163">
        <f>'2021'!S17</f>
        <v>28296642.069999997</v>
      </c>
      <c r="H17" s="163">
        <f>SUM('2021'!G91:R91)</f>
        <v>24784772.073620006</v>
      </c>
      <c r="I17" s="164">
        <f t="shared" si="0"/>
        <v>3511869.9963799901</v>
      </c>
      <c r="J17" s="166">
        <f t="shared" si="1"/>
        <v>0.14169466581933565</v>
      </c>
      <c r="K17" s="163">
        <f>SUM('2020'!G17:R17)</f>
        <v>22637911.669999998</v>
      </c>
      <c r="L17" s="164">
        <f t="shared" si="7"/>
        <v>5658730.3999999985</v>
      </c>
      <c r="M17" s="166">
        <f t="shared" si="2"/>
        <v>0.24996697939673518</v>
      </c>
      <c r="N17" s="163">
        <f>'2021'!R17</f>
        <v>2571250.9</v>
      </c>
      <c r="O17" s="163">
        <f>'2021'!R91</f>
        <v>2089550.5123979643</v>
      </c>
      <c r="P17" s="164">
        <f t="shared" si="6"/>
        <v>481700.38760203565</v>
      </c>
      <c r="Q17" s="166">
        <f t="shared" si="3"/>
        <v>0.23052823310274384</v>
      </c>
      <c r="R17" s="163">
        <f>'2020'!R17</f>
        <v>1949967.07</v>
      </c>
      <c r="S17" s="164">
        <f t="shared" si="4"/>
        <v>621283.82999999984</v>
      </c>
      <c r="T17" s="166">
        <f t="shared" si="5"/>
        <v>0.31861247277370675</v>
      </c>
    </row>
    <row r="18" spans="1:20">
      <c r="A18" s="150">
        <v>7118</v>
      </c>
      <c r="B18" s="505" t="str">
        <f>+VLOOKUP($A18,Master!$D$29:$G$225,4,FALSE)</f>
        <v>Ostali državni porezi</v>
      </c>
      <c r="C18" s="506"/>
      <c r="D18" s="506"/>
      <c r="E18" s="506"/>
      <c r="F18" s="506"/>
      <c r="G18" s="163">
        <f>'2021'!S18</f>
        <v>11255245.290000003</v>
      </c>
      <c r="H18" s="163">
        <f>SUM('2021'!G92:R92)</f>
        <v>10940535.231040001</v>
      </c>
      <c r="I18" s="164">
        <f t="shared" si="0"/>
        <v>314710.05896000192</v>
      </c>
      <c r="J18" s="166">
        <f t="shared" si="1"/>
        <v>2.8765508479614565E-2</v>
      </c>
      <c r="K18" s="163">
        <f>SUM('2020'!G18:R18)</f>
        <v>9982076.6400000006</v>
      </c>
      <c r="L18" s="164">
        <f t="shared" si="7"/>
        <v>1273168.6500000022</v>
      </c>
      <c r="M18" s="166">
        <f t="shared" si="2"/>
        <v>0.12754546933632871</v>
      </c>
      <c r="N18" s="163">
        <f>'2021'!R18</f>
        <v>990301.38</v>
      </c>
      <c r="O18" s="163">
        <f>'2021'!R92</f>
        <v>890809.73283849703</v>
      </c>
      <c r="P18" s="164">
        <f t="shared" si="6"/>
        <v>99491.647161502973</v>
      </c>
      <c r="Q18" s="166">
        <f t="shared" si="3"/>
        <v>0.11168675362861213</v>
      </c>
      <c r="R18" s="163">
        <f>'2020'!R18</f>
        <v>802194.02</v>
      </c>
      <c r="S18" s="164">
        <f t="shared" si="4"/>
        <v>188107.36</v>
      </c>
      <c r="T18" s="166">
        <f t="shared" si="5"/>
        <v>0.23449110228969294</v>
      </c>
    </row>
    <row r="19" spans="1:20">
      <c r="A19" s="150">
        <v>712</v>
      </c>
      <c r="B19" s="507" t="str">
        <f>+VLOOKUP($A19,Master!$D$29:$G$225,4,FALSE)</f>
        <v>Doprinosi</v>
      </c>
      <c r="C19" s="508"/>
      <c r="D19" s="508"/>
      <c r="E19" s="508"/>
      <c r="F19" s="508"/>
      <c r="G19" s="169">
        <f>'2021'!S19</f>
        <v>554476128.65999997</v>
      </c>
      <c r="H19" s="169">
        <f>SUM('2021'!G93:R93)</f>
        <v>581841303.53317392</v>
      </c>
      <c r="I19" s="170">
        <f t="shared" si="0"/>
        <v>-27365174.873173952</v>
      </c>
      <c r="J19" s="172">
        <f t="shared" si="1"/>
        <v>-4.7032025239531206E-2</v>
      </c>
      <c r="K19" s="169">
        <f>SUM('2020'!G19:R19)</f>
        <v>531020571.38999999</v>
      </c>
      <c r="L19" s="170">
        <f t="shared" si="7"/>
        <v>23455557.269999981</v>
      </c>
      <c r="M19" s="172">
        <f t="shared" si="2"/>
        <v>4.4170713026432606E-2</v>
      </c>
      <c r="N19" s="169">
        <f>'2021'!R19</f>
        <v>86995680.920000002</v>
      </c>
      <c r="O19" s="169">
        <f>'2021'!R93</f>
        <v>92578051.389994115</v>
      </c>
      <c r="P19" s="170">
        <f t="shared" si="6"/>
        <v>-5582370.4699941128</v>
      </c>
      <c r="Q19" s="172">
        <f t="shared" si="3"/>
        <v>-6.0299070742781513E-2</v>
      </c>
      <c r="R19" s="169">
        <f>'2020'!R19</f>
        <v>80544326.960000008</v>
      </c>
      <c r="S19" s="170">
        <f t="shared" si="4"/>
        <v>6451353.9599999934</v>
      </c>
      <c r="T19" s="172">
        <f t="shared" si="5"/>
        <v>8.0096937965647985E-2</v>
      </c>
    </row>
    <row r="20" spans="1:20">
      <c r="A20" s="150">
        <v>7121</v>
      </c>
      <c r="B20" s="505" t="str">
        <f>+VLOOKUP($A20,Master!$D$29:$G$225,4,FALSE)</f>
        <v>Doprinosi za penzijsko i invalidsko osiguranje</v>
      </c>
      <c r="C20" s="506"/>
      <c r="D20" s="506"/>
      <c r="E20" s="506"/>
      <c r="F20" s="506"/>
      <c r="G20" s="163">
        <f>'2021'!S20</f>
        <v>343738250.03000003</v>
      </c>
      <c r="H20" s="163">
        <f>SUM('2021'!G94:R94)</f>
        <v>362034940.39566004</v>
      </c>
      <c r="I20" s="164">
        <f t="shared" si="0"/>
        <v>-18296690.365660012</v>
      </c>
      <c r="J20" s="166">
        <f t="shared" si="1"/>
        <v>-5.0538465557119827E-2</v>
      </c>
      <c r="K20" s="163">
        <f>SUM('2020'!G20:R20)</f>
        <v>330807303.88</v>
      </c>
      <c r="L20" s="164">
        <f t="shared" si="7"/>
        <v>12930946.150000036</v>
      </c>
      <c r="M20" s="166">
        <f t="shared" si="2"/>
        <v>3.9089058791430764E-2</v>
      </c>
      <c r="N20" s="163">
        <f>'2021'!R20</f>
        <v>54713937.329999998</v>
      </c>
      <c r="O20" s="163">
        <f>'2021'!R94</f>
        <v>59509372.781334966</v>
      </c>
      <c r="P20" s="164">
        <f t="shared" si="6"/>
        <v>-4795435.4513349682</v>
      </c>
      <c r="Q20" s="166">
        <f t="shared" si="3"/>
        <v>-8.0582859929571482E-2</v>
      </c>
      <c r="R20" s="163">
        <f>'2020'!R20</f>
        <v>49994308.450000003</v>
      </c>
      <c r="S20" s="164">
        <f t="shared" si="4"/>
        <v>4719628.8799999952</v>
      </c>
      <c r="T20" s="166">
        <f t="shared" si="5"/>
        <v>9.4403323624731472E-2</v>
      </c>
    </row>
    <row r="21" spans="1:20">
      <c r="A21" s="150">
        <v>7122</v>
      </c>
      <c r="B21" s="505" t="str">
        <f>+VLOOKUP($A21,Master!$D$29:$G$225,4,FALSE)</f>
        <v>Doprinosi za zdravstveno osiguranje</v>
      </c>
      <c r="C21" s="506"/>
      <c r="D21" s="506"/>
      <c r="E21" s="506"/>
      <c r="F21" s="506"/>
      <c r="G21" s="163">
        <f>'2021'!S21</f>
        <v>180566476.64000002</v>
      </c>
      <c r="H21" s="163">
        <f>SUM('2021'!G95:R95)</f>
        <v>187402274.12378716</v>
      </c>
      <c r="I21" s="164">
        <f t="shared" si="0"/>
        <v>-6835797.4837871492</v>
      </c>
      <c r="J21" s="166">
        <f t="shared" si="1"/>
        <v>-3.6476598353720191E-2</v>
      </c>
      <c r="K21" s="163">
        <f>SUM('2020'!G21:R21)</f>
        <v>171561649.05999997</v>
      </c>
      <c r="L21" s="164">
        <f t="shared" si="7"/>
        <v>9004827.5800000429</v>
      </c>
      <c r="M21" s="166">
        <f t="shared" si="2"/>
        <v>5.2487415627782807E-2</v>
      </c>
      <c r="N21" s="163">
        <f>'2021'!R21</f>
        <v>27627105</v>
      </c>
      <c r="O21" s="163">
        <f>'2021'!R95</f>
        <v>27787689.034349438</v>
      </c>
      <c r="P21" s="164">
        <f t="shared" si="6"/>
        <v>-160584.0343494378</v>
      </c>
      <c r="Q21" s="166">
        <f t="shared" si="3"/>
        <v>-5.7789632722222706E-3</v>
      </c>
      <c r="R21" s="163">
        <f>'2020'!R21</f>
        <v>26271305.699999999</v>
      </c>
      <c r="S21" s="164">
        <f t="shared" si="4"/>
        <v>1355799.3000000007</v>
      </c>
      <c r="T21" s="166">
        <f t="shared" si="5"/>
        <v>5.1607610047337715E-2</v>
      </c>
    </row>
    <row r="22" spans="1:20">
      <c r="A22" s="150">
        <v>7123</v>
      </c>
      <c r="B22" s="505" t="str">
        <f>+VLOOKUP($A22,Master!$D$29:$G$225,4,FALSE)</f>
        <v>Doprinosi za osiguranje od nezaposlenosti</v>
      </c>
      <c r="C22" s="506"/>
      <c r="D22" s="506"/>
      <c r="E22" s="506"/>
      <c r="F22" s="506"/>
      <c r="G22" s="163">
        <f>'2021'!S22</f>
        <v>16358834.440000001</v>
      </c>
      <c r="H22" s="163">
        <f>SUM('2021'!G96:R96)</f>
        <v>17498483.923017729</v>
      </c>
      <c r="I22" s="164">
        <f t="shared" si="0"/>
        <v>-1139649.4830177277</v>
      </c>
      <c r="J22" s="166">
        <f t="shared" si="1"/>
        <v>-6.5128469873816819E-2</v>
      </c>
      <c r="K22" s="163">
        <f>SUM('2020'!G22:R22)</f>
        <v>15419628.560000002</v>
      </c>
      <c r="L22" s="164">
        <f t="shared" si="7"/>
        <v>939205.87999999896</v>
      </c>
      <c r="M22" s="166">
        <f t="shared" si="2"/>
        <v>6.0909760332125584E-2</v>
      </c>
      <c r="N22" s="163">
        <f>'2021'!R22</f>
        <v>2523171.67</v>
      </c>
      <c r="O22" s="163">
        <f>'2021'!R96</f>
        <v>2809944.7231285297</v>
      </c>
      <c r="P22" s="164">
        <f t="shared" si="6"/>
        <v>-286773.05312852981</v>
      </c>
      <c r="Q22" s="166">
        <f t="shared" si="3"/>
        <v>-0.10205647490789183</v>
      </c>
      <c r="R22" s="163">
        <f>'2020'!R22</f>
        <v>2323446.4500000002</v>
      </c>
      <c r="S22" s="164">
        <f t="shared" si="4"/>
        <v>199725.21999999974</v>
      </c>
      <c r="T22" s="166">
        <f t="shared" si="5"/>
        <v>8.5960758854588537E-2</v>
      </c>
    </row>
    <row r="23" spans="1:20">
      <c r="A23" s="150">
        <v>7124</v>
      </c>
      <c r="B23" s="505" t="str">
        <f>+VLOOKUP($A23,Master!$D$29:$G$225,4,FALSE)</f>
        <v>Ostali doprinosi</v>
      </c>
      <c r="C23" s="506"/>
      <c r="D23" s="506"/>
      <c r="E23" s="506"/>
      <c r="F23" s="506"/>
      <c r="G23" s="163">
        <f>'2021'!S23</f>
        <v>13812567.550000001</v>
      </c>
      <c r="H23" s="163">
        <f>SUM('2021'!G97:R97)</f>
        <v>14905605.09070906</v>
      </c>
      <c r="I23" s="164">
        <f t="shared" si="0"/>
        <v>-1093037.5407090597</v>
      </c>
      <c r="J23" s="166">
        <f t="shared" si="1"/>
        <v>-7.3330638646153967E-2</v>
      </c>
      <c r="K23" s="163">
        <f>SUM('2020'!G23:R23)</f>
        <v>13231989.889999999</v>
      </c>
      <c r="L23" s="164">
        <f t="shared" si="7"/>
        <v>580577.66000000201</v>
      </c>
      <c r="M23" s="166">
        <f t="shared" si="2"/>
        <v>4.3876821613865413E-2</v>
      </c>
      <c r="N23" s="163">
        <f>'2021'!R23</f>
        <v>2131466.92</v>
      </c>
      <c r="O23" s="163">
        <f>'2021'!R97</f>
        <v>2471044.8511811825</v>
      </c>
      <c r="P23" s="164">
        <f t="shared" si="6"/>
        <v>-339577.93118118262</v>
      </c>
      <c r="Q23" s="166">
        <f t="shared" si="3"/>
        <v>-0.13742281165753067</v>
      </c>
      <c r="R23" s="163">
        <f>'2020'!R23</f>
        <v>1955266.36</v>
      </c>
      <c r="S23" s="164">
        <f t="shared" si="4"/>
        <v>176200.55999999982</v>
      </c>
      <c r="T23" s="166">
        <f t="shared" si="5"/>
        <v>9.0115885796756556E-2</v>
      </c>
    </row>
    <row r="24" spans="1:20">
      <c r="A24" s="150">
        <v>713</v>
      </c>
      <c r="B24" s="507" t="str">
        <f>+VLOOKUP($A24,Master!$D$29:$G$225,4,FALSE)</f>
        <v>Takse</v>
      </c>
      <c r="C24" s="508"/>
      <c r="D24" s="508"/>
      <c r="E24" s="508"/>
      <c r="F24" s="508"/>
      <c r="G24" s="175">
        <f>'2021'!S24</f>
        <v>12561706.16</v>
      </c>
      <c r="H24" s="175">
        <f>SUM('2021'!G98:R98)</f>
        <v>12777235.973279998</v>
      </c>
      <c r="I24" s="176">
        <f t="shared" si="0"/>
        <v>-215529.81327999756</v>
      </c>
      <c r="J24" s="178">
        <f t="shared" si="1"/>
        <v>-1.6868265854267483E-2</v>
      </c>
      <c r="K24" s="175">
        <f>SUM('2020'!G24:R24)</f>
        <v>10636442.85</v>
      </c>
      <c r="L24" s="176">
        <f t="shared" si="7"/>
        <v>1925263.3100000005</v>
      </c>
      <c r="M24" s="178">
        <f t="shared" si="2"/>
        <v>0.18100631359101427</v>
      </c>
      <c r="N24" s="175">
        <f>'2021'!R24</f>
        <v>1167987.26</v>
      </c>
      <c r="O24" s="175">
        <f>'2021'!R98</f>
        <v>1084146.0745976409</v>
      </c>
      <c r="P24" s="176">
        <f t="shared" si="6"/>
        <v>83841.185402359115</v>
      </c>
      <c r="Q24" s="178">
        <f t="shared" si="3"/>
        <v>7.7333845841276672E-2</v>
      </c>
      <c r="R24" s="175">
        <f>'2020'!R24</f>
        <v>1215368.99</v>
      </c>
      <c r="S24" s="176">
        <f t="shared" si="4"/>
        <v>-47381.729999999981</v>
      </c>
      <c r="T24" s="178">
        <f t="shared" si="5"/>
        <v>-3.8985468931538203E-2</v>
      </c>
    </row>
    <row r="25" spans="1:20">
      <c r="A25" s="150">
        <v>714</v>
      </c>
      <c r="B25" s="507" t="str">
        <f>+VLOOKUP($A25,Master!$D$29:$G$225,4,FALSE)</f>
        <v>Naknade</v>
      </c>
      <c r="C25" s="508"/>
      <c r="D25" s="508"/>
      <c r="E25" s="508"/>
      <c r="F25" s="508"/>
      <c r="G25" s="175">
        <f>'2021'!S25</f>
        <v>51095041.979999997</v>
      </c>
      <c r="H25" s="175">
        <f>SUM('2021'!G99:R99)</f>
        <v>40543371.613199979</v>
      </c>
      <c r="I25" s="176">
        <f t="shared" si="0"/>
        <v>10551670.366800018</v>
      </c>
      <c r="J25" s="178">
        <f t="shared" si="1"/>
        <v>0.26025636119924078</v>
      </c>
      <c r="K25" s="175">
        <f>SUM('2020'!G25:R25)</f>
        <v>27818785.060000002</v>
      </c>
      <c r="L25" s="176">
        <f t="shared" si="7"/>
        <v>23276256.919999994</v>
      </c>
      <c r="M25" s="178">
        <f t="shared" si="2"/>
        <v>0.83671004574058094</v>
      </c>
      <c r="N25" s="175">
        <f>'2021'!R25</f>
        <v>12294668.549999999</v>
      </c>
      <c r="O25" s="175">
        <f>'2021'!R99</f>
        <v>6435761.8810478672</v>
      </c>
      <c r="P25" s="176">
        <f t="shared" si="6"/>
        <v>5858906.6689521316</v>
      </c>
      <c r="Q25" s="178">
        <f t="shared" si="3"/>
        <v>0.91036722259807834</v>
      </c>
      <c r="R25" s="175">
        <f>'2020'!R25</f>
        <v>3177660.7800000003</v>
      </c>
      <c r="S25" s="176">
        <f t="shared" si="4"/>
        <v>9117007.7699999996</v>
      </c>
      <c r="T25" s="178" t="str">
        <f t="shared" si="5"/>
        <v>...</v>
      </c>
    </row>
    <row r="26" spans="1:20">
      <c r="A26" s="150">
        <v>715</v>
      </c>
      <c r="B26" s="507" t="str">
        <f>+VLOOKUP($A26,Master!$D$29:$G$225,4,FALSE)</f>
        <v>Ostali prihodi</v>
      </c>
      <c r="C26" s="508"/>
      <c r="D26" s="508"/>
      <c r="E26" s="508"/>
      <c r="F26" s="508"/>
      <c r="G26" s="175">
        <f>'2021'!S26</f>
        <v>57994720.009999998</v>
      </c>
      <c r="H26" s="175">
        <f>SUM('2021'!G100:R100)</f>
        <v>65824742.103319898</v>
      </c>
      <c r="I26" s="176">
        <f t="shared" si="0"/>
        <v>-7830022.0933199003</v>
      </c>
      <c r="J26" s="178">
        <f t="shared" si="1"/>
        <v>-0.11895256772946761</v>
      </c>
      <c r="K26" s="175">
        <f>SUM('2020'!G26:R26)</f>
        <v>37615609.789999992</v>
      </c>
      <c r="L26" s="176">
        <f t="shared" si="7"/>
        <v>20379110.220000006</v>
      </c>
      <c r="M26" s="178">
        <f t="shared" si="2"/>
        <v>0.54177269313915888</v>
      </c>
      <c r="N26" s="175">
        <f>'2021'!R26</f>
        <v>7955683.5800000001</v>
      </c>
      <c r="O26" s="175">
        <f>'2021'!R100</f>
        <v>2916461.9446370765</v>
      </c>
      <c r="P26" s="176">
        <f t="shared" si="6"/>
        <v>5039221.6353629231</v>
      </c>
      <c r="Q26" s="178">
        <f t="shared" si="3"/>
        <v>1.7278544109342056</v>
      </c>
      <c r="R26" s="175">
        <f>'2020'!R26</f>
        <v>2614148.87</v>
      </c>
      <c r="S26" s="176">
        <f t="shared" si="4"/>
        <v>5341534.71</v>
      </c>
      <c r="T26" s="178" t="str">
        <f t="shared" si="5"/>
        <v>...</v>
      </c>
    </row>
    <row r="27" spans="1:20">
      <c r="A27" s="150">
        <v>73</v>
      </c>
      <c r="B27" s="507" t="str">
        <f>+VLOOKUP($A27,Master!$D$29:$G$225,4,FALSE)</f>
        <v>Primici od otplate kredita i sredstva prenesena iz prethodne godine</v>
      </c>
      <c r="C27" s="508"/>
      <c r="D27" s="508"/>
      <c r="E27" s="508"/>
      <c r="F27" s="508"/>
      <c r="G27" s="175">
        <f>'2021'!S27</f>
        <v>10017721.119999999</v>
      </c>
      <c r="H27" s="175">
        <f>SUM('2021'!G101:R101)</f>
        <v>9230506.6700000018</v>
      </c>
      <c r="I27" s="176">
        <f t="shared" si="0"/>
        <v>787214.44999999739</v>
      </c>
      <c r="J27" s="178">
        <f t="shared" si="1"/>
        <v>8.5283991241620338E-2</v>
      </c>
      <c r="K27" s="175">
        <f>SUM('2020'!G27:R27)</f>
        <v>7414914.75</v>
      </c>
      <c r="L27" s="176">
        <f t="shared" si="7"/>
        <v>2602806.3699999992</v>
      </c>
      <c r="M27" s="178">
        <f t="shared" si="2"/>
        <v>0.35102310110847856</v>
      </c>
      <c r="N27" s="175">
        <f>'2021'!R27</f>
        <v>2176968.5099999998</v>
      </c>
      <c r="O27" s="175">
        <f>'2021'!R101</f>
        <v>1922748.4637024365</v>
      </c>
      <c r="P27" s="176">
        <f t="shared" si="6"/>
        <v>254220.04629756324</v>
      </c>
      <c r="Q27" s="178">
        <f t="shared" si="3"/>
        <v>0.13221700659067914</v>
      </c>
      <c r="R27" s="175">
        <f>'2020'!R27</f>
        <v>1060252.57</v>
      </c>
      <c r="S27" s="176">
        <f t="shared" si="4"/>
        <v>1116715.9399999997</v>
      </c>
      <c r="T27" s="178">
        <f t="shared" si="5"/>
        <v>1.0532546410144517</v>
      </c>
    </row>
    <row r="28" spans="1:20" ht="15.75" thickBot="1">
      <c r="A28" s="150">
        <v>74</v>
      </c>
      <c r="B28" s="511" t="str">
        <f>+VLOOKUP($A28,Master!$D$29:$G$225,4,FALSE)</f>
        <v>Donacije i transferi</v>
      </c>
      <c r="C28" s="512"/>
      <c r="D28" s="512"/>
      <c r="E28" s="512"/>
      <c r="F28" s="512"/>
      <c r="G28" s="175">
        <f>'2021'!S28</f>
        <v>39977086.68</v>
      </c>
      <c r="H28" s="175">
        <f>SUM('2021'!G102:R102)</f>
        <v>64900100.200000003</v>
      </c>
      <c r="I28" s="176">
        <f t="shared" si="0"/>
        <v>-24923013.520000003</v>
      </c>
      <c r="J28" s="178">
        <f t="shared" si="1"/>
        <v>-0.38402118707360644</v>
      </c>
      <c r="K28" s="175">
        <f>SUM('2020'!G28:R28)</f>
        <v>57918882.469999999</v>
      </c>
      <c r="L28" s="176">
        <f t="shared" si="7"/>
        <v>-17941795.789999999</v>
      </c>
      <c r="M28" s="178">
        <f t="shared" si="2"/>
        <v>-0.30977455062765125</v>
      </c>
      <c r="N28" s="175">
        <f>'2021'!R28</f>
        <v>18443329.940000001</v>
      </c>
      <c r="O28" s="175">
        <f>'2021'!R102</f>
        <v>10674636.551029129</v>
      </c>
      <c r="P28" s="176">
        <f t="shared" si="6"/>
        <v>7768693.3889708724</v>
      </c>
      <c r="Q28" s="178">
        <f t="shared" si="3"/>
        <v>0.72777123153873591</v>
      </c>
      <c r="R28" s="175">
        <f>'2020'!R28</f>
        <v>6123058.8600000003</v>
      </c>
      <c r="S28" s="176">
        <f t="shared" si="4"/>
        <v>12320271.080000002</v>
      </c>
      <c r="T28" s="178" t="str">
        <f t="shared" si="5"/>
        <v>...</v>
      </c>
    </row>
    <row r="29" spans="1:20" ht="15.75" thickBot="1">
      <c r="A29" s="150">
        <v>4</v>
      </c>
      <c r="B29" s="513" t="str">
        <f>+VLOOKUP($A29,Master!$D$29:$G$225,4,FALSE)</f>
        <v>Izdaci budžeta</v>
      </c>
      <c r="C29" s="514"/>
      <c r="D29" s="514"/>
      <c r="E29" s="514"/>
      <c r="F29" s="514"/>
      <c r="G29" s="151">
        <f>'2021'!S29</f>
        <v>2011576558.4900002</v>
      </c>
      <c r="H29" s="151">
        <f>SUM('2021'!G103:R103)</f>
        <v>2055535193.0642829</v>
      </c>
      <c r="I29" s="152">
        <f t="shared" si="0"/>
        <v>-43958634.574282646</v>
      </c>
      <c r="J29" s="154">
        <f t="shared" si="1"/>
        <v>-2.1385493531128286E-2</v>
      </c>
      <c r="K29" s="151">
        <f>SUM('2020'!G29:R29)</f>
        <v>2064681311.3799996</v>
      </c>
      <c r="L29" s="152">
        <f t="shared" si="7"/>
        <v>-53104752.88999939</v>
      </c>
      <c r="M29" s="154">
        <f t="shared" si="2"/>
        <v>-2.5720556774209924E-2</v>
      </c>
      <c r="N29" s="151">
        <f>'2021'!R29</f>
        <v>272548252.21000004</v>
      </c>
      <c r="O29" s="151">
        <f>'2021'!R103</f>
        <v>204098593.62423331</v>
      </c>
      <c r="P29" s="152">
        <f t="shared" si="6"/>
        <v>68449658.585766733</v>
      </c>
      <c r="Q29" s="154">
        <f t="shared" si="3"/>
        <v>0.33537545443252625</v>
      </c>
      <c r="R29" s="151">
        <f>'2020'!R29</f>
        <v>211987092.09999999</v>
      </c>
      <c r="S29" s="152">
        <f t="shared" si="4"/>
        <v>60561160.110000044</v>
      </c>
      <c r="T29" s="154">
        <f t="shared" si="5"/>
        <v>0.28568324377708687</v>
      </c>
    </row>
    <row r="30" spans="1:20">
      <c r="A30" s="150">
        <v>41</v>
      </c>
      <c r="B30" s="517" t="str">
        <f>+VLOOKUP($A30,Master!$D$29:$G$225,4,FALSE)</f>
        <v>Tekući izdaci</v>
      </c>
      <c r="C30" s="518"/>
      <c r="D30" s="518"/>
      <c r="E30" s="518"/>
      <c r="F30" s="518"/>
      <c r="G30" s="313">
        <f>'2021'!S30</f>
        <v>876162972.3499999</v>
      </c>
      <c r="H30" s="313">
        <f>SUM('2021'!G104:R104)</f>
        <v>873624942.44428301</v>
      </c>
      <c r="I30" s="188">
        <f t="shared" si="0"/>
        <v>2538029.9057168961</v>
      </c>
      <c r="J30" s="190">
        <f t="shared" si="1"/>
        <v>2.9051710664484975E-3</v>
      </c>
      <c r="K30" s="313">
        <f>SUM('2020'!G30:R30)</f>
        <v>858015865.80999994</v>
      </c>
      <c r="L30" s="188">
        <f t="shared" si="7"/>
        <v>18147106.539999962</v>
      </c>
      <c r="M30" s="190">
        <f t="shared" si="2"/>
        <v>2.1150082723550012E-2</v>
      </c>
      <c r="N30" s="313">
        <f>'2021'!R30</f>
        <v>128015161.53</v>
      </c>
      <c r="O30" s="313">
        <f>'2021'!R104</f>
        <v>83410840.126466662</v>
      </c>
      <c r="P30" s="188">
        <f t="shared" si="6"/>
        <v>44604321.40353334</v>
      </c>
      <c r="Q30" s="190">
        <f t="shared" si="3"/>
        <v>0.53475449157333421</v>
      </c>
      <c r="R30" s="313">
        <f>'2020'!R30</f>
        <v>93065811.169999987</v>
      </c>
      <c r="S30" s="188">
        <f t="shared" si="4"/>
        <v>34949350.360000014</v>
      </c>
      <c r="T30" s="190">
        <f t="shared" si="5"/>
        <v>0.37553372092958259</v>
      </c>
    </row>
    <row r="31" spans="1:20">
      <c r="A31" s="150">
        <v>411</v>
      </c>
      <c r="B31" s="505" t="str">
        <f>+VLOOKUP($A31,Master!$D$29:$G$225,4,FALSE)</f>
        <v>Bruto zarade i doprinosi na teret poslodavca</v>
      </c>
      <c r="C31" s="506"/>
      <c r="D31" s="506"/>
      <c r="E31" s="506"/>
      <c r="F31" s="506"/>
      <c r="G31" s="163">
        <f>'2021'!S31</f>
        <v>535284771.48000002</v>
      </c>
      <c r="H31" s="163">
        <f>SUM('2021'!G105:R105)</f>
        <v>522945469.48000002</v>
      </c>
      <c r="I31" s="164">
        <f t="shared" si="0"/>
        <v>12339302</v>
      </c>
      <c r="J31" s="166">
        <f t="shared" si="1"/>
        <v>2.3595771873250682E-2</v>
      </c>
      <c r="K31" s="163">
        <f>SUM('2020'!G31:R31)</f>
        <v>499146970.09999996</v>
      </c>
      <c r="L31" s="164">
        <f t="shared" si="7"/>
        <v>36137801.380000055</v>
      </c>
      <c r="M31" s="166">
        <f t="shared" si="2"/>
        <v>7.2399119988167282E-2</v>
      </c>
      <c r="N31" s="163">
        <f>'2021'!R31</f>
        <v>47109142.439999998</v>
      </c>
      <c r="O31" s="163">
        <f>'2021'!R105</f>
        <v>41853667.688466668</v>
      </c>
      <c r="P31" s="164">
        <f>+N31-O31</f>
        <v>5255474.7515333295</v>
      </c>
      <c r="Q31" s="166">
        <f>IF(+IF(ISERROR(N31/O31),"…",N31/O31-1)&gt;200%,"...",IF(ISERROR(N31/O31),"…",N31/O31-1))</f>
        <v>0.12556784248042252</v>
      </c>
      <c r="R31" s="163">
        <f>'2020'!R31</f>
        <v>47063398.039999999</v>
      </c>
      <c r="S31" s="164">
        <f t="shared" si="4"/>
        <v>45744.39999999851</v>
      </c>
      <c r="T31" s="166">
        <f t="shared" si="5"/>
        <v>9.7197401600968014E-4</v>
      </c>
    </row>
    <row r="32" spans="1:20">
      <c r="A32" s="150">
        <v>412</v>
      </c>
      <c r="B32" s="505" t="str">
        <f>+VLOOKUP($A32,Master!$D$29:$G$225,4,FALSE)</f>
        <v>Ostala lična primanja</v>
      </c>
      <c r="C32" s="506"/>
      <c r="D32" s="506"/>
      <c r="E32" s="506"/>
      <c r="F32" s="506"/>
      <c r="G32" s="163">
        <f>'2021'!S32</f>
        <v>11275293.119999999</v>
      </c>
      <c r="H32" s="163">
        <f>SUM('2021'!G106:R106)</f>
        <v>12500013.919999998</v>
      </c>
      <c r="I32" s="164">
        <f t="shared" si="0"/>
        <v>-1224720.7999999989</v>
      </c>
      <c r="J32" s="166">
        <f t="shared" si="1"/>
        <v>-9.797755489219484E-2</v>
      </c>
      <c r="K32" s="163">
        <f>SUM('2020'!G32:R32)</f>
        <v>12919646.529999999</v>
      </c>
      <c r="L32" s="164">
        <f t="shared" si="7"/>
        <v>-1644353.4100000001</v>
      </c>
      <c r="M32" s="166">
        <f t="shared" si="2"/>
        <v>-0.1272754178051031</v>
      </c>
      <c r="N32" s="163">
        <f>'2021'!R32</f>
        <v>2247806.5299999998</v>
      </c>
      <c r="O32" s="163">
        <f>'2021'!R106</f>
        <v>992187.80600000045</v>
      </c>
      <c r="P32" s="164">
        <f t="shared" si="6"/>
        <v>1255618.7239999995</v>
      </c>
      <c r="Q32" s="166">
        <f t="shared" si="3"/>
        <v>1.2655050953125691</v>
      </c>
      <c r="R32" s="163">
        <f>'2020'!R32</f>
        <v>2514701.59</v>
      </c>
      <c r="S32" s="164">
        <f t="shared" si="4"/>
        <v>-266895.06000000006</v>
      </c>
      <c r="T32" s="166">
        <f t="shared" si="5"/>
        <v>-0.10613388923017308</v>
      </c>
    </row>
    <row r="33" spans="1:20">
      <c r="A33" s="150">
        <v>413</v>
      </c>
      <c r="B33" s="505" t="str">
        <f>+VLOOKUP($A33,Master!$D$29:$G$225,4,FALSE)</f>
        <v>Rashodi za materijal</v>
      </c>
      <c r="C33" s="506"/>
      <c r="D33" s="506"/>
      <c r="E33" s="506"/>
      <c r="F33" s="506"/>
      <c r="G33" s="163">
        <f>'2021'!S33</f>
        <v>35508986.960000001</v>
      </c>
      <c r="H33" s="163">
        <f>SUM('2021'!G107:R107)</f>
        <v>31960175.780000005</v>
      </c>
      <c r="I33" s="164">
        <f t="shared" si="0"/>
        <v>3548811.179999996</v>
      </c>
      <c r="J33" s="166">
        <f t="shared" si="1"/>
        <v>0.11103853759843108</v>
      </c>
      <c r="K33" s="163">
        <f>SUM('2020'!G33:R33)</f>
        <v>39928689.120000005</v>
      </c>
      <c r="L33" s="164">
        <f t="shared" si="7"/>
        <v>-4419702.1600000039</v>
      </c>
      <c r="M33" s="166">
        <f t="shared" si="2"/>
        <v>-0.11068988883449737</v>
      </c>
      <c r="N33" s="163">
        <f>'2021'!R33</f>
        <v>8934782.8399999999</v>
      </c>
      <c r="O33" s="163">
        <f>'2021'!R107</f>
        <v>2038155.2507833347</v>
      </c>
      <c r="P33" s="164">
        <f t="shared" si="6"/>
        <v>6896627.5892166654</v>
      </c>
      <c r="Q33" s="166" t="str">
        <f t="shared" si="3"/>
        <v>...</v>
      </c>
      <c r="R33" s="163">
        <f>'2020'!R33</f>
        <v>6567500.3300000001</v>
      </c>
      <c r="S33" s="164">
        <f t="shared" si="4"/>
        <v>2367282.5099999998</v>
      </c>
      <c r="T33" s="166">
        <f t="shared" si="5"/>
        <v>0.36045411359728097</v>
      </c>
    </row>
    <row r="34" spans="1:20">
      <c r="A34" s="150">
        <v>414</v>
      </c>
      <c r="B34" s="505" t="str">
        <f>+VLOOKUP($A34,Master!$D$29:$G$225,4,FALSE)</f>
        <v>Rashodi za usluge</v>
      </c>
      <c r="C34" s="506"/>
      <c r="D34" s="506"/>
      <c r="E34" s="506"/>
      <c r="F34" s="506"/>
      <c r="G34" s="163">
        <f>'2021'!S34</f>
        <v>59682441.739999995</v>
      </c>
      <c r="H34" s="163">
        <f>SUM('2021'!G108:R108)</f>
        <v>62745861.530000001</v>
      </c>
      <c r="I34" s="164">
        <f t="shared" si="0"/>
        <v>-3063419.7900000066</v>
      </c>
      <c r="J34" s="166">
        <f t="shared" si="1"/>
        <v>-4.8822658822451959E-2</v>
      </c>
      <c r="K34" s="163">
        <f>SUM('2020'!G34:R34)</f>
        <v>74245955.289999992</v>
      </c>
      <c r="L34" s="164">
        <f t="shared" si="7"/>
        <v>-14563513.549999997</v>
      </c>
      <c r="M34" s="166">
        <f t="shared" si="2"/>
        <v>-0.19615228187334699</v>
      </c>
      <c r="N34" s="163">
        <f>'2021'!R34</f>
        <v>12963904.939999999</v>
      </c>
      <c r="O34" s="163">
        <f>'2021'!R108</f>
        <v>4439703.7447166666</v>
      </c>
      <c r="P34" s="164">
        <f t="shared" si="6"/>
        <v>8524201.1952833328</v>
      </c>
      <c r="Q34" s="166">
        <f t="shared" si="3"/>
        <v>1.9199932440148282</v>
      </c>
      <c r="R34" s="163">
        <f>'2020'!R34</f>
        <v>10153738.76</v>
      </c>
      <c r="S34" s="164">
        <f t="shared" si="4"/>
        <v>2810166.1799999997</v>
      </c>
      <c r="T34" s="166">
        <f t="shared" si="5"/>
        <v>0.27676171767097935</v>
      </c>
    </row>
    <row r="35" spans="1:20">
      <c r="A35" s="150">
        <v>415</v>
      </c>
      <c r="B35" s="505" t="str">
        <f>+VLOOKUP($A35,Master!$D$29:$G$225,4,FALSE)</f>
        <v>Rashodi za tekuće održavanje</v>
      </c>
      <c r="C35" s="506"/>
      <c r="D35" s="506"/>
      <c r="E35" s="506"/>
      <c r="F35" s="506"/>
      <c r="G35" s="163">
        <f>'2021'!S35</f>
        <v>21714478.710000001</v>
      </c>
      <c r="H35" s="163">
        <f>SUM('2021'!G109:R109)</f>
        <v>23341474.300000004</v>
      </c>
      <c r="I35" s="164">
        <f t="shared" si="0"/>
        <v>-1626995.5900000036</v>
      </c>
      <c r="J35" s="166">
        <f t="shared" si="1"/>
        <v>-6.9704062780644671E-2</v>
      </c>
      <c r="K35" s="163">
        <f>SUM('2020'!G35:R35)</f>
        <v>24363683.790000007</v>
      </c>
      <c r="L35" s="164">
        <f t="shared" si="7"/>
        <v>-2649205.0800000057</v>
      </c>
      <c r="M35" s="166">
        <f t="shared" si="2"/>
        <v>-0.10873581773735563</v>
      </c>
      <c r="N35" s="163">
        <f>'2021'!R35</f>
        <v>4628860.91</v>
      </c>
      <c r="O35" s="163">
        <f>'2021'!R109</f>
        <v>2078633.2887833335</v>
      </c>
      <c r="P35" s="164">
        <f t="shared" si="6"/>
        <v>2550227.6212166669</v>
      </c>
      <c r="Q35" s="166">
        <f t="shared" si="3"/>
        <v>1.2268771192004566</v>
      </c>
      <c r="R35" s="163">
        <f>'2020'!R35</f>
        <v>4623873.92</v>
      </c>
      <c r="S35" s="164">
        <f t="shared" si="4"/>
        <v>4986.9900000002235</v>
      </c>
      <c r="T35" s="166">
        <f t="shared" si="5"/>
        <v>1.0785307052663118E-3</v>
      </c>
    </row>
    <row r="36" spans="1:20">
      <c r="A36" s="150">
        <v>416</v>
      </c>
      <c r="B36" s="505" t="str">
        <f>+VLOOKUP($A36,Master!$D$29:$G$225,4,FALSE)</f>
        <v>Kamate</v>
      </c>
      <c r="C36" s="506"/>
      <c r="D36" s="506"/>
      <c r="E36" s="506"/>
      <c r="F36" s="506"/>
      <c r="G36" s="163">
        <f>'2021'!S36</f>
        <v>114058902.18000002</v>
      </c>
      <c r="H36" s="163">
        <f>SUM('2021'!G110:R110)</f>
        <v>113075389.33428293</v>
      </c>
      <c r="I36" s="164">
        <f t="shared" si="0"/>
        <v>983512.84571708739</v>
      </c>
      <c r="J36" s="166">
        <f t="shared" si="1"/>
        <v>8.6978506243258202E-3</v>
      </c>
      <c r="K36" s="163">
        <f>SUM('2020'!G36:R36)</f>
        <v>111108908.35000001</v>
      </c>
      <c r="L36" s="164">
        <f t="shared" si="7"/>
        <v>2949993.8300000131</v>
      </c>
      <c r="M36" s="166">
        <f t="shared" si="2"/>
        <v>2.655047082910178E-2</v>
      </c>
      <c r="N36" s="163">
        <f>'2021'!R36</f>
        <v>26695596.420000002</v>
      </c>
      <c r="O36" s="163">
        <f>'2021'!R110</f>
        <v>22462669.100000001</v>
      </c>
      <c r="P36" s="164">
        <f t="shared" si="6"/>
        <v>4232927.32</v>
      </c>
      <c r="Q36" s="166">
        <f t="shared" si="3"/>
        <v>0.18844275812263112</v>
      </c>
      <c r="R36" s="163">
        <f>'2020'!R36</f>
        <v>9184592.1300000008</v>
      </c>
      <c r="S36" s="164">
        <f t="shared" si="4"/>
        <v>17511004.289999999</v>
      </c>
      <c r="T36" s="166">
        <f t="shared" si="5"/>
        <v>1.9065630832754246</v>
      </c>
    </row>
    <row r="37" spans="1:20">
      <c r="A37" s="150">
        <v>417</v>
      </c>
      <c r="B37" s="505" t="str">
        <f>+VLOOKUP($A37,Master!$D$29:$G$225,4,FALSE)</f>
        <v>Renta</v>
      </c>
      <c r="C37" s="506"/>
      <c r="D37" s="506"/>
      <c r="E37" s="506"/>
      <c r="F37" s="506"/>
      <c r="G37" s="163">
        <f>'2021'!S37</f>
        <v>11382290.550000001</v>
      </c>
      <c r="H37" s="163">
        <f>SUM('2021'!G111:R111)</f>
        <v>10875348.66</v>
      </c>
      <c r="I37" s="164">
        <f t="shared" si="0"/>
        <v>506941.8900000006</v>
      </c>
      <c r="J37" s="166">
        <f t="shared" si="1"/>
        <v>4.6613851734662592E-2</v>
      </c>
      <c r="K37" s="163">
        <f>SUM('2020'!G37:R37)</f>
        <v>11369604.800000001</v>
      </c>
      <c r="L37" s="164">
        <f t="shared" si="7"/>
        <v>12685.75</v>
      </c>
      <c r="M37" s="166">
        <f t="shared" si="2"/>
        <v>1.115759977866615E-3</v>
      </c>
      <c r="N37" s="163">
        <f>'2021'!R37</f>
        <v>2536754.16</v>
      </c>
      <c r="O37" s="163">
        <f>'2021'!R111</f>
        <v>997721.26954999997</v>
      </c>
      <c r="P37" s="164">
        <f t="shared" si="6"/>
        <v>1539032.8904500003</v>
      </c>
      <c r="Q37" s="166">
        <f t="shared" si="3"/>
        <v>1.5425479414146865</v>
      </c>
      <c r="R37" s="163">
        <f>'2020'!R37</f>
        <v>1672063.04</v>
      </c>
      <c r="S37" s="164">
        <f t="shared" si="4"/>
        <v>864691.12000000011</v>
      </c>
      <c r="T37" s="166">
        <f t="shared" si="5"/>
        <v>0.51714026284559234</v>
      </c>
    </row>
    <row r="38" spans="1:20">
      <c r="A38" s="150">
        <v>418</v>
      </c>
      <c r="B38" s="505" t="str">
        <f>+VLOOKUP($A38,Master!$D$29:$G$225,4,FALSE)</f>
        <v>Subvencije</v>
      </c>
      <c r="C38" s="506"/>
      <c r="D38" s="506"/>
      <c r="E38" s="506"/>
      <c r="F38" s="506"/>
      <c r="G38" s="163">
        <f>'2021'!S38</f>
        <v>48519958.780000001</v>
      </c>
      <c r="H38" s="163">
        <f>SUM('2021'!G112:R112)</f>
        <v>50771447.940000013</v>
      </c>
      <c r="I38" s="164">
        <f t="shared" si="0"/>
        <v>-2251489.1600000113</v>
      </c>
      <c r="J38" s="166">
        <f t="shared" si="1"/>
        <v>-4.4345577117689161E-2</v>
      </c>
      <c r="K38" s="163">
        <f>SUM('2020'!G38:R38)</f>
        <v>36324252.32</v>
      </c>
      <c r="L38" s="164">
        <f t="shared" si="7"/>
        <v>12195706.460000001</v>
      </c>
      <c r="M38" s="166">
        <f t="shared" si="2"/>
        <v>0.33574556063980121</v>
      </c>
      <c r="N38" s="163">
        <f>'2021'!R38</f>
        <v>13213431.09</v>
      </c>
      <c r="O38" s="163">
        <f>'2021'!R112</f>
        <v>4639246.2625333332</v>
      </c>
      <c r="P38" s="164">
        <f t="shared" si="6"/>
        <v>8574184.8274666667</v>
      </c>
      <c r="Q38" s="166">
        <f t="shared" si="3"/>
        <v>1.8481848865648702</v>
      </c>
      <c r="R38" s="163">
        <f>'2020'!R38</f>
        <v>4870096.6500000004</v>
      </c>
      <c r="S38" s="164">
        <f t="shared" si="4"/>
        <v>8343334.4399999995</v>
      </c>
      <c r="T38" s="166">
        <f t="shared" si="5"/>
        <v>1.7131763575985701</v>
      </c>
    </row>
    <row r="39" spans="1:20">
      <c r="A39" s="150">
        <v>419</v>
      </c>
      <c r="B39" s="505" t="str">
        <f>+VLOOKUP($A39,Master!$D$29:$G$225,4,FALSE)</f>
        <v>Ostali izdaci</v>
      </c>
      <c r="C39" s="506"/>
      <c r="D39" s="506"/>
      <c r="E39" s="506"/>
      <c r="F39" s="506"/>
      <c r="G39" s="163">
        <f>'2021'!S39</f>
        <v>38735848.829999998</v>
      </c>
      <c r="H39" s="163">
        <f>SUM('2021'!G113:R113)</f>
        <v>45409761.499999993</v>
      </c>
      <c r="I39" s="164">
        <f t="shared" si="0"/>
        <v>-6673912.6699999943</v>
      </c>
      <c r="J39" s="166">
        <f t="shared" si="1"/>
        <v>-0.14697088135994718</v>
      </c>
      <c r="K39" s="163">
        <f>SUM('2020'!G39:R39)</f>
        <v>48608155.510000005</v>
      </c>
      <c r="L39" s="164">
        <f t="shared" si="7"/>
        <v>-9872306.6800000072</v>
      </c>
      <c r="M39" s="166">
        <f t="shared" si="2"/>
        <v>-0.2030998003610528</v>
      </c>
      <c r="N39" s="163">
        <f>'2021'!R39</f>
        <v>9684882.1999999993</v>
      </c>
      <c r="O39" s="163">
        <f>'2021'!R113</f>
        <v>3908855.7156333341</v>
      </c>
      <c r="P39" s="164">
        <f t="shared" si="6"/>
        <v>5776026.4843666647</v>
      </c>
      <c r="Q39" s="166">
        <f t="shared" si="3"/>
        <v>1.4776770759958331</v>
      </c>
      <c r="R39" s="163">
        <f>'2020'!R39</f>
        <v>6415846.71</v>
      </c>
      <c r="S39" s="164">
        <f t="shared" si="4"/>
        <v>3269035.4899999993</v>
      </c>
      <c r="T39" s="166">
        <f t="shared" si="5"/>
        <v>0.50952518627116627</v>
      </c>
    </row>
    <row r="40" spans="1:20">
      <c r="A40" s="150">
        <v>42</v>
      </c>
      <c r="B40" s="521" t="str">
        <f>+VLOOKUP($A40,Master!$D$29:$G$225,4,FALSE)</f>
        <v>Transferi za socijalnu zaštitu</v>
      </c>
      <c r="C40" s="522"/>
      <c r="D40" s="522"/>
      <c r="E40" s="522"/>
      <c r="F40" s="522"/>
      <c r="G40" s="193">
        <f>'2021'!S40</f>
        <v>567405694.82999992</v>
      </c>
      <c r="H40" s="193">
        <f>SUM('2021'!G114:R114)</f>
        <v>599251821.86999989</v>
      </c>
      <c r="I40" s="194">
        <f t="shared" si="0"/>
        <v>-31846127.039999962</v>
      </c>
      <c r="J40" s="196">
        <f t="shared" si="1"/>
        <v>-5.3143145965951821E-2</v>
      </c>
      <c r="K40" s="193">
        <f>SUM('2020'!G40:R40)</f>
        <v>558678968.5</v>
      </c>
      <c r="L40" s="194">
        <f t="shared" si="7"/>
        <v>8726726.3299999237</v>
      </c>
      <c r="M40" s="196">
        <f t="shared" si="2"/>
        <v>1.5620287897055274E-2</v>
      </c>
      <c r="N40" s="193">
        <f>'2021'!R40</f>
        <v>50150870.130000003</v>
      </c>
      <c r="O40" s="193">
        <f>'2021'!R114</f>
        <v>71656098.708216667</v>
      </c>
      <c r="P40" s="194">
        <f t="shared" si="6"/>
        <v>-21505228.578216664</v>
      </c>
      <c r="Q40" s="196">
        <f t="shared" si="3"/>
        <v>-0.30011721215504439</v>
      </c>
      <c r="R40" s="193">
        <f>'2020'!R40</f>
        <v>49016728.519999996</v>
      </c>
      <c r="S40" s="194">
        <f t="shared" si="4"/>
        <v>1134141.6100000069</v>
      </c>
      <c r="T40" s="196">
        <f t="shared" si="5"/>
        <v>2.3137847919353804E-2</v>
      </c>
    </row>
    <row r="41" spans="1:20">
      <c r="A41" s="150">
        <v>421</v>
      </c>
      <c r="B41" s="505" t="str">
        <f>+VLOOKUP($A41,Master!$D$29:$G$225,4,FALSE)</f>
        <v>Prava iz oblasti socijalne zaštite</v>
      </c>
      <c r="C41" s="506"/>
      <c r="D41" s="506"/>
      <c r="E41" s="506"/>
      <c r="F41" s="506"/>
      <c r="G41" s="163">
        <f>'2021'!S41</f>
        <v>84933837.310000002</v>
      </c>
      <c r="H41" s="163">
        <f>SUM('2021'!G115:R115)</f>
        <v>108438500</v>
      </c>
      <c r="I41" s="164">
        <f t="shared" si="0"/>
        <v>-23504662.689999998</v>
      </c>
      <c r="J41" s="166">
        <f t="shared" si="1"/>
        <v>-0.21675569737685418</v>
      </c>
      <c r="K41" s="163">
        <f>SUM('2020'!G41:R41)</f>
        <v>80479287.560000002</v>
      </c>
      <c r="L41" s="164">
        <f t="shared" si="7"/>
        <v>4454549.75</v>
      </c>
      <c r="M41" s="166">
        <f t="shared" si="2"/>
        <v>5.5350263217464279E-2</v>
      </c>
      <c r="N41" s="163">
        <f>'2021'!R41</f>
        <v>8364482.7699999996</v>
      </c>
      <c r="O41" s="163">
        <f>'2021'!R115</f>
        <v>30126529.680000003</v>
      </c>
      <c r="P41" s="164">
        <f t="shared" si="6"/>
        <v>-21762046.910000004</v>
      </c>
      <c r="Q41" s="166">
        <f t="shared" si="3"/>
        <v>-0.72235491910796146</v>
      </c>
      <c r="R41" s="163">
        <f>'2020'!R41</f>
        <v>6638995.8600000003</v>
      </c>
      <c r="S41" s="164">
        <f t="shared" si="4"/>
        <v>1725486.9099999992</v>
      </c>
      <c r="T41" s="166">
        <f t="shared" si="5"/>
        <v>0.2599017903288765</v>
      </c>
    </row>
    <row r="42" spans="1:20">
      <c r="A42" s="150">
        <v>422</v>
      </c>
      <c r="B42" s="505" t="str">
        <f>+VLOOKUP($A42,Master!$D$29:$G$225,4,FALSE)</f>
        <v>Sredstva za tehnološke viškove</v>
      </c>
      <c r="C42" s="506"/>
      <c r="D42" s="506"/>
      <c r="E42" s="506"/>
      <c r="F42" s="506"/>
      <c r="G42" s="163">
        <f>'2021'!S42</f>
        <v>23087428.329999998</v>
      </c>
      <c r="H42" s="163">
        <f>SUM('2021'!G116:R116)</f>
        <v>18559577.940000005</v>
      </c>
      <c r="I42" s="164">
        <f t="shared" si="0"/>
        <v>4527850.3899999931</v>
      </c>
      <c r="J42" s="166">
        <f t="shared" si="1"/>
        <v>0.24396300415008199</v>
      </c>
      <c r="K42" s="163">
        <f>SUM('2020'!G42:R42)</f>
        <v>20098482.600000001</v>
      </c>
      <c r="L42" s="164">
        <f t="shared" si="7"/>
        <v>2988945.7299999967</v>
      </c>
      <c r="M42" s="166">
        <f t="shared" si="2"/>
        <v>0.14871499453396519</v>
      </c>
      <c r="N42" s="163">
        <f>'2021'!R42</f>
        <v>3225105.76</v>
      </c>
      <c r="O42" s="163">
        <f>'2021'!R116</f>
        <v>1331215.5080000004</v>
      </c>
      <c r="P42" s="164">
        <f t="shared" si="6"/>
        <v>1893890.2519999994</v>
      </c>
      <c r="Q42" s="166">
        <f t="shared" si="3"/>
        <v>1.4226774257200128</v>
      </c>
      <c r="R42" s="163">
        <f>'2020'!R42</f>
        <v>3457352.97</v>
      </c>
      <c r="S42" s="164">
        <f t="shared" si="4"/>
        <v>-232247.21000000043</v>
      </c>
      <c r="T42" s="166">
        <f t="shared" si="5"/>
        <v>-6.7174862391906842E-2</v>
      </c>
    </row>
    <row r="43" spans="1:20">
      <c r="A43" s="150">
        <v>423</v>
      </c>
      <c r="B43" s="505" t="str">
        <f>+VLOOKUP($A43,Master!$D$29:$G$225,4,FALSE)</f>
        <v>Prava iz oblasti penzijskog i invalidskog osiguranja</v>
      </c>
      <c r="C43" s="506"/>
      <c r="D43" s="506"/>
      <c r="E43" s="506"/>
      <c r="F43" s="506"/>
      <c r="G43" s="163">
        <f>'2021'!S43</f>
        <v>431007818.79000002</v>
      </c>
      <c r="H43" s="163">
        <f>SUM('2021'!G117:R117)</f>
        <v>445453743.92999989</v>
      </c>
      <c r="I43" s="164">
        <f t="shared" si="0"/>
        <v>-14445925.139999866</v>
      </c>
      <c r="J43" s="166">
        <f t="shared" si="1"/>
        <v>-3.2429686217363862E-2</v>
      </c>
      <c r="K43" s="163">
        <f>SUM('2020'!G43:R43)</f>
        <v>428071585.88000005</v>
      </c>
      <c r="L43" s="164">
        <f t="shared" si="7"/>
        <v>2936232.9099999666</v>
      </c>
      <c r="M43" s="166">
        <f t="shared" si="2"/>
        <v>6.8592100173241466E-3</v>
      </c>
      <c r="N43" s="163">
        <f>'2021'!R43</f>
        <v>35788467.600000001</v>
      </c>
      <c r="O43" s="163">
        <f>'2021'!R117</f>
        <v>38123196.594350003</v>
      </c>
      <c r="P43" s="164">
        <f t="shared" si="6"/>
        <v>-2334728.9943500012</v>
      </c>
      <c r="Q43" s="166">
        <f t="shared" si="3"/>
        <v>-6.1241690176002117E-2</v>
      </c>
      <c r="R43" s="163">
        <f>'2020'!R43</f>
        <v>35862298.759999998</v>
      </c>
      <c r="S43" s="164">
        <f t="shared" si="4"/>
        <v>-73831.159999996424</v>
      </c>
      <c r="T43" s="166">
        <f t="shared" si="5"/>
        <v>-2.0587403081462341E-3</v>
      </c>
    </row>
    <row r="44" spans="1:20">
      <c r="A44" s="150">
        <v>424</v>
      </c>
      <c r="B44" s="505" t="str">
        <f>+VLOOKUP($A44,Master!$D$29:$G$225,4,FALSE)</f>
        <v>Ostala prava iz oblasti zdravstvene zaštite</v>
      </c>
      <c r="C44" s="506"/>
      <c r="D44" s="506"/>
      <c r="E44" s="506"/>
      <c r="F44" s="506"/>
      <c r="G44" s="163">
        <f>'2021'!S44</f>
        <v>17077333.689999998</v>
      </c>
      <c r="H44" s="163">
        <f>SUM('2021'!G118:R118)</f>
        <v>15299999.999999998</v>
      </c>
      <c r="I44" s="164">
        <f t="shared" si="0"/>
        <v>1777333.6899999995</v>
      </c>
      <c r="J44" s="166">
        <f t="shared" si="1"/>
        <v>0.11616560065359471</v>
      </c>
      <c r="K44" s="163">
        <f>SUM('2020'!G44:R44)</f>
        <v>20221387.999999996</v>
      </c>
      <c r="L44" s="164">
        <f t="shared" si="7"/>
        <v>-3144054.3099999987</v>
      </c>
      <c r="M44" s="166">
        <f t="shared" si="2"/>
        <v>-0.15548162717613645</v>
      </c>
      <c r="N44" s="163">
        <f>'2021'!R44</f>
        <v>1584384.3</v>
      </c>
      <c r="O44" s="163">
        <f>'2021'!R118</f>
        <v>1035628.3971000001</v>
      </c>
      <c r="P44" s="164">
        <f t="shared" si="6"/>
        <v>548755.90289999999</v>
      </c>
      <c r="Q44" s="166">
        <f t="shared" si="3"/>
        <v>0.52987722665450643</v>
      </c>
      <c r="R44" s="163">
        <f>'2020'!R44</f>
        <v>1921204.43</v>
      </c>
      <c r="S44" s="164">
        <f t="shared" si="4"/>
        <v>-336820.12999999989</v>
      </c>
      <c r="T44" s="166">
        <f t="shared" si="5"/>
        <v>-0.17531717330050078</v>
      </c>
    </row>
    <row r="45" spans="1:20">
      <c r="A45" s="150">
        <v>425</v>
      </c>
      <c r="B45" s="505" t="str">
        <f>+VLOOKUP($A45,Master!$D$29:$G$225,4,FALSE)</f>
        <v>Ostala prava iz zdravstvenog osiguranja</v>
      </c>
      <c r="C45" s="506"/>
      <c r="D45" s="506"/>
      <c r="E45" s="506"/>
      <c r="F45" s="506"/>
      <c r="G45" s="163">
        <f>'2021'!S45</f>
        <v>11299276.709999999</v>
      </c>
      <c r="H45" s="163">
        <f>SUM('2021'!G119:R119)</f>
        <v>11500000.000000002</v>
      </c>
      <c r="I45" s="164">
        <f t="shared" si="0"/>
        <v>-200723.29000000283</v>
      </c>
      <c r="J45" s="166">
        <f t="shared" si="1"/>
        <v>-1.7454199130435E-2</v>
      </c>
      <c r="K45" s="163">
        <f>SUM('2020'!G45:R45)</f>
        <v>9808224.459999999</v>
      </c>
      <c r="L45" s="164">
        <f t="shared" si="7"/>
        <v>1491052.25</v>
      </c>
      <c r="M45" s="166">
        <f t="shared" si="2"/>
        <v>0.15202060842722598</v>
      </c>
      <c r="N45" s="163">
        <f>'2021'!R45</f>
        <v>1188429.7</v>
      </c>
      <c r="O45" s="163">
        <f>'2021'!R119</f>
        <v>1039528.5287666667</v>
      </c>
      <c r="P45" s="164">
        <f t="shared" si="6"/>
        <v>148901.1712333333</v>
      </c>
      <c r="Q45" s="166">
        <f t="shared" si="3"/>
        <v>0.14323913881420358</v>
      </c>
      <c r="R45" s="163">
        <f>'2020'!R45</f>
        <v>1136876.5</v>
      </c>
      <c r="S45" s="164">
        <f t="shared" si="4"/>
        <v>51553.199999999953</v>
      </c>
      <c r="T45" s="166">
        <f t="shared" si="5"/>
        <v>4.5346350285189185E-2</v>
      </c>
    </row>
    <row r="46" spans="1:20">
      <c r="A46" s="150">
        <v>43</v>
      </c>
      <c r="B46" s="519" t="str">
        <f>+VLOOKUP($A46,Master!$D$29:$G$225,4,FALSE)</f>
        <v xml:space="preserve">Transferi institucijama, pojedincima, nevladinom i javnom sektoru </v>
      </c>
      <c r="C46" s="520"/>
      <c r="D46" s="520"/>
      <c r="E46" s="520"/>
      <c r="F46" s="520"/>
      <c r="G46" s="175">
        <f>'2021'!S46</f>
        <v>257065984.94</v>
      </c>
      <c r="H46" s="175">
        <f>SUM('2021'!G120:R120)</f>
        <v>260045759.37999994</v>
      </c>
      <c r="I46" s="176">
        <f t="shared" si="0"/>
        <v>-2979774.439999938</v>
      </c>
      <c r="J46" s="178">
        <f t="shared" si="1"/>
        <v>-1.1458654227257226E-2</v>
      </c>
      <c r="K46" s="175">
        <f>SUM('2020'!G46:R46)</f>
        <v>281248902.5</v>
      </c>
      <c r="L46" s="176">
        <f t="shared" si="7"/>
        <v>-24182917.560000002</v>
      </c>
      <c r="M46" s="178">
        <f t="shared" si="2"/>
        <v>-8.5984042408841055E-2</v>
      </c>
      <c r="N46" s="175">
        <f>'2021'!R46</f>
        <v>29427113.329999998</v>
      </c>
      <c r="O46" s="175">
        <f>'2021'!R120</f>
        <v>20959047.32438333</v>
      </c>
      <c r="P46" s="176">
        <f t="shared" si="6"/>
        <v>8468066.0056166686</v>
      </c>
      <c r="Q46" s="178">
        <f t="shared" si="3"/>
        <v>0.40402914667619894</v>
      </c>
      <c r="R46" s="175">
        <f>'2020'!R46</f>
        <v>24185439.440000001</v>
      </c>
      <c r="S46" s="176">
        <f t="shared" si="4"/>
        <v>5241673.8899999969</v>
      </c>
      <c r="T46" s="178">
        <f t="shared" si="5"/>
        <v>0.21672849496920277</v>
      </c>
    </row>
    <row r="47" spans="1:20">
      <c r="A47" s="150">
        <v>44</v>
      </c>
      <c r="B47" s="519" t="str">
        <f>+VLOOKUP($A47,Master!$D$29:$G$225,4,FALSE)</f>
        <v>Kapitalni izdaci</v>
      </c>
      <c r="C47" s="520"/>
      <c r="D47" s="520"/>
      <c r="E47" s="520"/>
      <c r="F47" s="520"/>
      <c r="G47" s="175">
        <f>'2021'!S47</f>
        <v>204499371.07999998</v>
      </c>
      <c r="H47" s="175">
        <f>SUM('2021'!G121:R121)</f>
        <v>235554725.5</v>
      </c>
      <c r="I47" s="176">
        <f t="shared" si="0"/>
        <v>-31055354.420000017</v>
      </c>
      <c r="J47" s="178">
        <f t="shared" si="1"/>
        <v>-0.13183923334197778</v>
      </c>
      <c r="K47" s="175">
        <f>SUM('2020'!G47:R47)</f>
        <v>229936913.66999999</v>
      </c>
      <c r="L47" s="176">
        <f t="shared" si="7"/>
        <v>-25437542.590000004</v>
      </c>
      <c r="M47" s="178">
        <f t="shared" si="2"/>
        <v>-0.11062835533448689</v>
      </c>
      <c r="N47" s="175">
        <f>'2021'!R47</f>
        <v>56838746.07</v>
      </c>
      <c r="O47" s="175">
        <f>'2021'!R121</f>
        <v>24073116.957600009</v>
      </c>
      <c r="P47" s="176">
        <f t="shared" si="6"/>
        <v>32765629.112399992</v>
      </c>
      <c r="Q47" s="178">
        <f t="shared" si="3"/>
        <v>1.3610879376405682</v>
      </c>
      <c r="R47" s="175">
        <f>'2020'!R47</f>
        <v>32880958.649999999</v>
      </c>
      <c r="S47" s="176">
        <f t="shared" si="4"/>
        <v>23957787.420000002</v>
      </c>
      <c r="T47" s="178">
        <f t="shared" si="5"/>
        <v>0.7286219259911999</v>
      </c>
    </row>
    <row r="48" spans="1:20">
      <c r="A48" s="150">
        <v>451</v>
      </c>
      <c r="B48" s="523" t="str">
        <f>+VLOOKUP($A48,Master!$D$29:$G$225,4,FALSE)</f>
        <v>Pozajmice i krediti</v>
      </c>
      <c r="C48" s="524"/>
      <c r="D48" s="524"/>
      <c r="E48" s="524"/>
      <c r="F48" s="524"/>
      <c r="G48" s="163">
        <f>'2021'!S48</f>
        <v>1315523</v>
      </c>
      <c r="H48" s="163">
        <f>SUM('2021'!G122:R122)</f>
        <v>1554000.9999999995</v>
      </c>
      <c r="I48" s="164">
        <f>G48-H48</f>
        <v>-238477.99999999953</v>
      </c>
      <c r="J48" s="282">
        <f t="shared" si="1"/>
        <v>-0.1534606477087207</v>
      </c>
      <c r="K48" s="163">
        <f>SUM('2020'!G48:R48)</f>
        <v>1611467</v>
      </c>
      <c r="L48" s="279">
        <f t="shared" si="7"/>
        <v>-295944</v>
      </c>
      <c r="M48" s="282">
        <f t="shared" si="2"/>
        <v>-0.18364881192106319</v>
      </c>
      <c r="N48" s="163">
        <f>'2021'!R48</f>
        <v>164365</v>
      </c>
      <c r="O48" s="163">
        <f>'2021'!R122</f>
        <v>88786.555066666639</v>
      </c>
      <c r="P48" s="164">
        <f t="shared" si="6"/>
        <v>75578.444933333361</v>
      </c>
      <c r="Q48" s="282">
        <f t="shared" si="3"/>
        <v>0.85123749735063181</v>
      </c>
      <c r="R48" s="163">
        <f>'2020'!R48</f>
        <v>178722</v>
      </c>
      <c r="S48" s="279">
        <f t="shared" si="4"/>
        <v>-14357</v>
      </c>
      <c r="T48" s="282">
        <f t="shared" si="5"/>
        <v>-8.0331464509125872E-2</v>
      </c>
    </row>
    <row r="49" spans="1:23">
      <c r="A49" s="150">
        <v>47</v>
      </c>
      <c r="B49" s="523" t="str">
        <f>+VLOOKUP($A49,Master!$D$29:$G$225,4,FALSE)</f>
        <v>Rezerve</v>
      </c>
      <c r="C49" s="524"/>
      <c r="D49" s="524"/>
      <c r="E49" s="524"/>
      <c r="F49" s="524"/>
      <c r="G49" s="163">
        <f>'2021'!S49</f>
        <v>71230165.420000002</v>
      </c>
      <c r="H49" s="163">
        <f>SUM('2021'!G123:R123)</f>
        <v>71213051</v>
      </c>
      <c r="I49" s="164">
        <f t="shared" ref="I49:I50" si="8">G49-H49</f>
        <v>17114.420000001788</v>
      </c>
      <c r="J49" s="283">
        <f t="shared" si="1"/>
        <v>2.4032701533882594E-4</v>
      </c>
      <c r="K49" s="163">
        <f>SUM('2020'!G49:R49)</f>
        <v>116413709.19999999</v>
      </c>
      <c r="L49" s="280">
        <f t="shared" si="7"/>
        <v>-45183543.779999986</v>
      </c>
      <c r="M49" s="283">
        <f t="shared" si="2"/>
        <v>-0.38812906220842236</v>
      </c>
      <c r="N49" s="163">
        <f>'2021'!R49</f>
        <v>5072697.09</v>
      </c>
      <c r="O49" s="163">
        <f>'2021'!R123</f>
        <v>3041462.9633333324</v>
      </c>
      <c r="P49" s="164">
        <f t="shared" si="6"/>
        <v>2031234.1266666674</v>
      </c>
      <c r="Q49" s="283">
        <f t="shared" si="3"/>
        <v>0.66784772695062156</v>
      </c>
      <c r="R49" s="163">
        <f>'2020'!R49</f>
        <v>9536649.7100000009</v>
      </c>
      <c r="S49" s="280">
        <f t="shared" si="4"/>
        <v>-4463952.620000001</v>
      </c>
      <c r="T49" s="283">
        <f t="shared" si="5"/>
        <v>-0.46808394517407526</v>
      </c>
      <c r="W49" s="344"/>
    </row>
    <row r="50" spans="1:23" ht="15.75" thickBot="1">
      <c r="A50" s="150">
        <v>462</v>
      </c>
      <c r="B50" s="525" t="str">
        <f>+VLOOKUP($A50,Master!$D$29:$G$225,4,FALSE)</f>
        <v>Otplata garancija</v>
      </c>
      <c r="C50" s="526"/>
      <c r="D50" s="526"/>
      <c r="E50" s="526"/>
      <c r="F50" s="526"/>
      <c r="G50" s="163">
        <f>'2021'!S50</f>
        <v>7711252.0800000001</v>
      </c>
      <c r="H50" s="163">
        <f>SUM('2021'!G124:R124)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SUM('2020'!G50:R50)</f>
        <v>0</v>
      </c>
      <c r="L50" s="280">
        <f t="shared" si="7"/>
        <v>7711252.0800000001</v>
      </c>
      <c r="M50" s="284" t="str">
        <f t="shared" si="2"/>
        <v>...</v>
      </c>
      <c r="N50" s="163">
        <f>'2021'!R50</f>
        <v>0</v>
      </c>
      <c r="O50" s="163">
        <f>'2021'!R124</f>
        <v>0</v>
      </c>
      <c r="P50" s="164">
        <f t="shared" si="6"/>
        <v>0</v>
      </c>
      <c r="Q50" s="284" t="str">
        <f t="shared" si="3"/>
        <v>...</v>
      </c>
      <c r="R50" s="163">
        <f>'2020'!R50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5" t="str">
        <f>+VLOOKUP($A51,Master!$D$29:$G$225,4,FALSE)</f>
        <v>Otplata obaveza iz prethodnog perioda</v>
      </c>
      <c r="C51" s="526"/>
      <c r="D51" s="526"/>
      <c r="E51" s="526"/>
      <c r="F51" s="526"/>
      <c r="G51" s="314">
        <f>'2021'!S51</f>
        <v>26185594.789999999</v>
      </c>
      <c r="H51" s="314">
        <f>SUM('2021'!G125:R125)</f>
        <v>10430891.869999997</v>
      </c>
      <c r="I51" s="281">
        <f>G51-H51</f>
        <v>15754702.920000002</v>
      </c>
      <c r="J51" s="285">
        <f t="shared" si="1"/>
        <v>1.5103888638047982</v>
      </c>
      <c r="K51" s="314">
        <f>SUM('2020'!G51:R51)</f>
        <v>18775484.700000003</v>
      </c>
      <c r="L51" s="287">
        <f t="shared" si="7"/>
        <v>7410110.0899999961</v>
      </c>
      <c r="M51" s="285">
        <f t="shared" si="2"/>
        <v>0.39466944307435092</v>
      </c>
      <c r="N51" s="314">
        <f>'2021'!R51</f>
        <v>2879299.06</v>
      </c>
      <c r="O51" s="314">
        <f>'2021'!R125</f>
        <v>869240.98916666664</v>
      </c>
      <c r="P51" s="281">
        <f>N51-O51</f>
        <v>2010058.0708333333</v>
      </c>
      <c r="Q51" s="285" t="str">
        <f t="shared" si="3"/>
        <v>...</v>
      </c>
      <c r="R51" s="314">
        <f>'2020'!R51</f>
        <v>3122782.61</v>
      </c>
      <c r="S51" s="287">
        <f>+N51-R51</f>
        <v>-243483.54999999981</v>
      </c>
      <c r="T51" s="285">
        <f t="shared" si="5"/>
        <v>-7.797006081060498E-2</v>
      </c>
    </row>
    <row r="52" spans="1:23" ht="15.75" thickBot="1">
      <c r="A52" s="144">
        <v>1005</v>
      </c>
      <c r="B52" s="525" t="str">
        <f>+VLOOKUP($A52,Master!$D$29:$G$227,4,FALSE)</f>
        <v>Neto povećanje obaveza</v>
      </c>
      <c r="C52" s="526"/>
      <c r="D52" s="526"/>
      <c r="E52" s="526"/>
      <c r="F52" s="526"/>
      <c r="G52" s="163">
        <f>'2021'!S52</f>
        <v>0</v>
      </c>
      <c r="H52" s="163">
        <f>SUM('2021'!G126:R126)</f>
        <v>0</v>
      </c>
      <c r="I52" s="281">
        <f>G52-H52</f>
        <v>0</v>
      </c>
      <c r="J52" s="285" t="str">
        <f t="shared" si="1"/>
        <v>...</v>
      </c>
      <c r="K52" s="163">
        <f>SUM('2020'!G52:R52)</f>
        <v>0</v>
      </c>
      <c r="L52" s="287">
        <f t="shared" si="7"/>
        <v>0</v>
      </c>
      <c r="M52" s="285" t="str">
        <f t="shared" si="2"/>
        <v>...</v>
      </c>
      <c r="N52" s="163">
        <f>'2021'!R52</f>
        <v>0</v>
      </c>
      <c r="O52" s="163">
        <f>'2021'!R126</f>
        <v>0</v>
      </c>
      <c r="P52" s="281">
        <f>N52-O52</f>
        <v>0</v>
      </c>
      <c r="Q52" s="285" t="str">
        <f t="shared" si="3"/>
        <v>...</v>
      </c>
      <c r="R52" s="163">
        <f>'2020'!R52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7" t="str">
        <f>+VLOOKUP($A53,Master!$D$29:$G$225,4,FALSE)</f>
        <v>Suficit / deficit</v>
      </c>
      <c r="C53" s="528"/>
      <c r="D53" s="528"/>
      <c r="E53" s="528"/>
      <c r="F53" s="528"/>
      <c r="G53" s="151">
        <f>'2021'!S53</f>
        <v>-101580000.42999996</v>
      </c>
      <c r="H53" s="151">
        <f>SUM('2021'!G127:R127)</f>
        <v>-175329347.72438326</v>
      </c>
      <c r="I53" s="320">
        <f>+G53-H53</f>
        <v>73749347.294383302</v>
      </c>
      <c r="J53" s="286">
        <f t="shared" si="1"/>
        <v>-0.42063321544044563</v>
      </c>
      <c r="K53" s="151">
        <f>SUM('2020'!G53:R53)</f>
        <v>-426152270.79000008</v>
      </c>
      <c r="L53" s="288">
        <f t="shared" si="7"/>
        <v>324572270.36000013</v>
      </c>
      <c r="M53" s="286">
        <f t="shared" si="2"/>
        <v>-0.7616344968860751</v>
      </c>
      <c r="N53" s="151">
        <f>'2021'!R53</f>
        <v>-25761875.950000018</v>
      </c>
      <c r="O53" s="151">
        <f>'2021'!R127</f>
        <v>12996186.630360425</v>
      </c>
      <c r="P53" s="320">
        <f>N53-O53</f>
        <v>-38758062.580360442</v>
      </c>
      <c r="Q53" s="286">
        <f t="shared" si="3"/>
        <v>-2.9822642350962885</v>
      </c>
      <c r="R53" s="151">
        <f>'2020'!R53</f>
        <v>-28899450.580000013</v>
      </c>
      <c r="S53" s="288">
        <f t="shared" si="4"/>
        <v>3137574.6299999952</v>
      </c>
      <c r="T53" s="286">
        <f t="shared" si="5"/>
        <v>-0.10856866020045952</v>
      </c>
    </row>
    <row r="54" spans="1:23" ht="15.75" thickBot="1">
      <c r="A54" s="144">
        <v>1001</v>
      </c>
      <c r="B54" s="529" t="str">
        <f>+VLOOKUP($A54,Master!$D$29:$G$225,4,FALSE)</f>
        <v>Primarni suficit/deficit</v>
      </c>
      <c r="C54" s="530"/>
      <c r="D54" s="530"/>
      <c r="E54" s="530"/>
      <c r="F54" s="530"/>
      <c r="G54" s="151">
        <f>'2021'!S54</f>
        <v>12478901.750000067</v>
      </c>
      <c r="H54" s="151">
        <f>SUM('2021'!G128:R128)</f>
        <v>-62253958.390100293</v>
      </c>
      <c r="I54" s="206">
        <f t="shared" si="0"/>
        <v>74732860.14010036</v>
      </c>
      <c r="J54" s="208">
        <f t="shared" si="1"/>
        <v>-1.2004515387086532</v>
      </c>
      <c r="K54" s="151">
        <f>SUM('2020'!G54:R54)</f>
        <v>-315043362.44</v>
      </c>
      <c r="L54" s="206">
        <f t="shared" si="7"/>
        <v>327522264.19000006</v>
      </c>
      <c r="M54" s="208">
        <f t="shared" si="2"/>
        <v>-1.0396101084414267</v>
      </c>
      <c r="N54" s="151">
        <f>'2021'!R54</f>
        <v>933720.46999998391</v>
      </c>
      <c r="O54" s="151">
        <f>'2021'!R128</f>
        <v>35458855.730360426</v>
      </c>
      <c r="P54" s="206">
        <f t="shared" si="6"/>
        <v>-34525135.260360442</v>
      </c>
      <c r="Q54" s="208">
        <f t="shared" si="3"/>
        <v>-0.97366749572799893</v>
      </c>
      <c r="R54" s="151">
        <f>'2020'!R54</f>
        <v>-19714858.45000001</v>
      </c>
      <c r="S54" s="206">
        <f t="shared" si="4"/>
        <v>20648578.919999994</v>
      </c>
      <c r="T54" s="208">
        <f t="shared" si="5"/>
        <v>-1.0473612566059272</v>
      </c>
    </row>
    <row r="55" spans="1:23">
      <c r="A55" s="144">
        <v>46</v>
      </c>
      <c r="B55" s="551" t="str">
        <f>+VLOOKUP($A55,Master!$D$29:$G$225,4,FALSE)</f>
        <v>Otplata dugova</v>
      </c>
      <c r="C55" s="552"/>
      <c r="D55" s="552"/>
      <c r="E55" s="552"/>
      <c r="F55" s="552"/>
      <c r="G55" s="491">
        <f>'2021'!S55</f>
        <v>437597431.75</v>
      </c>
      <c r="H55" s="491">
        <f>SUM('2021'!G129:R129)</f>
        <v>435909894.17733198</v>
      </c>
      <c r="I55" s="492">
        <f t="shared" si="0"/>
        <v>1687537.572668016</v>
      </c>
      <c r="J55" s="493">
        <f t="shared" si="1"/>
        <v>3.8712990808635883E-3</v>
      </c>
      <c r="K55" s="491">
        <f>SUM('2020'!G55:R55)</f>
        <v>665846029.62999988</v>
      </c>
      <c r="L55" s="492">
        <f t="shared" si="7"/>
        <v>-228248597.87999988</v>
      </c>
      <c r="M55" s="493">
        <f t="shared" si="2"/>
        <v>-0.34279486205967769</v>
      </c>
      <c r="N55" s="491">
        <f>'2021'!R55</f>
        <v>12061111.439999999</v>
      </c>
      <c r="O55" s="491">
        <f>'2021'!R129</f>
        <v>6755365.3266666662</v>
      </c>
      <c r="P55" s="492">
        <f t="shared" si="6"/>
        <v>5305746.1133333333</v>
      </c>
      <c r="Q55" s="493">
        <f t="shared" si="3"/>
        <v>0.7854121659992257</v>
      </c>
      <c r="R55" s="491">
        <f>'2020'!R55</f>
        <v>29988194.140000001</v>
      </c>
      <c r="S55" s="492">
        <f t="shared" si="4"/>
        <v>-17927082.700000003</v>
      </c>
      <c r="T55" s="493">
        <f t="shared" si="5"/>
        <v>-0.59780467661064707</v>
      </c>
    </row>
    <row r="56" spans="1:23">
      <c r="A56" s="144">
        <v>4611</v>
      </c>
      <c r="B56" s="523" t="str">
        <f>+VLOOKUP($A56,Master!$D$29:$G$225,4,FALSE)</f>
        <v>Otplata hartija od vrijednosti i kredita rezidentima</v>
      </c>
      <c r="C56" s="524"/>
      <c r="D56" s="524"/>
      <c r="E56" s="524"/>
      <c r="F56" s="524"/>
      <c r="G56" s="163">
        <f>'2021'!S56</f>
        <v>85309098.780000001</v>
      </c>
      <c r="H56" s="163">
        <f>SUM('2021'!G130:R130)</f>
        <v>85893831.950000018</v>
      </c>
      <c r="I56" s="212">
        <f t="shared" si="0"/>
        <v>-584733.17000001669</v>
      </c>
      <c r="J56" s="214">
        <f t="shared" si="1"/>
        <v>-6.8076270056317556E-3</v>
      </c>
      <c r="K56" s="163">
        <f>SUM('2020'!G56:R56)</f>
        <v>244194215.69</v>
      </c>
      <c r="L56" s="212">
        <f t="shared" si="7"/>
        <v>-158885116.91</v>
      </c>
      <c r="M56" s="214">
        <f t="shared" si="2"/>
        <v>-0.65065061619519149</v>
      </c>
      <c r="N56" s="163">
        <f>'2021'!R56</f>
        <v>2536618.6</v>
      </c>
      <c r="O56" s="163">
        <f>'2021'!R130</f>
        <v>2536618.6</v>
      </c>
      <c r="P56" s="212">
        <f t="shared" si="6"/>
        <v>0</v>
      </c>
      <c r="Q56" s="214">
        <f t="shared" si="3"/>
        <v>0</v>
      </c>
      <c r="R56" s="163">
        <f>'2020'!R56</f>
        <v>18626065.969999999</v>
      </c>
      <c r="S56" s="212">
        <f t="shared" si="4"/>
        <v>-16089447.369999999</v>
      </c>
      <c r="T56" s="214">
        <f t="shared" si="5"/>
        <v>-0.86381350715252514</v>
      </c>
    </row>
    <row r="57" spans="1:23">
      <c r="A57" s="144">
        <v>4612</v>
      </c>
      <c r="B57" s="523" t="str">
        <f>+VLOOKUP($A57,Master!$D$29:$G$225,4,FALSE)</f>
        <v>Otplata hartija od vrijednosti i kredita nerezidentima</v>
      </c>
      <c r="C57" s="524"/>
      <c r="D57" s="524"/>
      <c r="E57" s="524"/>
      <c r="F57" s="524"/>
      <c r="G57" s="163">
        <f>'2021'!S57</f>
        <v>352288332.96999997</v>
      </c>
      <c r="H57" s="163">
        <f>SUM('2021'!G131:R131)</f>
        <v>350016062.22733206</v>
      </c>
      <c r="I57" s="212">
        <f t="shared" si="0"/>
        <v>2272270.7426679134</v>
      </c>
      <c r="J57" s="214">
        <f t="shared" si="1"/>
        <v>6.4919041949340617E-3</v>
      </c>
      <c r="K57" s="163">
        <f>SUM('2020'!G57:R57)</f>
        <v>421651813.94</v>
      </c>
      <c r="L57" s="212">
        <f t="shared" si="7"/>
        <v>-69363480.970000029</v>
      </c>
      <c r="M57" s="214">
        <f t="shared" si="2"/>
        <v>-0.16450416831331427</v>
      </c>
      <c r="N57" s="163">
        <f>'2021'!R57</f>
        <v>9524492.8399999999</v>
      </c>
      <c r="O57" s="163">
        <f>'2021'!R131</f>
        <v>4218746.7266666656</v>
      </c>
      <c r="P57" s="212">
        <f t="shared" si="6"/>
        <v>5305746.1133333342</v>
      </c>
      <c r="Q57" s="214">
        <f t="shared" si="3"/>
        <v>1.2576593137947234</v>
      </c>
      <c r="R57" s="163">
        <f>'2020'!R57</f>
        <v>11362128.17</v>
      </c>
      <c r="S57" s="212">
        <f t="shared" si="4"/>
        <v>-1837635.33</v>
      </c>
      <c r="T57" s="214">
        <f t="shared" si="5"/>
        <v>-0.16173337446166125</v>
      </c>
    </row>
    <row r="58" spans="1:23" ht="15.75" thickBot="1">
      <c r="A58" s="144">
        <v>4418</v>
      </c>
      <c r="B58" s="521" t="str">
        <f>+VLOOKUP($A58,Master!$D$29:$G$225,4,FALSE)</f>
        <v>Izdaci za kupovinu hartija od vrijednosti</v>
      </c>
      <c r="C58" s="522"/>
      <c r="D58" s="522"/>
      <c r="E58" s="522"/>
      <c r="F58" s="522"/>
      <c r="G58" s="335">
        <f>'2021'!S58</f>
        <v>506343.98</v>
      </c>
      <c r="H58" s="335">
        <f>SUM('2021'!G132:R132)</f>
        <v>590000</v>
      </c>
      <c r="I58" s="336">
        <f t="shared" ref="I58:I64" si="9">+G58-H58</f>
        <v>-83656.020000000019</v>
      </c>
      <c r="J58" s="337">
        <f t="shared" si="1"/>
        <v>-0.14178986440677965</v>
      </c>
      <c r="K58" s="335">
        <f>SUM('2020'!G58:R58)</f>
        <v>940769.61</v>
      </c>
      <c r="L58" s="336">
        <f t="shared" ref="L58:L64" si="10">+G58-K58</f>
        <v>-434425.63</v>
      </c>
      <c r="M58" s="337">
        <f t="shared" si="2"/>
        <v>-0.46177685310221706</v>
      </c>
      <c r="N58" s="335">
        <f>'2021'!R58</f>
        <v>0</v>
      </c>
      <c r="O58" s="335">
        <f>'2021'!R132</f>
        <v>53216</v>
      </c>
      <c r="P58" s="336">
        <f t="shared" ref="P58:P64" si="11">+N58-O58</f>
        <v>-53216</v>
      </c>
      <c r="Q58" s="337">
        <f t="shared" si="3"/>
        <v>-1</v>
      </c>
      <c r="R58" s="335">
        <f>'2020'!R58</f>
        <v>0</v>
      </c>
      <c r="S58" s="336">
        <f t="shared" ref="S58:S64" si="12">+N58-R58</f>
        <v>0</v>
      </c>
      <c r="T58" s="337" t="str">
        <f t="shared" si="5"/>
        <v>...</v>
      </c>
    </row>
    <row r="59" spans="1:23" ht="15.75" thickBot="1">
      <c r="A59" s="144">
        <v>1002</v>
      </c>
      <c r="B59" s="549" t="str">
        <f>+VLOOKUP($A59,Master!$D$29:$G$225,4,FALSE)</f>
        <v>Nedostajuća sredstva</v>
      </c>
      <c r="C59" s="550"/>
      <c r="D59" s="550"/>
      <c r="E59" s="550"/>
      <c r="F59" s="550"/>
      <c r="G59" s="319">
        <f>'2021'!S59</f>
        <v>-539683776.16000009</v>
      </c>
      <c r="H59" s="319">
        <f>SUM('2021'!G133:R133)</f>
        <v>-611829241.90171516</v>
      </c>
      <c r="I59" s="321">
        <f t="shared" si="9"/>
        <v>72145465.741715074</v>
      </c>
      <c r="J59" s="322">
        <f t="shared" si="1"/>
        <v>-0.11791764891372192</v>
      </c>
      <c r="K59" s="319">
        <f>SUM('2020'!G59:R59)</f>
        <v>-1092939070.03</v>
      </c>
      <c r="L59" s="321">
        <f t="shared" si="10"/>
        <v>553255293.86999989</v>
      </c>
      <c r="M59" s="322">
        <f t="shared" si="2"/>
        <v>-0.5062087256655704</v>
      </c>
      <c r="N59" s="319">
        <f>'2021'!R59</f>
        <v>-37822987.390000015</v>
      </c>
      <c r="O59" s="319">
        <f>'2021'!R133</f>
        <v>6187605.3036937583</v>
      </c>
      <c r="P59" s="321">
        <f t="shared" si="11"/>
        <v>-44010592.693693772</v>
      </c>
      <c r="Q59" s="322">
        <f t="shared" si="3"/>
        <v>-7.1127020121049371</v>
      </c>
      <c r="R59" s="319">
        <f>'2020'!R59</f>
        <v>-58887644.720000014</v>
      </c>
      <c r="S59" s="321">
        <f t="shared" si="12"/>
        <v>21064657.329999998</v>
      </c>
      <c r="T59" s="322">
        <f t="shared" si="5"/>
        <v>-0.35770928571109595</v>
      </c>
    </row>
    <row r="60" spans="1:23" ht="15.75" thickBot="1">
      <c r="A60" s="144">
        <v>1003</v>
      </c>
      <c r="B60" s="513" t="str">
        <f>+VLOOKUP($A60,Master!$D$29:$G$225,4,FALSE)</f>
        <v>Finansiranje</v>
      </c>
      <c r="C60" s="514"/>
      <c r="D60" s="514"/>
      <c r="E60" s="514"/>
      <c r="F60" s="514"/>
      <c r="G60" s="151">
        <f>'2021'!S60</f>
        <v>539683776.16000009</v>
      </c>
      <c r="H60" s="151">
        <f>SUM('2021'!G134:R134)</f>
        <v>611829241.90171516</v>
      </c>
      <c r="I60" s="320">
        <f t="shared" si="9"/>
        <v>-72145465.741715074</v>
      </c>
      <c r="J60" s="323">
        <f t="shared" si="1"/>
        <v>-0.11791764891372192</v>
      </c>
      <c r="K60" s="151">
        <f>SUM('2020'!G60:R60)</f>
        <v>1092939070.03</v>
      </c>
      <c r="L60" s="320">
        <f t="shared" si="10"/>
        <v>-553255293.86999989</v>
      </c>
      <c r="M60" s="323">
        <f t="shared" si="2"/>
        <v>-0.5062087256655704</v>
      </c>
      <c r="N60" s="151">
        <f>'2021'!R60</f>
        <v>37822987.390000015</v>
      </c>
      <c r="O60" s="151">
        <f>'2021'!R134</f>
        <v>-6187605.3036937565</v>
      </c>
      <c r="P60" s="320">
        <f t="shared" si="11"/>
        <v>44010592.693693772</v>
      </c>
      <c r="Q60" s="323">
        <f t="shared" si="3"/>
        <v>-7.1127020121049389</v>
      </c>
      <c r="R60" s="151">
        <f>'2020'!R60</f>
        <v>58887644.720000029</v>
      </c>
      <c r="S60" s="320">
        <f t="shared" si="12"/>
        <v>-21064657.330000013</v>
      </c>
      <c r="T60" s="323">
        <f t="shared" si="5"/>
        <v>-0.35770928571109617</v>
      </c>
    </row>
    <row r="61" spans="1:23">
      <c r="A61" s="144">
        <v>7511</v>
      </c>
      <c r="B61" s="547" t="str">
        <f>+VLOOKUP($A61,Master!$D$29:$G$225,4,FALSE)</f>
        <v>Pozajmice i krediti od domaćih izvora</v>
      </c>
      <c r="C61" s="548"/>
      <c r="D61" s="548"/>
      <c r="E61" s="548"/>
      <c r="F61" s="548"/>
      <c r="G61" s="483">
        <f>'2021'!S61</f>
        <v>0</v>
      </c>
      <c r="H61" s="483">
        <f>SUM('2021'!G135:R135)</f>
        <v>0</v>
      </c>
      <c r="I61" s="212">
        <f t="shared" si="9"/>
        <v>0</v>
      </c>
      <c r="J61" s="214" t="str">
        <f t="shared" si="1"/>
        <v>...</v>
      </c>
      <c r="K61" s="163">
        <f>SUM('2020'!G61:R61)</f>
        <v>167532059.13</v>
      </c>
      <c r="L61" s="212">
        <f t="shared" si="10"/>
        <v>-167532059.13</v>
      </c>
      <c r="M61" s="214">
        <f t="shared" si="2"/>
        <v>-1</v>
      </c>
      <c r="N61" s="163">
        <f>'2021'!R61</f>
        <v>0</v>
      </c>
      <c r="O61" s="163">
        <f>'2021'!R135</f>
        <v>0</v>
      </c>
      <c r="P61" s="212">
        <f t="shared" si="11"/>
        <v>0</v>
      </c>
      <c r="Q61" s="214" t="str">
        <f t="shared" si="3"/>
        <v>...</v>
      </c>
      <c r="R61" s="163">
        <f>'2020'!R61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523" t="str">
        <f>+VLOOKUP($A62,Master!$D$29:$G$225,4,FALSE)</f>
        <v>Pozajmice i krediti od inostranih izvora</v>
      </c>
      <c r="C62" s="524"/>
      <c r="D62" s="524"/>
      <c r="E62" s="524"/>
      <c r="F62" s="524"/>
      <c r="G62" s="163">
        <f>'2021'!S62</f>
        <v>106040276.08000001</v>
      </c>
      <c r="H62" s="163">
        <f>SUM('2021'!G136:R136)</f>
        <v>165000000</v>
      </c>
      <c r="I62" s="212">
        <f t="shared" si="9"/>
        <v>-58959723.919999987</v>
      </c>
      <c r="J62" s="214">
        <f t="shared" si="1"/>
        <v>-0.35733166012121209</v>
      </c>
      <c r="K62" s="163">
        <f>SUM('2020'!G62:R62)</f>
        <v>1185744853.8199999</v>
      </c>
      <c r="L62" s="212">
        <f t="shared" si="10"/>
        <v>-1079704577.74</v>
      </c>
      <c r="M62" s="214">
        <f t="shared" si="2"/>
        <v>-0.91057074737589605</v>
      </c>
      <c r="N62" s="163">
        <f>'2021'!R62</f>
        <v>1658229.03</v>
      </c>
      <c r="O62" s="163">
        <f>'2021'!R136</f>
        <v>18900000</v>
      </c>
      <c r="P62" s="212">
        <f t="shared" si="11"/>
        <v>-17241770.969999999</v>
      </c>
      <c r="Q62" s="214">
        <f t="shared" si="3"/>
        <v>-0.91226301428571432</v>
      </c>
      <c r="R62" s="163">
        <f>'2020'!R62</f>
        <v>763591402.35000002</v>
      </c>
      <c r="S62" s="212">
        <f t="shared" si="12"/>
        <v>-761933173.32000005</v>
      </c>
      <c r="T62" s="214">
        <f t="shared" si="5"/>
        <v>-0.99782838174330313</v>
      </c>
    </row>
    <row r="63" spans="1:23">
      <c r="A63" s="144">
        <v>72</v>
      </c>
      <c r="B63" s="523" t="str">
        <f>+VLOOKUP($A63,Master!$D$29:$G$225,4,FALSE)</f>
        <v>Primici od prodaje imovine</v>
      </c>
      <c r="C63" s="524"/>
      <c r="D63" s="524"/>
      <c r="E63" s="524"/>
      <c r="F63" s="524"/>
      <c r="G63" s="163">
        <f>'2021'!S63</f>
        <v>4453578.24</v>
      </c>
      <c r="H63" s="163">
        <f>SUM('2021'!G137:R137)</f>
        <v>6000000</v>
      </c>
      <c r="I63" s="212">
        <f t="shared" si="9"/>
        <v>-1546421.7599999998</v>
      </c>
      <c r="J63" s="214">
        <f t="shared" si="1"/>
        <v>-0.25773696000000001</v>
      </c>
      <c r="K63" s="163">
        <f>SUM('2020'!G63:R63)</f>
        <v>8547250.9600000009</v>
      </c>
      <c r="L63" s="212">
        <f t="shared" si="10"/>
        <v>-4093672.7200000007</v>
      </c>
      <c r="M63" s="214">
        <f t="shared" si="2"/>
        <v>-0.47894612421676219</v>
      </c>
      <c r="N63" s="163">
        <f>'2021'!R63</f>
        <v>2806225.74</v>
      </c>
      <c r="O63" s="163">
        <f>'2021'!R137</f>
        <v>866202.91500000004</v>
      </c>
      <c r="P63" s="212">
        <f t="shared" si="11"/>
        <v>1940022.8250000002</v>
      </c>
      <c r="Q63" s="214" t="str">
        <f t="shared" si="3"/>
        <v>...</v>
      </c>
      <c r="R63" s="163">
        <f>'2020'!R63</f>
        <v>730580.32</v>
      </c>
      <c r="S63" s="212">
        <f t="shared" si="12"/>
        <v>2075645.4200000004</v>
      </c>
      <c r="T63" s="214" t="str">
        <f t="shared" si="5"/>
        <v>...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7">
        <f>'2021'!S64</f>
        <v>429189921.84000003</v>
      </c>
      <c r="H64" s="317">
        <f>SUM('2021'!G138:R138)</f>
        <v>440829241.90171522</v>
      </c>
      <c r="I64" s="226">
        <f t="shared" si="9"/>
        <v>-11639320.061715186</v>
      </c>
      <c r="J64" s="228">
        <f t="shared" si="1"/>
        <v>-2.6403239520826127E-2</v>
      </c>
      <c r="K64" s="317">
        <f>SUM('2020'!G64:R64)</f>
        <v>-268885093.88000011</v>
      </c>
      <c r="L64" s="226">
        <f t="shared" si="10"/>
        <v>698075015.72000015</v>
      </c>
      <c r="M64" s="228">
        <f t="shared" si="2"/>
        <v>-2.5961833943518711</v>
      </c>
      <c r="N64" s="317">
        <f>'2021'!R64</f>
        <v>33358532.620000016</v>
      </c>
      <c r="O64" s="317">
        <f>'2021'!R138</f>
        <v>-25953808.218693756</v>
      </c>
      <c r="P64" s="226">
        <f t="shared" si="11"/>
        <v>59312340.838693768</v>
      </c>
      <c r="Q64" s="228">
        <f t="shared" si="3"/>
        <v>-2.2853039653723286</v>
      </c>
      <c r="R64" s="317">
        <f>'2020'!R64</f>
        <v>-705434337.95000005</v>
      </c>
      <c r="S64" s="226">
        <f t="shared" si="12"/>
        <v>738792870.57000005</v>
      </c>
      <c r="T64" s="228">
        <f t="shared" si="5"/>
        <v>-1.0472879342915746</v>
      </c>
    </row>
    <row r="65" spans="6:18">
      <c r="G65" s="290"/>
    </row>
    <row r="66" spans="6:18">
      <c r="G66" s="5"/>
    </row>
    <row r="67" spans="6:18">
      <c r="F67" s="290"/>
      <c r="G67" s="5"/>
      <c r="H67" s="290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VdIxN2l/F3E2s688EiVKzCCq6JYOhx6/wBjqOtyr9Y0DdwTHR17YKZMVD7LnA2sdaUlDP+h0vTDAPj0f466bTg==" saltValue="vZZVn79KNYjOa4A5hvOfxg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2" activePane="bottomLeft" state="frozen"/>
      <selection pane="bottomLeft" activeCell="H10" sqref="H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0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0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53" t="str">
        <f>+Master!G251</f>
        <v>Ostvarenje budžeta</v>
      </c>
      <c r="C7" s="534"/>
      <c r="D7" s="534"/>
      <c r="E7" s="534"/>
      <c r="F7" s="534"/>
      <c r="G7" s="542">
        <v>2021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tr">
        <f>+Master!G248</f>
        <v>BDP</v>
      </c>
      <c r="T7" s="236">
        <v>4881300000</v>
      </c>
    </row>
    <row r="8" spans="1:20" ht="16.5" customHeight="1">
      <c r="A8" s="144"/>
      <c r="B8" s="535"/>
      <c r="C8" s="536"/>
      <c r="D8" s="536"/>
      <c r="E8" s="536"/>
      <c r="F8" s="537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42" t="str">
        <f>+Master!G246</f>
        <v>Jan - Dec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01" t="str">
        <f>+VLOOKUP($A10,Master!$D$29:$G$225,4,FALSE)</f>
        <v>Prihodi budžeta</v>
      </c>
      <c r="C10" s="502"/>
      <c r="D10" s="502"/>
      <c r="E10" s="502"/>
      <c r="F10" s="502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136581738.56</v>
      </c>
      <c r="L10" s="151">
        <f t="shared" si="1"/>
        <v>158964981.16000003</v>
      </c>
      <c r="M10" s="151">
        <f t="shared" si="1"/>
        <v>194103304.03</v>
      </c>
      <c r="N10" s="151">
        <f t="shared" si="1"/>
        <v>190105980.75999999</v>
      </c>
      <c r="O10" s="151">
        <f t="shared" si="1"/>
        <v>172282444.23000002</v>
      </c>
      <c r="P10" s="151">
        <f t="shared" si="1"/>
        <v>160001779.85000002</v>
      </c>
      <c r="Q10" s="151">
        <f t="shared" si="1"/>
        <v>158634203.05000001</v>
      </c>
      <c r="R10" s="151">
        <f t="shared" si="1"/>
        <v>246786376.26000002</v>
      </c>
      <c r="S10" s="239">
        <f>+SUM(G10:R10)</f>
        <v>1909996558.0599999</v>
      </c>
      <c r="T10" s="462">
        <f>+S10/$T$7*100</f>
        <v>39.128850061663897</v>
      </c>
    </row>
    <row r="11" spans="1:20">
      <c r="A11" s="150">
        <v>711</v>
      </c>
      <c r="B11" s="503" t="str">
        <f>+VLOOKUP($A11,Master!$D$29:$G$225,4,FALSE)</f>
        <v>Porezi</v>
      </c>
      <c r="C11" s="504"/>
      <c r="D11" s="504"/>
      <c r="E11" s="504"/>
      <c r="F11" s="504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24.253255351033538</v>
      </c>
    </row>
    <row r="12" spans="1:20">
      <c r="A12" s="150">
        <v>7111</v>
      </c>
      <c r="B12" s="505" t="str">
        <f>+VLOOKUP($A12,Master!$D$29:$G$225,4,FALSE)</f>
        <v>Porez na dohodak fizičkih lica</v>
      </c>
      <c r="C12" s="506"/>
      <c r="D12" s="506"/>
      <c r="E12" s="506"/>
      <c r="F12" s="506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2.5989853328006882</v>
      </c>
    </row>
    <row r="13" spans="1:20">
      <c r="A13" s="150">
        <v>7112</v>
      </c>
      <c r="B13" s="505" t="str">
        <f>+VLOOKUP($A13,Master!$D$29:$G$225,4,FALSE)</f>
        <v>Porez na dobit pravnih lica</v>
      </c>
      <c r="C13" s="506"/>
      <c r="D13" s="506"/>
      <c r="E13" s="506"/>
      <c r="F13" s="506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1.5306111992706861</v>
      </c>
    </row>
    <row r="14" spans="1:20">
      <c r="A14" s="150">
        <v>7113</v>
      </c>
      <c r="B14" s="505" t="str">
        <f>+VLOOKUP($A14,Master!$D$29:$G$225,4,FALSE)</f>
        <v>Porez na promet nepokretnosti</v>
      </c>
      <c r="C14" s="506"/>
      <c r="D14" s="506"/>
      <c r="E14" s="506"/>
      <c r="F14" s="506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4.2575825497306041E-2</v>
      </c>
    </row>
    <row r="15" spans="1:20">
      <c r="A15" s="150">
        <v>7114</v>
      </c>
      <c r="B15" s="505" t="str">
        <f>+VLOOKUP($A15,Master!$D$29:$G$225,4,FALSE)</f>
        <v>Porez na dodatu vrijednost</v>
      </c>
      <c r="C15" s="506"/>
      <c r="D15" s="506"/>
      <c r="E15" s="506"/>
      <c r="F15" s="506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14.175488530514412</v>
      </c>
    </row>
    <row r="16" spans="1:20">
      <c r="A16" s="150">
        <v>7115</v>
      </c>
      <c r="B16" s="505" t="str">
        <f>+VLOOKUP($A16,Master!$D$29:$G$225,4,FALSE)</f>
        <v>Akcize</v>
      </c>
      <c r="C16" s="506"/>
      <c r="D16" s="506"/>
      <c r="E16" s="506"/>
      <c r="F16" s="506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5.0953208194538337</v>
      </c>
    </row>
    <row r="17" spans="1:23">
      <c r="A17" s="150">
        <v>7116</v>
      </c>
      <c r="B17" s="505" t="str">
        <f>+VLOOKUP($A17,Master!$D$29:$G$225,4,FALSE)</f>
        <v>Porez na međunarodnu trgovinu i transakcije</v>
      </c>
      <c r="C17" s="506"/>
      <c r="D17" s="506"/>
      <c r="E17" s="506"/>
      <c r="F17" s="506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0.57969479585356354</v>
      </c>
    </row>
    <row r="18" spans="1:23">
      <c r="A18" s="150">
        <v>7118</v>
      </c>
      <c r="B18" s="505" t="str">
        <f>+VLOOKUP($A18,Master!$D$29:$G$225,4,FALSE)</f>
        <v>Ostali državni porezi</v>
      </c>
      <c r="C18" s="506"/>
      <c r="D18" s="506"/>
      <c r="E18" s="506"/>
      <c r="F18" s="506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0.23057884764304598</v>
      </c>
    </row>
    <row r="19" spans="1:23">
      <c r="A19" s="150">
        <v>712</v>
      </c>
      <c r="B19" s="509" t="str">
        <f>+VLOOKUP($A19,Master!$D$29:$G$225,4,FALSE)</f>
        <v>Doprinosi</v>
      </c>
      <c r="C19" s="510"/>
      <c r="D19" s="510"/>
      <c r="E19" s="510"/>
      <c r="F19" s="510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11.35918973756991</v>
      </c>
    </row>
    <row r="20" spans="1:23">
      <c r="A20" s="150">
        <v>7121</v>
      </c>
      <c r="B20" s="505" t="str">
        <f>+VLOOKUP($A20,Master!$D$29:$G$225,4,FALSE)</f>
        <v>Doprinosi za penzijsko i invalidsko osiguranje</v>
      </c>
      <c r="C20" s="506"/>
      <c r="D20" s="506"/>
      <c r="E20" s="506"/>
      <c r="F20" s="506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7.0419406721570086</v>
      </c>
    </row>
    <row r="21" spans="1:23">
      <c r="A21" s="150">
        <v>7122</v>
      </c>
      <c r="B21" s="505" t="str">
        <f>+VLOOKUP($A21,Master!$D$29:$G$225,4,FALSE)</f>
        <v>Doprinosi za zdravstveno osiguranje</v>
      </c>
      <c r="C21" s="506"/>
      <c r="D21" s="506"/>
      <c r="E21" s="506"/>
      <c r="F21" s="506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3.6991472894515804</v>
      </c>
    </row>
    <row r="22" spans="1:23">
      <c r="A22" s="150">
        <v>7123</v>
      </c>
      <c r="B22" s="505" t="str">
        <f>+VLOOKUP($A22,Master!$D$29:$G$225,4,FALSE)</f>
        <v>Doprinosi za osiguranje od nezaposlenosti</v>
      </c>
      <c r="C22" s="506"/>
      <c r="D22" s="506"/>
      <c r="E22" s="506"/>
      <c r="F22" s="506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0.33513274004875754</v>
      </c>
    </row>
    <row r="23" spans="1:23">
      <c r="A23" s="150">
        <v>7124</v>
      </c>
      <c r="B23" s="505" t="str">
        <f>+VLOOKUP($A23,Master!$D$29:$G$225,4,FALSE)</f>
        <v>Ostali doprinosi</v>
      </c>
      <c r="C23" s="506"/>
      <c r="D23" s="506"/>
      <c r="E23" s="506"/>
      <c r="F23" s="506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0.28296903591256428</v>
      </c>
      <c r="W23" s="305"/>
    </row>
    <row r="24" spans="1:23">
      <c r="A24" s="150">
        <v>713</v>
      </c>
      <c r="B24" s="507" t="str">
        <f>+VLOOKUP($A24,Master!$D$29:$G$225,4,FALSE)</f>
        <v>Takse</v>
      </c>
      <c r="C24" s="508"/>
      <c r="D24" s="508"/>
      <c r="E24" s="508"/>
      <c r="F24" s="508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1049502.56</v>
      </c>
      <c r="R24" s="175">
        <v>1167987.26</v>
      </c>
      <c r="S24" s="243">
        <f t="shared" si="4"/>
        <v>12561706.16</v>
      </c>
      <c r="T24" s="465">
        <f t="shared" si="3"/>
        <v>0.25734345686599885</v>
      </c>
      <c r="W24" s="305"/>
    </row>
    <row r="25" spans="1:23">
      <c r="A25" s="150">
        <v>714</v>
      </c>
      <c r="B25" s="507" t="str">
        <f>+VLOOKUP($A25,Master!$D$29:$G$225,4,FALSE)</f>
        <v>Naknade</v>
      </c>
      <c r="C25" s="508"/>
      <c r="D25" s="508"/>
      <c r="E25" s="508"/>
      <c r="F25" s="508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1.0467507012476185</v>
      </c>
    </row>
    <row r="26" spans="1:23">
      <c r="A26" s="150">
        <v>715</v>
      </c>
      <c r="B26" s="507" t="str">
        <f>+VLOOKUP($A26,Master!$D$29:$G$225,4,FALSE)</f>
        <v>Ostali prihodi</v>
      </c>
      <c r="C26" s="508"/>
      <c r="D26" s="508"/>
      <c r="E26" s="508"/>
      <c r="F26" s="508"/>
      <c r="G26" s="175">
        <v>1525776.04</v>
      </c>
      <c r="H26" s="175">
        <v>1791757.35</v>
      </c>
      <c r="I26" s="175">
        <v>1693779.5</v>
      </c>
      <c r="J26" s="175">
        <v>1358988.92</v>
      </c>
      <c r="K26" s="175">
        <v>3754528.06</v>
      </c>
      <c r="L26" s="175">
        <v>2287001.92</v>
      </c>
      <c r="M26" s="175">
        <v>30215055.109999999</v>
      </c>
      <c r="N26" s="175">
        <v>2283335.13</v>
      </c>
      <c r="O26" s="175">
        <v>1871675.2</v>
      </c>
      <c r="P26" s="175">
        <v>1567023.5799999998</v>
      </c>
      <c r="Q26" s="175">
        <v>1690115.6199999999</v>
      </c>
      <c r="R26" s="175">
        <v>7955683.5800000001</v>
      </c>
      <c r="S26" s="243">
        <f t="shared" si="4"/>
        <v>57994720.009999998</v>
      </c>
      <c r="T26" s="465">
        <f t="shared" si="3"/>
        <v>1.1880998916272305</v>
      </c>
    </row>
    <row r="27" spans="1:23">
      <c r="A27" s="150">
        <v>73</v>
      </c>
      <c r="B27" s="507" t="str">
        <f>+VLOOKUP($A27,Master!$D$29:$G$225,4,FALSE)</f>
        <v>Primici od otplate kredita i sredstva prenesena iz prethodne godine</v>
      </c>
      <c r="C27" s="508"/>
      <c r="D27" s="508"/>
      <c r="E27" s="508"/>
      <c r="F27" s="508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2176968.5099999998</v>
      </c>
      <c r="S27" s="243">
        <f t="shared" si="4"/>
        <v>10017721.119999999</v>
      </c>
      <c r="T27" s="465">
        <f t="shared" si="3"/>
        <v>0.2052264994980845</v>
      </c>
    </row>
    <row r="28" spans="1:23" ht="13.5" thickBot="1">
      <c r="A28" s="150">
        <v>74</v>
      </c>
      <c r="B28" s="511" t="str">
        <f>+VLOOKUP($A28,Master!$D$29:$G$225,4,FALSE)</f>
        <v>Donacije i transferi</v>
      </c>
      <c r="C28" s="512"/>
      <c r="D28" s="512"/>
      <c r="E28" s="512"/>
      <c r="F28" s="512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2378622.7000000002</v>
      </c>
      <c r="N28" s="175">
        <v>787553.87</v>
      </c>
      <c r="O28" s="175">
        <v>4426931.51</v>
      </c>
      <c r="P28" s="175">
        <v>3100970.75</v>
      </c>
      <c r="Q28" s="175">
        <v>2715280.72</v>
      </c>
      <c r="R28" s="175">
        <v>18443329.940000001</v>
      </c>
      <c r="S28" s="243">
        <f t="shared" si="4"/>
        <v>39977086.68</v>
      </c>
      <c r="T28" s="466">
        <f t="shared" si="3"/>
        <v>0.81898442382152292</v>
      </c>
    </row>
    <row r="29" spans="1:23" ht="13.5" thickBot="1">
      <c r="A29" s="150">
        <v>4</v>
      </c>
      <c r="B29" s="513" t="str">
        <f>+VLOOKUP($A29,Master!$D$29:$G$225,4,FALSE)</f>
        <v>Izdaci budžeta</v>
      </c>
      <c r="C29" s="514"/>
      <c r="D29" s="514"/>
      <c r="E29" s="514"/>
      <c r="F29" s="514"/>
      <c r="G29" s="151">
        <f>+G30+G40+G46+SUM(G47:G51)</f>
        <v>127396828.25</v>
      </c>
      <c r="H29" s="151">
        <f t="shared" ref="H29:R29" si="6">+H30+H40+H46+SUM(H47:H51)</f>
        <v>159823163.58000001</v>
      </c>
      <c r="I29" s="151">
        <f t="shared" si="6"/>
        <v>164445513.62</v>
      </c>
      <c r="J29" s="151">
        <f t="shared" si="6"/>
        <v>184230567.26000002</v>
      </c>
      <c r="K29" s="151">
        <f t="shared" si="6"/>
        <v>156128771.06999999</v>
      </c>
      <c r="L29" s="151">
        <f t="shared" si="6"/>
        <v>155953410.75</v>
      </c>
      <c r="M29" s="151">
        <f t="shared" si="6"/>
        <v>153567173.43000001</v>
      </c>
      <c r="N29" s="151">
        <f t="shared" si="6"/>
        <v>129243026.83</v>
      </c>
      <c r="O29" s="151">
        <f t="shared" si="6"/>
        <v>178840157.63000003</v>
      </c>
      <c r="P29" s="151">
        <f t="shared" si="6"/>
        <v>157218817.40000001</v>
      </c>
      <c r="Q29" s="151">
        <f t="shared" si="6"/>
        <v>172180876.45999998</v>
      </c>
      <c r="R29" s="151">
        <f t="shared" si="6"/>
        <v>272548252.21000004</v>
      </c>
      <c r="S29" s="245">
        <f t="shared" si="4"/>
        <v>2011576558.4900002</v>
      </c>
      <c r="T29" s="467">
        <f t="shared" si="3"/>
        <v>41.209853081965875</v>
      </c>
    </row>
    <row r="30" spans="1:23">
      <c r="A30" s="150">
        <v>41</v>
      </c>
      <c r="B30" s="517" t="str">
        <f>+VLOOKUP($A30,Master!$D$29:$G$225,4,FALSE)</f>
        <v>Tekući izdaci</v>
      </c>
      <c r="C30" s="518"/>
      <c r="D30" s="518"/>
      <c r="E30" s="518"/>
      <c r="F30" s="518"/>
      <c r="G30" s="187">
        <f t="shared" ref="G30:R30" si="7">+SUM(G31:G39)</f>
        <v>51210284.650000006</v>
      </c>
      <c r="H30" s="187">
        <f t="shared" si="7"/>
        <v>62952522.470000006</v>
      </c>
      <c r="I30" s="187">
        <f t="shared" si="7"/>
        <v>74936031.789999992</v>
      </c>
      <c r="J30" s="187">
        <f t="shared" si="7"/>
        <v>90498154.590000004</v>
      </c>
      <c r="K30" s="187">
        <f t="shared" si="7"/>
        <v>68092885.25</v>
      </c>
      <c r="L30" s="187">
        <f t="shared" si="7"/>
        <v>67095940.299999997</v>
      </c>
      <c r="M30" s="187">
        <f t="shared" si="7"/>
        <v>63433821.460000001</v>
      </c>
      <c r="N30" s="187">
        <f t="shared" si="7"/>
        <v>55432684.900000006</v>
      </c>
      <c r="O30" s="187">
        <f t="shared" si="7"/>
        <v>78428128.920000017</v>
      </c>
      <c r="P30" s="187">
        <f t="shared" si="7"/>
        <v>65428662.609999999</v>
      </c>
      <c r="Q30" s="187">
        <f t="shared" si="7"/>
        <v>70638693.879999995</v>
      </c>
      <c r="R30" s="246">
        <f t="shared" si="7"/>
        <v>128015161.53</v>
      </c>
      <c r="S30" s="424">
        <f t="shared" si="4"/>
        <v>876162972.3499999</v>
      </c>
      <c r="T30" s="463">
        <f t="shared" si="3"/>
        <v>17.949377672955976</v>
      </c>
      <c r="U30" s="242"/>
    </row>
    <row r="31" spans="1:23">
      <c r="A31" s="150">
        <v>411</v>
      </c>
      <c r="B31" s="505" t="str">
        <f>+VLOOKUP($A31,Master!$D$29:$G$225,4,FALSE)</f>
        <v>Bruto zarade i doprinosi na teret poslodavca</v>
      </c>
      <c r="C31" s="506"/>
      <c r="D31" s="506"/>
      <c r="E31" s="506"/>
      <c r="F31" s="506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47109142.439999998</v>
      </c>
      <c r="S31" s="242">
        <f t="shared" si="4"/>
        <v>535284771.48000002</v>
      </c>
      <c r="T31" s="464">
        <f t="shared" si="3"/>
        <v>10.966028957040134</v>
      </c>
      <c r="U31" s="242"/>
    </row>
    <row r="32" spans="1:23">
      <c r="A32" s="150">
        <v>412</v>
      </c>
      <c r="B32" s="505" t="str">
        <f>+VLOOKUP($A32,Master!$D$29:$G$225,4,FALSE)</f>
        <v>Ostala lična primanja</v>
      </c>
      <c r="C32" s="506"/>
      <c r="D32" s="506"/>
      <c r="E32" s="506"/>
      <c r="F32" s="506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11275293.119999999</v>
      </c>
      <c r="T32" s="464">
        <f t="shared" si="3"/>
        <v>0.23098955442197774</v>
      </c>
      <c r="U32" s="457"/>
    </row>
    <row r="33" spans="1:21">
      <c r="A33" s="150">
        <v>413</v>
      </c>
      <c r="B33" s="505" t="str">
        <f>+VLOOKUP($A33,Master!$D$29:$G$225,4,FALSE)</f>
        <v>Rashodi za materijal</v>
      </c>
      <c r="C33" s="506"/>
      <c r="D33" s="506"/>
      <c r="E33" s="506"/>
      <c r="F33" s="506"/>
      <c r="G33" s="163">
        <v>596838.26</v>
      </c>
      <c r="H33" s="163">
        <v>1661548.94</v>
      </c>
      <c r="I33" s="163">
        <v>2846541.08</v>
      </c>
      <c r="J33" s="163">
        <v>2297097.17</v>
      </c>
      <c r="K33" s="163">
        <v>3105673.67</v>
      </c>
      <c r="L33" s="163">
        <v>3282627.05</v>
      </c>
      <c r="M33" s="163">
        <v>1191294.69</v>
      </c>
      <c r="N33" s="163">
        <v>1974731.33</v>
      </c>
      <c r="O33" s="163">
        <v>2484211.52</v>
      </c>
      <c r="P33" s="163">
        <v>3818905.14</v>
      </c>
      <c r="Q33" s="163">
        <v>3314735.27</v>
      </c>
      <c r="R33" s="163">
        <v>8934782.8399999999</v>
      </c>
      <c r="S33" s="242">
        <f t="shared" si="4"/>
        <v>35508986.960000001</v>
      </c>
      <c r="T33" s="464">
        <f t="shared" si="3"/>
        <v>0.72744938766312262</v>
      </c>
      <c r="U33" s="457"/>
    </row>
    <row r="34" spans="1:21" s="361" customFormat="1">
      <c r="A34" s="360">
        <v>414</v>
      </c>
      <c r="B34" s="554" t="str">
        <f>+VLOOKUP($A34,Master!$D$29:$G$225,4,FALSE)</f>
        <v>Rashodi za usluge</v>
      </c>
      <c r="C34" s="555"/>
      <c r="D34" s="555"/>
      <c r="E34" s="555"/>
      <c r="F34" s="555"/>
      <c r="G34" s="163">
        <v>1050676.99</v>
      </c>
      <c r="H34" s="163">
        <v>2618065.42</v>
      </c>
      <c r="I34" s="163">
        <v>3354555.29</v>
      </c>
      <c r="J34" s="163">
        <v>6154997.4900000002</v>
      </c>
      <c r="K34" s="163">
        <v>5010122.6100000003</v>
      </c>
      <c r="L34" s="163">
        <v>3878369.19</v>
      </c>
      <c r="M34" s="163">
        <v>6311106.4199999999</v>
      </c>
      <c r="N34" s="163">
        <v>4216812.43</v>
      </c>
      <c r="O34" s="163">
        <v>4951424.5199999996</v>
      </c>
      <c r="P34" s="163">
        <v>4358677.68</v>
      </c>
      <c r="Q34" s="163">
        <v>4813728.76</v>
      </c>
      <c r="R34" s="163">
        <v>12963904.939999999</v>
      </c>
      <c r="S34" s="242">
        <f t="shared" si="4"/>
        <v>59682441.739999995</v>
      </c>
      <c r="T34" s="464">
        <f t="shared" si="3"/>
        <v>1.2226751426873987</v>
      </c>
      <c r="U34" s="457"/>
    </row>
    <row r="35" spans="1:21">
      <c r="A35" s="150">
        <v>415</v>
      </c>
      <c r="B35" s="505" t="str">
        <f>+VLOOKUP($A35,Master!$D$29:$G$225,4,FALSE)</f>
        <v>Rashodi za tekuće održavanje</v>
      </c>
      <c r="C35" s="506"/>
      <c r="D35" s="506"/>
      <c r="E35" s="506"/>
      <c r="F35" s="506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1713753.59</v>
      </c>
      <c r="L35" s="163">
        <v>1668289.12</v>
      </c>
      <c r="M35" s="163">
        <v>1674987.06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4628860.91</v>
      </c>
      <c r="S35" s="242">
        <f t="shared" si="4"/>
        <v>21714478.710000001</v>
      </c>
      <c r="T35" s="464">
        <f t="shared" si="3"/>
        <v>0.44485032081617609</v>
      </c>
      <c r="U35" s="457"/>
    </row>
    <row r="36" spans="1:21">
      <c r="A36" s="150">
        <v>416</v>
      </c>
      <c r="B36" s="505" t="str">
        <f>+VLOOKUP($A36,Master!$D$29:$G$225,4,FALSE)</f>
        <v>Kamate</v>
      </c>
      <c r="C36" s="506"/>
      <c r="D36" s="506"/>
      <c r="E36" s="506"/>
      <c r="F36" s="506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2.3366501173867622</v>
      </c>
      <c r="U36" s="457"/>
    </row>
    <row r="37" spans="1:21">
      <c r="A37" s="150">
        <v>417</v>
      </c>
      <c r="B37" s="505" t="str">
        <f>+VLOOKUP($A37,Master!$D$29:$G$225,4,FALSE)</f>
        <v>Renta</v>
      </c>
      <c r="C37" s="506"/>
      <c r="D37" s="506"/>
      <c r="E37" s="506"/>
      <c r="F37" s="506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630121.34</v>
      </c>
      <c r="L37" s="163">
        <v>989320.52</v>
      </c>
      <c r="M37" s="163">
        <v>768698.1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2536754.16</v>
      </c>
      <c r="S37" s="242">
        <f t="shared" si="4"/>
        <v>11382290.550000001</v>
      </c>
      <c r="T37" s="464">
        <f t="shared" si="3"/>
        <v>0.23318154077807143</v>
      </c>
      <c r="U37" s="457"/>
    </row>
    <row r="38" spans="1:21">
      <c r="A38" s="150">
        <v>418</v>
      </c>
      <c r="B38" s="505" t="str">
        <f>+VLOOKUP($A38,Master!$D$29:$G$225,4,FALSE)</f>
        <v>Subvencije</v>
      </c>
      <c r="C38" s="506"/>
      <c r="D38" s="506"/>
      <c r="E38" s="506"/>
      <c r="F38" s="506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48519958.780000001</v>
      </c>
      <c r="T38" s="464">
        <f t="shared" si="3"/>
        <v>0.9939966562186302</v>
      </c>
      <c r="U38" s="457"/>
    </row>
    <row r="39" spans="1:21" s="361" customFormat="1">
      <c r="A39" s="360">
        <v>419</v>
      </c>
      <c r="B39" s="554" t="str">
        <f>+VLOOKUP($A39,Master!$D$29:$G$225,4,FALSE)</f>
        <v>Ostali izdaci</v>
      </c>
      <c r="C39" s="555"/>
      <c r="D39" s="555"/>
      <c r="E39" s="555"/>
      <c r="F39" s="555"/>
      <c r="G39" s="163">
        <v>792964.83</v>
      </c>
      <c r="H39" s="163">
        <v>2310889.5099999998</v>
      </c>
      <c r="I39" s="163">
        <v>3429558.98</v>
      </c>
      <c r="J39" s="163">
        <v>2708059.43</v>
      </c>
      <c r="K39" s="163">
        <v>2582032.64</v>
      </c>
      <c r="L39" s="163">
        <v>2772575.41</v>
      </c>
      <c r="M39" s="163">
        <v>1903342.21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9684882.1999999993</v>
      </c>
      <c r="S39" s="242">
        <f t="shared" si="4"/>
        <v>38735848.829999998</v>
      </c>
      <c r="T39" s="464">
        <f t="shared" si="3"/>
        <v>0.79355599594370352</v>
      </c>
      <c r="U39" s="457"/>
    </row>
    <row r="40" spans="1:21">
      <c r="A40" s="150">
        <v>42</v>
      </c>
      <c r="B40" s="521" t="str">
        <f>+VLOOKUP($A40,Master!$D$29:$G$225,4,FALSE)</f>
        <v>Transferi za socijalnu zaštitu</v>
      </c>
      <c r="C40" s="522"/>
      <c r="D40" s="522"/>
      <c r="E40" s="522"/>
      <c r="F40" s="522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50150870.130000003</v>
      </c>
      <c r="S40" s="489">
        <f t="shared" si="4"/>
        <v>567405694.82999992</v>
      </c>
      <c r="T40" s="490">
        <f t="shared" si="3"/>
        <v>11.624069301825331</v>
      </c>
      <c r="U40" s="242"/>
    </row>
    <row r="41" spans="1:21">
      <c r="A41" s="150">
        <v>421</v>
      </c>
      <c r="B41" s="505" t="str">
        <f>+VLOOKUP($A41,Master!$D$29:$G$225,4,FALSE)</f>
        <v>Prava iz oblasti socijalne zaštite</v>
      </c>
      <c r="C41" s="506"/>
      <c r="D41" s="506"/>
      <c r="E41" s="506"/>
      <c r="F41" s="506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1.7399839655419664</v>
      </c>
      <c r="U41" s="457"/>
    </row>
    <row r="42" spans="1:21">
      <c r="A42" s="150">
        <v>422</v>
      </c>
      <c r="B42" s="505" t="str">
        <f>+VLOOKUP($A42,Master!$D$29:$G$225,4,FALSE)</f>
        <v>Sredstva za tehnološke viškove</v>
      </c>
      <c r="C42" s="506"/>
      <c r="D42" s="506"/>
      <c r="E42" s="506"/>
      <c r="F42" s="506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0.47297704156679571</v>
      </c>
      <c r="U42" s="457"/>
    </row>
    <row r="43" spans="1:21">
      <c r="A43" s="150">
        <v>423</v>
      </c>
      <c r="B43" s="505" t="str">
        <f>+VLOOKUP($A43,Master!$D$29:$G$225,4,FALSE)</f>
        <v>Prava iz oblasti penzijskog i invalidskog osiguranja</v>
      </c>
      <c r="C43" s="506"/>
      <c r="D43" s="506"/>
      <c r="E43" s="506"/>
      <c r="F43" s="506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8.8297752399975415</v>
      </c>
      <c r="U43" s="457"/>
    </row>
    <row r="44" spans="1:21">
      <c r="A44" s="150">
        <v>424</v>
      </c>
      <c r="B44" s="505" t="str">
        <f>+VLOOKUP($A44,Master!$D$29:$G$225,4,FALSE)</f>
        <v>Ostala prava iz oblasti zdravstvene zaštite</v>
      </c>
      <c r="C44" s="506"/>
      <c r="D44" s="506"/>
      <c r="E44" s="506"/>
      <c r="F44" s="506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0.34985216417757559</v>
      </c>
      <c r="U44" s="457"/>
    </row>
    <row r="45" spans="1:21" s="361" customFormat="1">
      <c r="A45" s="360">
        <v>425</v>
      </c>
      <c r="B45" s="556" t="str">
        <f>+VLOOKUP($A45,Master!$D$29:$G$225,4,FALSE)</f>
        <v>Ostala prava iz zdravstvenog osiguranja</v>
      </c>
      <c r="C45" s="557"/>
      <c r="D45" s="557"/>
      <c r="E45" s="557"/>
      <c r="F45" s="557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1188429.7</v>
      </c>
      <c r="S45" s="242">
        <f t="shared" si="4"/>
        <v>11299276.709999999</v>
      </c>
      <c r="T45" s="464">
        <f t="shared" si="3"/>
        <v>0.2314808905414541</v>
      </c>
      <c r="U45" s="457"/>
    </row>
    <row r="46" spans="1:21">
      <c r="A46" s="150">
        <v>43</v>
      </c>
      <c r="B46" s="519" t="str">
        <f>+VLOOKUP($A46,Master!$D$29:$G$225,4,FALSE)</f>
        <v xml:space="preserve">Transferi institucijama, pojedincima, nevladinom i javnom sektoru </v>
      </c>
      <c r="C46" s="520"/>
      <c r="D46" s="520"/>
      <c r="E46" s="520"/>
      <c r="F46" s="520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18905972.879999999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29427113.329999998</v>
      </c>
      <c r="S46" s="243">
        <f t="shared" si="4"/>
        <v>257065984.94</v>
      </c>
      <c r="T46" s="465">
        <f t="shared" si="3"/>
        <v>5.2663426738778609</v>
      </c>
      <c r="U46" s="481"/>
    </row>
    <row r="47" spans="1:21">
      <c r="A47" s="150">
        <v>44</v>
      </c>
      <c r="B47" s="519" t="str">
        <f>+VLOOKUP($A47,Master!$D$29:$G$225,4,FALSE)</f>
        <v>Kapitalni izdaci</v>
      </c>
      <c r="C47" s="520"/>
      <c r="D47" s="520"/>
      <c r="E47" s="520"/>
      <c r="F47" s="520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56838746.07</v>
      </c>
      <c r="S47" s="243">
        <f t="shared" si="4"/>
        <v>204499371.07999998</v>
      </c>
      <c r="T47" s="465">
        <f t="shared" si="3"/>
        <v>4.1894448421527049</v>
      </c>
      <c r="U47" s="481"/>
    </row>
    <row r="48" spans="1:21">
      <c r="A48" s="150">
        <v>451</v>
      </c>
      <c r="B48" s="558" t="str">
        <f>+VLOOKUP($A48,Master!$D$29:$G$225,4,FALSE)</f>
        <v>Pozajmice i krediti</v>
      </c>
      <c r="C48" s="559"/>
      <c r="D48" s="559"/>
      <c r="E48" s="559"/>
      <c r="F48" s="559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2.6950259152275009E-2</v>
      </c>
      <c r="U48" s="481"/>
    </row>
    <row r="49" spans="1:21" s="361" customFormat="1">
      <c r="A49" s="360">
        <v>47</v>
      </c>
      <c r="B49" s="563" t="str">
        <f>+VLOOKUP($A49,Master!$D$29:$G$225,4,FALSE)</f>
        <v>Rezerve</v>
      </c>
      <c r="C49" s="564"/>
      <c r="D49" s="564"/>
      <c r="E49" s="564"/>
      <c r="F49" s="564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1.4592458037817795</v>
      </c>
      <c r="U49" s="481"/>
    </row>
    <row r="50" spans="1:21" ht="13.5" thickBot="1">
      <c r="A50" s="150">
        <v>462</v>
      </c>
      <c r="B50" s="525" t="str">
        <f>+VLOOKUP($A50,Master!$D$29:$G$225,4,FALSE)</f>
        <v>Otplata garancija</v>
      </c>
      <c r="C50" s="526"/>
      <c r="D50" s="526"/>
      <c r="E50" s="526"/>
      <c r="F50" s="526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0.15797537705119538</v>
      </c>
      <c r="U50" s="481"/>
    </row>
    <row r="51" spans="1:21" ht="13.5" thickBot="1">
      <c r="A51" s="144">
        <v>4630</v>
      </c>
      <c r="B51" s="565" t="str">
        <f>+VLOOKUP($A51,Master!$D$29:$G$225,4,TRUE)</f>
        <v>Otplata obaveza iz prethodnog perioda</v>
      </c>
      <c r="C51" s="566"/>
      <c r="D51" s="566"/>
      <c r="E51" s="566"/>
      <c r="F51" s="566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2879299.06</v>
      </c>
      <c r="S51" s="425">
        <f>+SUM(G51:R51)</f>
        <v>26185594.789999999</v>
      </c>
      <c r="T51" s="468">
        <f t="shared" si="3"/>
        <v>0.53644715116874597</v>
      </c>
      <c r="U51" s="481"/>
    </row>
    <row r="52" spans="1:21" ht="13.5" thickBot="1">
      <c r="A52" s="70">
        <v>1005</v>
      </c>
      <c r="B52" s="567" t="str">
        <f>+VLOOKUP($A52,Master!$D$29:$G$227,4,FALSE)</f>
        <v>Neto povećanje obaveza</v>
      </c>
      <c r="C52" s="568"/>
      <c r="D52" s="568"/>
      <c r="E52" s="568"/>
      <c r="F52" s="568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2"/>
    </row>
    <row r="53" spans="1:21" ht="13.5" thickBot="1">
      <c r="A53" s="144">
        <v>1000</v>
      </c>
      <c r="B53" s="527" t="str">
        <f>+VLOOKUP($A53,Master!$D$29:$G$225,4,FALSE)</f>
        <v>Suficit / deficit</v>
      </c>
      <c r="C53" s="528"/>
      <c r="D53" s="528"/>
      <c r="E53" s="528"/>
      <c r="F53" s="528"/>
      <c r="G53" s="151">
        <f t="shared" ref="G53:R53" si="9">+G10-G29</f>
        <v>-38751394.929999992</v>
      </c>
      <c r="H53" s="151">
        <f t="shared" si="9"/>
        <v>-54221110.310000017</v>
      </c>
      <c r="I53" s="151">
        <f t="shared" si="9"/>
        <v>-10252757.430000007</v>
      </c>
      <c r="J53" s="151">
        <f t="shared" si="9"/>
        <v>-40135059.879999995</v>
      </c>
      <c r="K53" s="151">
        <f t="shared" si="9"/>
        <v>-19547032.50999999</v>
      </c>
      <c r="L53" s="151">
        <f t="shared" si="9"/>
        <v>3011570.4100000262</v>
      </c>
      <c r="M53" s="151">
        <f t="shared" si="9"/>
        <v>40536130.599999994</v>
      </c>
      <c r="N53" s="151">
        <f t="shared" si="9"/>
        <v>60862953.929999992</v>
      </c>
      <c r="O53" s="151">
        <f t="shared" si="9"/>
        <v>-6557713.400000006</v>
      </c>
      <c r="P53" s="151">
        <f t="shared" si="9"/>
        <v>2782962.4500000179</v>
      </c>
      <c r="Q53" s="151">
        <f t="shared" si="9"/>
        <v>-13546673.409999967</v>
      </c>
      <c r="R53" s="151">
        <f t="shared" si="9"/>
        <v>-25761875.950000018</v>
      </c>
      <c r="S53" s="248">
        <f t="shared" si="4"/>
        <v>-101580000.42999996</v>
      </c>
      <c r="T53" s="470">
        <f t="shared" si="3"/>
        <v>-2.081003020301968</v>
      </c>
    </row>
    <row r="54" spans="1:21" ht="13.5" thickBot="1">
      <c r="A54" s="144">
        <v>1001</v>
      </c>
      <c r="B54" s="529" t="str">
        <f>+VLOOKUP($A54,Master!$D$29:$G$225,4,FALSE)</f>
        <v>Primarni suficit/deficit</v>
      </c>
      <c r="C54" s="530"/>
      <c r="D54" s="530"/>
      <c r="E54" s="530"/>
      <c r="F54" s="530"/>
      <c r="G54" s="205">
        <f t="shared" ref="G54:R54" si="10">+G53+G36</f>
        <v>-31173909.859999992</v>
      </c>
      <c r="H54" s="205">
        <f t="shared" si="10"/>
        <v>-52256919.930000015</v>
      </c>
      <c r="I54" s="205">
        <f t="shared" si="10"/>
        <v>4535225.1399999931</v>
      </c>
      <c r="J54" s="205">
        <f t="shared" si="10"/>
        <v>-17366547.919999994</v>
      </c>
      <c r="K54" s="205">
        <f t="shared" si="10"/>
        <v>-12846731.669999991</v>
      </c>
      <c r="L54" s="205">
        <f t="shared" si="10"/>
        <v>8301624.8400000259</v>
      </c>
      <c r="M54" s="205">
        <f t="shared" si="10"/>
        <v>45072901.819999993</v>
      </c>
      <c r="N54" s="205">
        <f t="shared" si="10"/>
        <v>62519427.749999993</v>
      </c>
      <c r="O54" s="205">
        <f t="shared" si="10"/>
        <v>7693334.4199999943</v>
      </c>
      <c r="P54" s="205">
        <f t="shared" si="10"/>
        <v>4040877.6000000178</v>
      </c>
      <c r="Q54" s="205">
        <f t="shared" si="10"/>
        <v>-6974100.9099999666</v>
      </c>
      <c r="R54" s="205">
        <f t="shared" si="10"/>
        <v>933720.46999998391</v>
      </c>
      <c r="S54" s="248">
        <f t="shared" si="4"/>
        <v>12478901.750000067</v>
      </c>
      <c r="T54" s="470">
        <f t="shared" si="3"/>
        <v>0.25564709708479438</v>
      </c>
    </row>
    <row r="55" spans="1:21">
      <c r="A55" s="144">
        <v>46</v>
      </c>
      <c r="B55" s="551" t="str">
        <f>+VLOOKUP($A55,Master!$D$29:$G$225,4,FALSE)</f>
        <v>Otplata dugova</v>
      </c>
      <c r="C55" s="552"/>
      <c r="D55" s="552"/>
      <c r="E55" s="552"/>
      <c r="F55" s="552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8.9647723301169773</v>
      </c>
    </row>
    <row r="56" spans="1:21">
      <c r="A56" s="144">
        <v>4611</v>
      </c>
      <c r="B56" s="547" t="str">
        <f>+VLOOKUP($A56,Master!$D$29:$G$225,4,FALSE)</f>
        <v>Otplata hartija od vrijednosti i kredita rezidentima</v>
      </c>
      <c r="C56" s="548"/>
      <c r="D56" s="548"/>
      <c r="E56" s="548"/>
      <c r="F56" s="548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1.7476717018007497</v>
      </c>
    </row>
    <row r="57" spans="1:21" ht="13.5" thickBot="1">
      <c r="A57" s="144">
        <v>4612</v>
      </c>
      <c r="B57" s="523" t="str">
        <f>+VLOOKUP($A57,Master!$D$29:$G$225,4,FALSE)</f>
        <v>Otplata hartija od vrijednosti i kredita nerezidentima</v>
      </c>
      <c r="C57" s="524"/>
      <c r="D57" s="524"/>
      <c r="E57" s="524"/>
      <c r="F57" s="524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7.2171006283162269</v>
      </c>
    </row>
    <row r="58" spans="1:21" ht="13.5" thickBot="1">
      <c r="A58" s="144">
        <v>4418</v>
      </c>
      <c r="B58" s="515" t="str">
        <f>+VLOOKUP($A58,Master!$D$29:$G$225,4,FALSE)</f>
        <v>Izdaci za kupovinu hartija od vrijednosti</v>
      </c>
      <c r="C58" s="516"/>
      <c r="D58" s="516"/>
      <c r="E58" s="516"/>
      <c r="F58" s="516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1.0373137893593919E-2</v>
      </c>
    </row>
    <row r="59" spans="1:21" ht="13.5" thickBot="1">
      <c r="A59" s="144">
        <v>1002</v>
      </c>
      <c r="B59" s="549" t="str">
        <f>+VLOOKUP($A59,Master!$D$29:$G$225,4,FALSE)</f>
        <v>Nedostajuća sredstva</v>
      </c>
      <c r="C59" s="550"/>
      <c r="D59" s="550"/>
      <c r="E59" s="550"/>
      <c r="F59" s="550"/>
      <c r="G59" s="217">
        <f>+G53-G55-G58</f>
        <v>-62082163.749999993</v>
      </c>
      <c r="H59" s="217">
        <f t="shared" ref="H59:R59" si="12">+H53-H55-H58</f>
        <v>-78476131.660000026</v>
      </c>
      <c r="I59" s="217">
        <f t="shared" si="12"/>
        <v>-249036528.67000002</v>
      </c>
      <c r="J59" s="217">
        <f t="shared" si="12"/>
        <v>-72988523.139999986</v>
      </c>
      <c r="K59" s="217">
        <f t="shared" si="12"/>
        <v>-35829860.429999992</v>
      </c>
      <c r="L59" s="217">
        <f t="shared" si="12"/>
        <v>-12041313.189999975</v>
      </c>
      <c r="M59" s="217">
        <f t="shared" si="12"/>
        <v>15177455.449999992</v>
      </c>
      <c r="N59" s="217">
        <f t="shared" si="12"/>
        <v>47886902.969999991</v>
      </c>
      <c r="O59" s="217">
        <f t="shared" si="12"/>
        <v>-17893899.890000004</v>
      </c>
      <c r="P59" s="217">
        <f t="shared" si="12"/>
        <v>-5282104.3099999819</v>
      </c>
      <c r="Q59" s="217">
        <f t="shared" si="12"/>
        <v>-31294622.149999969</v>
      </c>
      <c r="R59" s="217">
        <f t="shared" si="12"/>
        <v>-37822987.390000015</v>
      </c>
      <c r="S59" s="251">
        <f t="shared" si="4"/>
        <v>-539683776.16000009</v>
      </c>
      <c r="T59" s="474">
        <f t="shared" si="3"/>
        <v>-11.056148488312541</v>
      </c>
    </row>
    <row r="60" spans="1:21" ht="13.5" thickBot="1">
      <c r="A60" s="144">
        <v>1003</v>
      </c>
      <c r="B60" s="513" t="str">
        <f>+VLOOKUP($A60,Master!$D$29:$G$225,4,FALSE)</f>
        <v>Finansiranje</v>
      </c>
      <c r="C60" s="514"/>
      <c r="D60" s="514"/>
      <c r="E60" s="514"/>
      <c r="F60" s="514"/>
      <c r="G60" s="151">
        <f>+SUM(G61:G64)</f>
        <v>62082163.749999993</v>
      </c>
      <c r="H60" s="151">
        <f t="shared" ref="H60:R60" si="13">+SUM(H61:H64)</f>
        <v>78476131.660000026</v>
      </c>
      <c r="I60" s="151">
        <f t="shared" si="13"/>
        <v>249036528.67000002</v>
      </c>
      <c r="J60" s="151">
        <f t="shared" si="13"/>
        <v>72988523.139999986</v>
      </c>
      <c r="K60" s="151">
        <f t="shared" si="13"/>
        <v>35829860.429999992</v>
      </c>
      <c r="L60" s="151">
        <f t="shared" si="13"/>
        <v>12041313.189999975</v>
      </c>
      <c r="M60" s="151">
        <f t="shared" si="13"/>
        <v>-15177455.449999992</v>
      </c>
      <c r="N60" s="151">
        <f t="shared" si="13"/>
        <v>-47886902.969999991</v>
      </c>
      <c r="O60" s="151">
        <f t="shared" si="13"/>
        <v>17893899.890000004</v>
      </c>
      <c r="P60" s="151">
        <f t="shared" si="13"/>
        <v>5282104.3099999819</v>
      </c>
      <c r="Q60" s="151">
        <f t="shared" si="13"/>
        <v>31294622.149999969</v>
      </c>
      <c r="R60" s="151">
        <f t="shared" si="13"/>
        <v>37822987.390000015</v>
      </c>
      <c r="S60" s="252">
        <f t="shared" si="4"/>
        <v>539683776.16000009</v>
      </c>
      <c r="T60" s="475">
        <f t="shared" si="3"/>
        <v>11.056148488312541</v>
      </c>
    </row>
    <row r="61" spans="1:21">
      <c r="A61" s="144">
        <v>7511</v>
      </c>
      <c r="B61" s="547" t="str">
        <f>+VLOOKUP($A61,Master!$D$29:$G$225,4,FALSE)</f>
        <v>Pozajmice i krediti od domaćih izvora</v>
      </c>
      <c r="C61" s="548"/>
      <c r="D61" s="548"/>
      <c r="E61" s="548"/>
      <c r="F61" s="548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8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</row>
    <row r="62" spans="1:21">
      <c r="A62" s="144">
        <v>7512</v>
      </c>
      <c r="B62" s="523" t="str">
        <f>+VLOOKUP($A62,Master!$D$29:$G$225,4,FALSE)</f>
        <v>Pozajmice i krediti od inostranih izvora</v>
      </c>
      <c r="C62" s="524"/>
      <c r="D62" s="524"/>
      <c r="E62" s="524"/>
      <c r="F62" s="524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8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1658229.03</v>
      </c>
      <c r="S62" s="250">
        <f t="shared" si="4"/>
        <v>106040276.08000001</v>
      </c>
      <c r="T62" s="472">
        <f t="shared" si="3"/>
        <v>2.1723777698563911</v>
      </c>
    </row>
    <row r="63" spans="1:21">
      <c r="A63" s="144">
        <v>72</v>
      </c>
      <c r="B63" s="523" t="str">
        <f>+VLOOKUP($A63,Master!$D$29:$G$225,4,FALSE)</f>
        <v>Primici od prodaje imovine</v>
      </c>
      <c r="C63" s="524"/>
      <c r="D63" s="524"/>
      <c r="E63" s="524"/>
      <c r="F63" s="524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8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9.1237544096859455E-2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74277223.12000002</v>
      </c>
      <c r="I64" s="225">
        <f t="shared" si="14"/>
        <v>247128257.22000003</v>
      </c>
      <c r="J64" s="225">
        <f t="shared" si="14"/>
        <v>57738426.759999983</v>
      </c>
      <c r="K64" s="225">
        <f t="shared" si="14"/>
        <v>32479569.369999994</v>
      </c>
      <c r="L64" s="225">
        <f t="shared" si="14"/>
        <v>-22521260.620000027</v>
      </c>
      <c r="M64" s="225">
        <f t="shared" si="14"/>
        <v>-20738197.719999991</v>
      </c>
      <c r="N64" s="225">
        <f t="shared" si="14"/>
        <v>-53863733.889999993</v>
      </c>
      <c r="O64" s="225">
        <f t="shared" si="14"/>
        <v>10245397.440000005</v>
      </c>
      <c r="P64" s="225">
        <f t="shared" si="14"/>
        <v>-2451308.9800000181</v>
      </c>
      <c r="Q64" s="225">
        <f t="shared" si="14"/>
        <v>19565681.329999968</v>
      </c>
      <c r="R64" s="225">
        <f t="shared" si="14"/>
        <v>33358532.620000016</v>
      </c>
      <c r="S64" s="253">
        <f>+SUM(G64:R64)</f>
        <v>429189921.84000003</v>
      </c>
      <c r="T64" s="476">
        <f t="shared" si="3"/>
        <v>8.7925331743592903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75" t="str">
        <f>+Master!G252</f>
        <v>Plan ostvarenja budžeta</v>
      </c>
      <c r="C81" s="576"/>
      <c r="D81" s="576"/>
      <c r="E81" s="576"/>
      <c r="F81" s="576"/>
      <c r="G81" s="560">
        <v>2021</v>
      </c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2"/>
      <c r="S81" s="107" t="str">
        <f>+S7</f>
        <v>BDP</v>
      </c>
      <c r="T81" s="108">
        <v>4636600000</v>
      </c>
    </row>
    <row r="82" spans="1:21" ht="15.75" customHeight="1">
      <c r="B82" s="577"/>
      <c r="C82" s="578"/>
      <c r="D82" s="578"/>
      <c r="E82" s="578"/>
      <c r="F82" s="579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60" t="str">
        <f>+Master!G246</f>
        <v>Jan - Dec</v>
      </c>
      <c r="T82" s="562">
        <f>+T8</f>
        <v>0</v>
      </c>
    </row>
    <row r="83" spans="1:21" ht="13.5" thickBot="1">
      <c r="B83" s="580"/>
      <c r="C83" s="581"/>
      <c r="D83" s="581"/>
      <c r="E83" s="581"/>
      <c r="F83" s="58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69" t="str">
        <f>+VLOOKUP(LEFT($A84,LEN(A84)-1)*1,Master!$D$29:$G$225,4,FALSE)</f>
        <v>Prihodi budžeta</v>
      </c>
      <c r="C84" s="570"/>
      <c r="D84" s="570"/>
      <c r="E84" s="570"/>
      <c r="F84" s="570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71" t="str">
        <f>+VLOOKUP(LEFT($A85,LEN(A85)-1)*1,Master!$D$29:$G$225,4,FALSE)</f>
        <v>Porezi</v>
      </c>
      <c r="C85" s="572"/>
      <c r="D85" s="572"/>
      <c r="E85" s="572"/>
      <c r="F85" s="572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3" t="str">
        <f>+VLOOKUP(LEFT($A86,LEN(A86)-1)*1,Master!$D$29:$G$228,4,FALSE)</f>
        <v>Porez na dohodak fizičkih lica</v>
      </c>
      <c r="C86" s="574"/>
      <c r="D86" s="574"/>
      <c r="E86" s="574"/>
      <c r="F86" s="574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73" t="str">
        <f>+VLOOKUP(LEFT($A87,LEN(A87)-1)*1,Master!$D$29:$G$228,4,FALSE)</f>
        <v>Porez na dobit pravnih lica</v>
      </c>
      <c r="C87" s="574"/>
      <c r="D87" s="574"/>
      <c r="E87" s="574"/>
      <c r="F87" s="574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73" t="str">
        <f>+VLOOKUP(LEFT($A88,LEN(A88)-1)*1,Master!$D$29:$G$228,4,FALSE)</f>
        <v>Porez na promet nepokretnosti</v>
      </c>
      <c r="C88" s="574"/>
      <c r="D88" s="574"/>
      <c r="E88" s="574"/>
      <c r="F88" s="574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73" t="str">
        <f>+VLOOKUP(LEFT($A89,LEN(A89)-1)*1,Master!$D$29:$G$228,4,FALSE)</f>
        <v>Porez na dodatu vrijednost</v>
      </c>
      <c r="C89" s="574"/>
      <c r="D89" s="574"/>
      <c r="E89" s="574"/>
      <c r="F89" s="574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73" t="str">
        <f>+VLOOKUP(LEFT($A90,LEN(A90)-1)*1,Master!$D$29:$G$228,4,FALSE)</f>
        <v>Akcize</v>
      </c>
      <c r="C90" s="574"/>
      <c r="D90" s="574"/>
      <c r="E90" s="574"/>
      <c r="F90" s="574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73" t="str">
        <f>+VLOOKUP(LEFT($A91,LEN(A91)-1)*1,Master!$D$29:$G$228,4,FALSE)</f>
        <v>Porez na međunarodnu trgovinu i transakcije</v>
      </c>
      <c r="C91" s="574"/>
      <c r="D91" s="574"/>
      <c r="E91" s="574"/>
      <c r="F91" s="574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73" t="str">
        <f>+VLOOKUP(LEFT($A92,LEN(A92)-1)*1,Master!$D$29:$G$228,4,FALSE)</f>
        <v>Ostali državni porezi</v>
      </c>
      <c r="C92" s="574"/>
      <c r="D92" s="574"/>
      <c r="E92" s="574"/>
      <c r="F92" s="574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585" t="str">
        <f>+VLOOKUP(LEFT($A93,LEN(A93)-1)*1,Master!$D$29:$G$228,4,FALSE)</f>
        <v>Doprinosi</v>
      </c>
      <c r="C93" s="586"/>
      <c r="D93" s="586"/>
      <c r="E93" s="586"/>
      <c r="F93" s="586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73" t="str">
        <f>+VLOOKUP(LEFT($A94,LEN(A94)-1)*1,Master!$D$29:$G$228,4,FALSE)</f>
        <v>Doprinosi za penzijsko i invalidsko osiguranje</v>
      </c>
      <c r="C94" s="574"/>
      <c r="D94" s="574"/>
      <c r="E94" s="574"/>
      <c r="F94" s="574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73" t="str">
        <f>+VLOOKUP(LEFT($A95,LEN(A95)-1)*1,Master!$D$29:$G$228,4,FALSE)</f>
        <v>Doprinosi za zdravstveno osiguranje</v>
      </c>
      <c r="C95" s="574"/>
      <c r="D95" s="574"/>
      <c r="E95" s="574"/>
      <c r="F95" s="574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73" t="str">
        <f>+VLOOKUP(LEFT($A96,LEN(A96)-1)*1,Master!$D$29:$G$228,4,FALSE)</f>
        <v>Doprinosi za osiguranje od nezaposlenosti</v>
      </c>
      <c r="C96" s="574"/>
      <c r="D96" s="574"/>
      <c r="E96" s="574"/>
      <c r="F96" s="574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73" t="str">
        <f>+VLOOKUP(LEFT($A97,LEN(A97)-1)*1,Master!$D$29:$G$228,4,FALSE)</f>
        <v>Ostali doprinosi</v>
      </c>
      <c r="C97" s="574"/>
      <c r="D97" s="574"/>
      <c r="E97" s="574"/>
      <c r="F97" s="574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83" t="str">
        <f>+VLOOKUP(LEFT($A98,LEN(A98)-1)*1,Master!$D$29:$G$228,4,FALSE)</f>
        <v>Takse</v>
      </c>
      <c r="C98" s="584"/>
      <c r="D98" s="584"/>
      <c r="E98" s="584"/>
      <c r="F98" s="584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83" t="str">
        <f>+VLOOKUP(LEFT($A99,LEN(A99)-1)*1,Master!$D$29:$G$228,4,FALSE)</f>
        <v>Naknade</v>
      </c>
      <c r="C99" s="584"/>
      <c r="D99" s="584"/>
      <c r="E99" s="584"/>
      <c r="F99" s="584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83" t="str">
        <f>+VLOOKUP(LEFT($A100,LEN(A100)-1)*1,Master!$D$29:$G$228,4,FALSE)</f>
        <v>Ostali prihodi</v>
      </c>
      <c r="C100" s="584"/>
      <c r="D100" s="584"/>
      <c r="E100" s="584"/>
      <c r="F100" s="584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83" t="str">
        <f>+VLOOKUP(LEFT($A101,LEN(A101)-1)*1,Master!$D$29:$G$228,4,FALSE)</f>
        <v>Primici od otplate kredita i sredstva prenesena iz prethodne godine</v>
      </c>
      <c r="C101" s="584"/>
      <c r="D101" s="584"/>
      <c r="E101" s="584"/>
      <c r="F101" s="584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87" t="str">
        <f>+VLOOKUP(LEFT($A102,LEN(A102)-1)*1,Master!$D$29:$G$228,4,FALSE)</f>
        <v>Donacije i transferi</v>
      </c>
      <c r="C102" s="588"/>
      <c r="D102" s="588"/>
      <c r="E102" s="588"/>
      <c r="F102" s="588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89" t="str">
        <f>+VLOOKUP(LEFT($A103,LEN(A103)-1)*1,Master!$D$29:$G$228,4,FALSE)</f>
        <v>Izdaci budžeta</v>
      </c>
      <c r="C103" s="590"/>
      <c r="D103" s="590"/>
      <c r="E103" s="590"/>
      <c r="F103" s="590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91" t="str">
        <f>+VLOOKUP(LEFT($A104,LEN(A104)-1)*1,Master!$D$29:$G$228,4,FALSE)</f>
        <v>Tekući izdaci</v>
      </c>
      <c r="C104" s="592"/>
      <c r="D104" s="592"/>
      <c r="E104" s="592"/>
      <c r="F104" s="592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3" t="str">
        <f>+VLOOKUP(LEFT($A105,LEN(A105)-1)*1,Master!$D$29:$G$228,4,FALSE)</f>
        <v>Bruto zarade i doprinosi na teret poslodavca</v>
      </c>
      <c r="C105" s="574"/>
      <c r="D105" s="574"/>
      <c r="E105" s="574"/>
      <c r="F105" s="574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73" t="str">
        <f>+VLOOKUP(LEFT($A106,LEN(A106)-1)*1,Master!$D$29:$G$228,4,FALSE)</f>
        <v>Ostala lična primanja</v>
      </c>
      <c r="C106" s="574"/>
      <c r="D106" s="574"/>
      <c r="E106" s="574"/>
      <c r="F106" s="574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73" t="str">
        <f>+VLOOKUP(LEFT($A107,LEN(A107)-1)*1,Master!$D$29:$G$228,4,FALSE)</f>
        <v>Rashodi za materijal</v>
      </c>
      <c r="C107" s="574"/>
      <c r="D107" s="574"/>
      <c r="E107" s="574"/>
      <c r="F107" s="574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73" t="str">
        <f>+VLOOKUP(LEFT($A108,LEN(A108)-1)*1,Master!$D$29:$G$228,4,FALSE)</f>
        <v>Rashodi za usluge</v>
      </c>
      <c r="C108" s="574"/>
      <c r="D108" s="574"/>
      <c r="E108" s="574"/>
      <c r="F108" s="574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73" t="str">
        <f>+VLOOKUP(LEFT($A109,LEN(A109)-1)*1,Master!$D$29:$G$228,4,FALSE)</f>
        <v>Rashodi za tekuće održavanje</v>
      </c>
      <c r="C109" s="574"/>
      <c r="D109" s="574"/>
      <c r="E109" s="574"/>
      <c r="F109" s="574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73" t="str">
        <f>+VLOOKUP(LEFT($A110,LEN(A110)-1)*1,Master!$D$29:$G$228,4,FALSE)</f>
        <v>Kamate</v>
      </c>
      <c r="C110" s="574"/>
      <c r="D110" s="574"/>
      <c r="E110" s="574"/>
      <c r="F110" s="574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73" t="str">
        <f>+VLOOKUP(LEFT($A111,LEN(A111)-1)*1,Master!$D$29:$G$228,4,FALSE)</f>
        <v>Renta</v>
      </c>
      <c r="C111" s="574"/>
      <c r="D111" s="574"/>
      <c r="E111" s="574"/>
      <c r="F111" s="574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73" t="str">
        <f>+VLOOKUP(LEFT($A112,LEN(A112)-1)*1,Master!$D$29:$G$228,4,FALSE)</f>
        <v>Subvencije</v>
      </c>
      <c r="C112" s="574"/>
      <c r="D112" s="574"/>
      <c r="E112" s="574"/>
      <c r="F112" s="574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73" t="str">
        <f>+VLOOKUP(LEFT($A113,LEN(A113)-1)*1,Master!$D$29:$G$228,4,FALSE)</f>
        <v>Ostali izdaci</v>
      </c>
      <c r="C113" s="574"/>
      <c r="D113" s="574"/>
      <c r="E113" s="574"/>
      <c r="F113" s="574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597" t="str">
        <f>+VLOOKUP(LEFT($A114,LEN(A114)-1)*1,Master!$D$29:$G$228,4,FALSE)</f>
        <v>Transferi za socijalnu zaštitu</v>
      </c>
      <c r="C114" s="598"/>
      <c r="D114" s="598"/>
      <c r="E114" s="598"/>
      <c r="F114" s="598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73" t="str">
        <f>+VLOOKUP(LEFT($A115,LEN(A115)-1)*1,Master!$D$29:$G$228,4,FALSE)</f>
        <v>Prava iz oblasti socijalne zaštite</v>
      </c>
      <c r="C115" s="574"/>
      <c r="D115" s="574"/>
      <c r="E115" s="574"/>
      <c r="F115" s="574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3" t="str">
        <f>+VLOOKUP(LEFT($A116,LEN(A116)-1)*1,Master!$D$29:$G$228,4,FALSE)</f>
        <v>Sredstva za tehnološke viškove</v>
      </c>
      <c r="C116" s="574"/>
      <c r="D116" s="574"/>
      <c r="E116" s="574"/>
      <c r="F116" s="574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73" t="str">
        <f>+VLOOKUP(LEFT($A117,LEN(A117)-1)*1,Master!$D$29:$G$228,4,FALSE)</f>
        <v>Prava iz oblasti penzijskog i invalidskog osiguranja</v>
      </c>
      <c r="C117" s="574"/>
      <c r="D117" s="574"/>
      <c r="E117" s="574"/>
      <c r="F117" s="574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73" t="str">
        <f>+VLOOKUP(LEFT($A118,LEN(A118)-1)*1,Master!$D$29:$G$228,4,FALSE)</f>
        <v>Ostala prava iz oblasti zdravstvene zaštite</v>
      </c>
      <c r="C118" s="574"/>
      <c r="D118" s="574"/>
      <c r="E118" s="574"/>
      <c r="F118" s="574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73" t="str">
        <f>+VLOOKUP(LEFT($A119,LEN(A119)-1)*1,Master!$D$29:$G$228,4,FALSE)</f>
        <v>Ostala prava iz zdravstvenog osiguranja</v>
      </c>
      <c r="C119" s="574"/>
      <c r="D119" s="574"/>
      <c r="E119" s="574"/>
      <c r="F119" s="574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593" t="str">
        <f>+VLOOKUP(LEFT($A120,LEN(A120)-1)*1,Master!$D$29:$G$228,4,FALSE)</f>
        <v xml:space="preserve">Transferi institucijama, pojedincima, nevladinom i javnom sektoru </v>
      </c>
      <c r="C120" s="594"/>
      <c r="D120" s="594"/>
      <c r="E120" s="594"/>
      <c r="F120" s="594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593" t="str">
        <f>+VLOOKUP(LEFT($A121,LEN(A121)-1)*1,Master!$D$29:$G$228,4,FALSE)</f>
        <v>Kapitalni izdaci</v>
      </c>
      <c r="C121" s="594"/>
      <c r="D121" s="594"/>
      <c r="E121" s="594"/>
      <c r="F121" s="594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595" t="str">
        <f>+VLOOKUP(LEFT($A122,LEN(A122)-1)*1,Master!$D$29:$G$228,4,FALSE)</f>
        <v>Pozajmice i krediti</v>
      </c>
      <c r="C122" s="596"/>
      <c r="D122" s="596"/>
      <c r="E122" s="596"/>
      <c r="F122" s="596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595" t="str">
        <f>+VLOOKUP(LEFT($A123,LEN(A123)-1)*1,Master!$D$29:$G$228,4,FALSE)</f>
        <v>Rezerve</v>
      </c>
      <c r="C123" s="596"/>
      <c r="D123" s="596"/>
      <c r="E123" s="596"/>
      <c r="F123" s="596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595" t="str">
        <f>+VLOOKUP(LEFT($A124,LEN(A124)-1)*1,Master!$D$29:$G$228,4,FALSE)</f>
        <v>Otplata garancija</v>
      </c>
      <c r="C124" s="596"/>
      <c r="D124" s="596"/>
      <c r="E124" s="596"/>
      <c r="F124" s="596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595" t="str">
        <f>+VLOOKUP(LEFT($A125,LEN(A125)-1)*1,Master!$D$29:$G$228,4,FALSE)</f>
        <v>Otplata obaveza iz prethodnog perioda</v>
      </c>
      <c r="C125" s="596"/>
      <c r="D125" s="596"/>
      <c r="E125" s="596"/>
      <c r="F125" s="596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95" t="str">
        <f>+VLOOKUP(LEFT($A126,LEN(A126)-1)*1,Master!$D$29:$G$228,4,FALSE)</f>
        <v>Neto povećanje obaveza</v>
      </c>
      <c r="C126" s="596"/>
      <c r="D126" s="596"/>
      <c r="E126" s="596"/>
      <c r="F126" s="596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603" t="str">
        <f>+VLOOKUP(LEFT($A127,LEN(A127)-1)*1,Master!$D$29:$G$225,4,FALSE)</f>
        <v>Suficit / deficit</v>
      </c>
      <c r="C127" s="604"/>
      <c r="D127" s="604"/>
      <c r="E127" s="604"/>
      <c r="F127" s="604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605" t="str">
        <f>+VLOOKUP(LEFT($A128,LEN(A128)-1)*1,Master!$D$29:$G$225,4,FALSE)</f>
        <v>Primarni suficit/deficit</v>
      </c>
      <c r="C128" s="606"/>
      <c r="D128" s="606"/>
      <c r="E128" s="606"/>
      <c r="F128" s="606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597" t="str">
        <f>+VLOOKUP(LEFT($A129,LEN(A129)-1)*1,Master!$D$29:$G$225,4,FALSE)</f>
        <v>Otplata dugova</v>
      </c>
      <c r="C129" s="598"/>
      <c r="D129" s="598"/>
      <c r="E129" s="598"/>
      <c r="F129" s="598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6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601" t="str">
        <f>+VLOOKUP(LEFT($A130,LEN(A130)-1)*1,Master!$D$29:$G$225,4,FALSE)</f>
        <v>Otplata hartija od vrijednosti i kredita rezidentima</v>
      </c>
      <c r="C130" s="602"/>
      <c r="D130" s="602"/>
      <c r="E130" s="602"/>
      <c r="F130" s="602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5">
        <v>294018.01</v>
      </c>
      <c r="N130" s="485">
        <v>1750047.75</v>
      </c>
      <c r="O130" s="485">
        <v>2421267.87</v>
      </c>
      <c r="P130" s="485">
        <v>3875503.62</v>
      </c>
      <c r="Q130" s="485">
        <v>3741551.76</v>
      </c>
      <c r="R130" s="485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595" t="str">
        <f>+VLOOKUP(LEFT($A131,LEN(A131)-1)*1,Master!$D$29:$G$225,4,FALSE)</f>
        <v>Otplata hartija od vrijednosti i kredita nerezidentima</v>
      </c>
      <c r="C131" s="596"/>
      <c r="D131" s="596"/>
      <c r="E131" s="596"/>
      <c r="F131" s="596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5">
        <v>25464619.924741425</v>
      </c>
      <c r="N131" s="485">
        <v>3126864.3779565003</v>
      </c>
      <c r="O131" s="485">
        <v>11497770.422649164</v>
      </c>
      <c r="P131" s="485">
        <v>3625120.5096505</v>
      </c>
      <c r="Q131" s="485">
        <v>4121213.775667767</v>
      </c>
      <c r="R131" s="485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89" t="str">
        <f>+VLOOKUP(LEFT($A132,LEN(A132)-1)*1,Master!$D$29:$G$225,4,FALSE)</f>
        <v>Izdaci za kupovinu hartija od vrijednosti</v>
      </c>
      <c r="C132" s="590"/>
      <c r="D132" s="590"/>
      <c r="E132" s="590"/>
      <c r="F132" s="590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599" t="str">
        <f>+VLOOKUP(LEFT($A133,LEN(A133)-1)*1,Master!$D$29:$G$225,4,FALSE)</f>
        <v>Nedostajuća sredstva</v>
      </c>
      <c r="C133" s="600"/>
      <c r="D133" s="600"/>
      <c r="E133" s="600"/>
      <c r="F133" s="600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89" t="str">
        <f>+VLOOKUP(LEFT($A134,LEN(A134)-1)*1,Master!$D$29:$G$225,4,FALSE)</f>
        <v>Finansiranje</v>
      </c>
      <c r="C134" s="590"/>
      <c r="D134" s="590"/>
      <c r="E134" s="590"/>
      <c r="F134" s="590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601" t="str">
        <f>+VLOOKUP(LEFT($A135,LEN(A135)-1)*1,Master!$D$29:$G$225,4,FALSE)</f>
        <v>Pozajmice i krediti od domaćih izvora</v>
      </c>
      <c r="C135" s="602"/>
      <c r="D135" s="602"/>
      <c r="E135" s="602"/>
      <c r="F135" s="602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595" t="str">
        <f>+VLOOKUP(LEFT($A136,LEN(A136)-1)*1,Master!$D$29:$G$225,4,FALSE)</f>
        <v>Pozajmice i krediti od inostranih izvora</v>
      </c>
      <c r="C136" s="596"/>
      <c r="D136" s="596"/>
      <c r="E136" s="596"/>
      <c r="F136" s="596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595" t="str">
        <f>+VLOOKUP(LEFT($A137,LEN(A137)-1)*1,Master!$D$29:$G$225,4,FALSE)</f>
        <v>Primici od prodaje imovine</v>
      </c>
      <c r="C137" s="596"/>
      <c r="D137" s="596"/>
      <c r="E137" s="596"/>
      <c r="F137" s="596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7"/>
    </row>
    <row r="145" spans="19:19">
      <c r="S145" s="311"/>
    </row>
    <row r="146" spans="19:19">
      <c r="S146" s="311"/>
    </row>
  </sheetData>
  <sheetProtection algorithmName="SHA-512" hashValue="T+dNRsGORHBOcf+J5iFJWcjZc47/n5yAVHw1c8iK0RhmBAoXzVRSvkfgQ9Taz+Wg+V9zf0SnDsr8FZr1rwaLgg==" saltValue="hpn2xsPpEyh/33CIQlWuKQ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zoomScaleNormal="100" workbookViewId="0">
      <pane ySplit="1" topLeftCell="A41" activePane="bottomLeft" state="frozen"/>
      <selection pane="bottomLeft" activeCell="R62" sqref="R62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53" t="str">
        <f>+Master!G251</f>
        <v>Ostvarenje budžeta</v>
      </c>
      <c r="C7" s="534"/>
      <c r="D7" s="534"/>
      <c r="E7" s="534"/>
      <c r="F7" s="534"/>
      <c r="G7" s="542">
        <v>2020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tr">
        <f>+Master!G248</f>
        <v>BDP</v>
      </c>
      <c r="T7" s="236">
        <v>4185600000</v>
      </c>
    </row>
    <row r="8" spans="1:20" ht="16.5" customHeight="1">
      <c r="A8" s="144"/>
      <c r="B8" s="535"/>
      <c r="C8" s="536"/>
      <c r="D8" s="536"/>
      <c r="E8" s="536"/>
      <c r="F8" s="537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42" t="str">
        <f>+Master!G246</f>
        <v>Jan - Dec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01" t="str">
        <f>+VLOOKUP($A10,Master!$D$29:$G$225,4,FALSE)</f>
        <v>Prihodi budžeta</v>
      </c>
      <c r="C10" s="502"/>
      <c r="D10" s="502"/>
      <c r="E10" s="502"/>
      <c r="F10" s="502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03" t="str">
        <f>+VLOOKUP($A11,Master!$D$29:$G$225,4,FALSE)</f>
        <v>Porezi</v>
      </c>
      <c r="C11" s="504"/>
      <c r="D11" s="504"/>
      <c r="E11" s="504"/>
      <c r="F11" s="504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05" t="str">
        <f>+VLOOKUP($A12,Master!$D$29:$G$225,4,FALSE)</f>
        <v>Porez na dohodak fizičkih lica</v>
      </c>
      <c r="C12" s="506"/>
      <c r="D12" s="506"/>
      <c r="E12" s="506"/>
      <c r="F12" s="506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05" t="str">
        <f>+VLOOKUP($A13,Master!$D$29:$G$225,4,FALSE)</f>
        <v>Porez na dobit pravnih lica</v>
      </c>
      <c r="C13" s="506"/>
      <c r="D13" s="506"/>
      <c r="E13" s="506"/>
      <c r="F13" s="506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05" t="str">
        <f>+VLOOKUP($A14,Master!$D$29:$G$225,4,FALSE)</f>
        <v>Porez na promet nepokretnosti</v>
      </c>
      <c r="C14" s="506"/>
      <c r="D14" s="506"/>
      <c r="E14" s="506"/>
      <c r="F14" s="506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05" t="str">
        <f>+VLOOKUP($A15,Master!$D$29:$G$225,4,FALSE)</f>
        <v>Porez na dodatu vrijednost</v>
      </c>
      <c r="C15" s="506"/>
      <c r="D15" s="506"/>
      <c r="E15" s="506"/>
      <c r="F15" s="506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05" t="str">
        <f>+VLOOKUP($A16,Master!$D$29:$G$225,4,FALSE)</f>
        <v>Akcize</v>
      </c>
      <c r="C16" s="506"/>
      <c r="D16" s="506"/>
      <c r="E16" s="506"/>
      <c r="F16" s="506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05" t="str">
        <f>+VLOOKUP($A17,Master!$D$29:$G$225,4,FALSE)</f>
        <v>Porez na međunarodnu trgovinu i transakcije</v>
      </c>
      <c r="C17" s="506"/>
      <c r="D17" s="506"/>
      <c r="E17" s="506"/>
      <c r="F17" s="506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05" t="str">
        <f>+VLOOKUP($A18,Master!$D$29:$G$225,4,FALSE)</f>
        <v>Ostali državni porezi</v>
      </c>
      <c r="C18" s="506"/>
      <c r="D18" s="506"/>
      <c r="E18" s="506"/>
      <c r="F18" s="506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09" t="str">
        <f>+VLOOKUP($A19,Master!$D$29:$G$225,4,FALSE)</f>
        <v>Doprinosi</v>
      </c>
      <c r="C19" s="510"/>
      <c r="D19" s="510"/>
      <c r="E19" s="510"/>
      <c r="F19" s="510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05" t="str">
        <f>+VLOOKUP($A20,Master!$D$29:$G$225,4,FALSE)</f>
        <v>Doprinosi za penzijsko i invalidsko osiguranje</v>
      </c>
      <c r="C20" s="506"/>
      <c r="D20" s="506"/>
      <c r="E20" s="506"/>
      <c r="F20" s="506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05" t="str">
        <f>+VLOOKUP($A21,Master!$D$29:$G$225,4,FALSE)</f>
        <v>Doprinosi za zdravstveno osiguranje</v>
      </c>
      <c r="C21" s="506"/>
      <c r="D21" s="506"/>
      <c r="E21" s="506"/>
      <c r="F21" s="506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05" t="str">
        <f>+VLOOKUP($A22,Master!$D$29:$G$225,4,FALSE)</f>
        <v>Doprinosi za osiguranje od nezaposlenosti</v>
      </c>
      <c r="C22" s="506"/>
      <c r="D22" s="506"/>
      <c r="E22" s="506"/>
      <c r="F22" s="506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05" t="str">
        <f>+VLOOKUP($A23,Master!$D$29:$G$225,4,FALSE)</f>
        <v>Ostali doprinosi</v>
      </c>
      <c r="C23" s="506"/>
      <c r="D23" s="506"/>
      <c r="E23" s="506"/>
      <c r="F23" s="506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07" t="str">
        <f>+VLOOKUP($A24,Master!$D$29:$G$225,4,FALSE)</f>
        <v>Takse</v>
      </c>
      <c r="C24" s="508"/>
      <c r="D24" s="508"/>
      <c r="E24" s="508"/>
      <c r="F24" s="508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07" t="str">
        <f>+VLOOKUP($A25,Master!$D$29:$G$225,4,FALSE)</f>
        <v>Naknade</v>
      </c>
      <c r="C25" s="508"/>
      <c r="D25" s="508"/>
      <c r="E25" s="508"/>
      <c r="F25" s="508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07" t="str">
        <f>+VLOOKUP($A26,Master!$D$29:$G$225,4,FALSE)</f>
        <v>Ostali prihodi</v>
      </c>
      <c r="C26" s="508"/>
      <c r="D26" s="508"/>
      <c r="E26" s="508"/>
      <c r="F26" s="508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07" t="str">
        <f>+VLOOKUP($A27,Master!$D$29:$G$225,4,FALSE)</f>
        <v>Primici od otplate kredita i sredstva prenesena iz prethodne godine</v>
      </c>
      <c r="C27" s="508"/>
      <c r="D27" s="508"/>
      <c r="E27" s="508"/>
      <c r="F27" s="508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11" t="str">
        <f>+VLOOKUP($A28,Master!$D$29:$G$225,4,FALSE)</f>
        <v>Donacije i transferi</v>
      </c>
      <c r="C28" s="512"/>
      <c r="D28" s="512"/>
      <c r="E28" s="512"/>
      <c r="F28" s="512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13" t="str">
        <f>+VLOOKUP($A29,Master!$D$29:$G$225,4,FALSE)</f>
        <v>Izdaci budžeta</v>
      </c>
      <c r="C29" s="514"/>
      <c r="D29" s="514"/>
      <c r="E29" s="514"/>
      <c r="F29" s="514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17" t="str">
        <f>+VLOOKUP($A30,Master!$D$29:$G$225,4,FALSE)</f>
        <v>Tekući izdaci</v>
      </c>
      <c r="C30" s="518"/>
      <c r="D30" s="518"/>
      <c r="E30" s="518"/>
      <c r="F30" s="518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05" t="str">
        <f>+VLOOKUP($A31,Master!$D$29:$G$225,4,FALSE)</f>
        <v>Bruto zarade i doprinosi na teret poslodavca</v>
      </c>
      <c r="C31" s="506"/>
      <c r="D31" s="506"/>
      <c r="E31" s="506"/>
      <c r="F31" s="506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05" t="str">
        <f>+VLOOKUP($A32,Master!$D$29:$G$225,4,FALSE)</f>
        <v>Ostala lična primanja</v>
      </c>
      <c r="C32" s="506"/>
      <c r="D32" s="506"/>
      <c r="E32" s="506"/>
      <c r="F32" s="506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05" t="str">
        <f>+VLOOKUP($A33,Master!$D$29:$G$225,4,FALSE)</f>
        <v>Rashodi za materijal</v>
      </c>
      <c r="C33" s="506"/>
      <c r="D33" s="506"/>
      <c r="E33" s="506"/>
      <c r="F33" s="506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554" t="str">
        <f>+VLOOKUP($A34,Master!$D$29:$G$225,4,FALSE)</f>
        <v>Rashodi za usluge</v>
      </c>
      <c r="C34" s="555"/>
      <c r="D34" s="555"/>
      <c r="E34" s="555"/>
      <c r="F34" s="555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05" t="str">
        <f>+VLOOKUP($A35,Master!$D$29:$G$225,4,FALSE)</f>
        <v>Rashodi za tekuće održavanje</v>
      </c>
      <c r="C35" s="506"/>
      <c r="D35" s="506"/>
      <c r="E35" s="506"/>
      <c r="F35" s="506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05" t="str">
        <f>+VLOOKUP($A36,Master!$D$29:$G$225,4,FALSE)</f>
        <v>Kamate</v>
      </c>
      <c r="C36" s="506"/>
      <c r="D36" s="506"/>
      <c r="E36" s="506"/>
      <c r="F36" s="506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05" t="str">
        <f>+VLOOKUP($A37,Master!$D$29:$G$225,4,FALSE)</f>
        <v>Renta</v>
      </c>
      <c r="C37" s="506"/>
      <c r="D37" s="506"/>
      <c r="E37" s="506"/>
      <c r="F37" s="506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05" t="str">
        <f>+VLOOKUP($A38,Master!$D$29:$G$225,4,FALSE)</f>
        <v>Subvencije</v>
      </c>
      <c r="C38" s="506"/>
      <c r="D38" s="506"/>
      <c r="E38" s="506"/>
      <c r="F38" s="506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554" t="str">
        <f>+VLOOKUP($A39,Master!$D$29:$G$225,4,FALSE)</f>
        <v>Ostali izdaci</v>
      </c>
      <c r="C39" s="555"/>
      <c r="D39" s="555"/>
      <c r="E39" s="555"/>
      <c r="F39" s="555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21" t="str">
        <f>+VLOOKUP($A40,Master!$D$29:$G$225,4,FALSE)</f>
        <v>Transferi za socijalnu zaštitu</v>
      </c>
      <c r="C40" s="522"/>
      <c r="D40" s="522"/>
      <c r="E40" s="522"/>
      <c r="F40" s="522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05" t="str">
        <f>+VLOOKUP($A41,Master!$D$29:$G$225,4,FALSE)</f>
        <v>Prava iz oblasti socijalne zaštite</v>
      </c>
      <c r="C41" s="506"/>
      <c r="D41" s="506"/>
      <c r="E41" s="506"/>
      <c r="F41" s="506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05" t="str">
        <f>+VLOOKUP($A42,Master!$D$29:$G$225,4,FALSE)</f>
        <v>Sredstva za tehnološke viškove</v>
      </c>
      <c r="C42" s="506"/>
      <c r="D42" s="506"/>
      <c r="E42" s="506"/>
      <c r="F42" s="506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05" t="str">
        <f>+VLOOKUP($A43,Master!$D$29:$G$225,4,FALSE)</f>
        <v>Prava iz oblasti penzijskog i invalidskog osiguranja</v>
      </c>
      <c r="C43" s="506"/>
      <c r="D43" s="506"/>
      <c r="E43" s="506"/>
      <c r="F43" s="506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05" t="str">
        <f>+VLOOKUP($A44,Master!$D$29:$G$225,4,FALSE)</f>
        <v>Ostala prava iz oblasti zdravstvene zaštite</v>
      </c>
      <c r="C44" s="506"/>
      <c r="D44" s="506"/>
      <c r="E44" s="506"/>
      <c r="F44" s="506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556" t="str">
        <f>+VLOOKUP($A45,Master!$D$29:$G$225,4,FALSE)</f>
        <v>Ostala prava iz zdravstvenog osiguranja</v>
      </c>
      <c r="C45" s="557"/>
      <c r="D45" s="557"/>
      <c r="E45" s="557"/>
      <c r="F45" s="557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19" t="str">
        <f>+VLOOKUP($A46,Master!$D$29:$G$225,4,FALSE)</f>
        <v xml:space="preserve">Transferi institucijama, pojedincima, nevladinom i javnom sektoru </v>
      </c>
      <c r="C46" s="520"/>
      <c r="D46" s="520"/>
      <c r="E46" s="520"/>
      <c r="F46" s="520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19" t="str">
        <f>+VLOOKUP($A47,Master!$D$29:$G$225,4,FALSE)</f>
        <v>Kapitalni izdaci</v>
      </c>
      <c r="C47" s="520"/>
      <c r="D47" s="520"/>
      <c r="E47" s="520"/>
      <c r="F47" s="520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558" t="str">
        <f>+VLOOKUP($A48,Master!$D$29:$G$225,4,FALSE)</f>
        <v>Pozajmice i krediti</v>
      </c>
      <c r="C48" s="559"/>
      <c r="D48" s="559"/>
      <c r="E48" s="559"/>
      <c r="F48" s="559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63" t="str">
        <f>+VLOOKUP($A49,Master!$D$29:$G$225,4,FALSE)</f>
        <v>Rezerve</v>
      </c>
      <c r="C49" s="564"/>
      <c r="D49" s="564"/>
      <c r="E49" s="564"/>
      <c r="F49" s="564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25" t="str">
        <f>+VLOOKUP($A50,Master!$D$29:$G$225,4,FALSE)</f>
        <v>Otplata garancija</v>
      </c>
      <c r="C50" s="526"/>
      <c r="D50" s="526"/>
      <c r="E50" s="526"/>
      <c r="F50" s="526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65" t="str">
        <f>+VLOOKUP($A51,Master!$D$29:$G$225,4,TRUE)</f>
        <v>Otplata obaveza iz prethodnog perioda</v>
      </c>
      <c r="C51" s="566"/>
      <c r="D51" s="566"/>
      <c r="E51" s="566"/>
      <c r="F51" s="566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567" t="str">
        <f>+VLOOKUP($A52,Master!$D$29:$G$227,4,FALSE)</f>
        <v>Neto povećanje obaveza</v>
      </c>
      <c r="C52" s="568"/>
      <c r="D52" s="568"/>
      <c r="E52" s="568"/>
      <c r="F52" s="568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27" t="str">
        <f>+VLOOKUP($A53,Master!$D$29:$G$225,4,FALSE)</f>
        <v>Suficit / deficit</v>
      </c>
      <c r="C53" s="528"/>
      <c r="D53" s="528"/>
      <c r="E53" s="528"/>
      <c r="F53" s="528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29" t="str">
        <f>+VLOOKUP($A54,Master!$D$29:$G$225,4,FALSE)</f>
        <v>Primarni suficit/deficit</v>
      </c>
      <c r="C54" s="530"/>
      <c r="D54" s="530"/>
      <c r="E54" s="530"/>
      <c r="F54" s="530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51" t="str">
        <f>+VLOOKUP($A55,Master!$D$29:$G$225,4,FALSE)</f>
        <v>Otplata dugova</v>
      </c>
      <c r="C55" s="552"/>
      <c r="D55" s="552"/>
      <c r="E55" s="552"/>
      <c r="F55" s="552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47" t="str">
        <f>+VLOOKUP($A56,Master!$D$29:$G$225,4,FALSE)</f>
        <v>Otplata hartija od vrijednosti i kredita rezidentima</v>
      </c>
      <c r="C56" s="548"/>
      <c r="D56" s="548"/>
      <c r="E56" s="548"/>
      <c r="F56" s="548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23" t="str">
        <f>+VLOOKUP($A57,Master!$D$29:$G$225,4,FALSE)</f>
        <v>Otplata hartija od vrijednosti i kredita nerezidentima</v>
      </c>
      <c r="C57" s="524"/>
      <c r="D57" s="524"/>
      <c r="E57" s="524"/>
      <c r="F57" s="524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15" t="str">
        <f>+VLOOKUP($A58,Master!$D$29:$G$225,4,FALSE)</f>
        <v>Izdaci za kupovinu hartija od vrijednosti</v>
      </c>
      <c r="C58" s="516"/>
      <c r="D58" s="516"/>
      <c r="E58" s="516"/>
      <c r="F58" s="516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49" t="str">
        <f>+VLOOKUP($A59,Master!$D$29:$G$225,4,FALSE)</f>
        <v>Nedostajuća sredstva</v>
      </c>
      <c r="C59" s="550"/>
      <c r="D59" s="550"/>
      <c r="E59" s="550"/>
      <c r="F59" s="550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13" t="str">
        <f>+VLOOKUP($A60,Master!$D$29:$G$225,4,FALSE)</f>
        <v>Finansiranje</v>
      </c>
      <c r="C60" s="514"/>
      <c r="D60" s="514"/>
      <c r="E60" s="514"/>
      <c r="F60" s="514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47" t="str">
        <f>+VLOOKUP($A61,Master!$D$29:$G$225,4,FALSE)</f>
        <v>Pozajmice i krediti od domaćih izvora</v>
      </c>
      <c r="C61" s="548"/>
      <c r="D61" s="548"/>
      <c r="E61" s="548"/>
      <c r="F61" s="548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23" t="str">
        <f>+VLOOKUP($A62,Master!$D$29:$G$225,4,FALSE)</f>
        <v>Pozajmice i krediti od inostranih izvora</v>
      </c>
      <c r="C62" s="524"/>
      <c r="D62" s="524"/>
      <c r="E62" s="524"/>
      <c r="F62" s="524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23" t="str">
        <f>+VLOOKUP($A63,Master!$D$29:$G$225,4,FALSE)</f>
        <v>Primici od prodaje imovine</v>
      </c>
      <c r="C63" s="524"/>
      <c r="D63" s="524"/>
      <c r="E63" s="524"/>
      <c r="F63" s="524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75" t="str">
        <f>+Master!G252</f>
        <v>Plan ostvarenja budžeta</v>
      </c>
      <c r="C100" s="576"/>
      <c r="D100" s="576"/>
      <c r="E100" s="576"/>
      <c r="F100" s="576"/>
      <c r="G100" s="560">
        <v>2020</v>
      </c>
      <c r="H100" s="561"/>
      <c r="I100" s="561"/>
      <c r="J100" s="561"/>
      <c r="K100" s="561"/>
      <c r="L100" s="561"/>
      <c r="M100" s="561"/>
      <c r="N100" s="561"/>
      <c r="O100" s="561"/>
      <c r="P100" s="561"/>
      <c r="Q100" s="561"/>
      <c r="R100" s="562"/>
      <c r="S100" s="107" t="str">
        <f>+S7</f>
        <v>BDP</v>
      </c>
      <c r="T100" s="108">
        <v>4607300000</v>
      </c>
    </row>
    <row r="101" spans="1:21" ht="15.75" customHeight="1">
      <c r="B101" s="577"/>
      <c r="C101" s="578"/>
      <c r="D101" s="578"/>
      <c r="E101" s="578"/>
      <c r="F101" s="57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60" t="str">
        <f>+Master!G246</f>
        <v>Jan - Dec</v>
      </c>
      <c r="T101" s="562">
        <f>+T8</f>
        <v>0</v>
      </c>
    </row>
    <row r="102" spans="1:21" ht="13.5" thickBot="1">
      <c r="B102" s="580"/>
      <c r="C102" s="581"/>
      <c r="D102" s="581"/>
      <c r="E102" s="581"/>
      <c r="F102" s="58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69" t="str">
        <f>+VLOOKUP(LEFT($A103,LEN(A103)-1)*1,Master!$D$29:$G$225,4,FALSE)</f>
        <v>Prihodi budžeta</v>
      </c>
      <c r="C103" s="570"/>
      <c r="D103" s="570"/>
      <c r="E103" s="570"/>
      <c r="F103" s="57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71" t="str">
        <f>+VLOOKUP(LEFT($A104,LEN(A104)-1)*1,Master!$D$29:$G$225,4,FALSE)</f>
        <v>Porezi</v>
      </c>
      <c r="C104" s="572"/>
      <c r="D104" s="572"/>
      <c r="E104" s="572"/>
      <c r="F104" s="572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3" t="str">
        <f>+VLOOKUP(LEFT($A105,LEN(A105)-1)*1,Master!$D$29:$G$228,4,FALSE)</f>
        <v>Porez na dohodak fizičkih lica</v>
      </c>
      <c r="C105" s="574"/>
      <c r="D105" s="574"/>
      <c r="E105" s="574"/>
      <c r="F105" s="574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73" t="str">
        <f>+VLOOKUP(LEFT($A106,LEN(A106)-1)*1,Master!$D$29:$G$228,4,FALSE)</f>
        <v>Porez na dobit pravnih lica</v>
      </c>
      <c r="C106" s="574"/>
      <c r="D106" s="574"/>
      <c r="E106" s="574"/>
      <c r="F106" s="574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73" t="str">
        <f>+VLOOKUP(LEFT($A107,LEN(A107)-1)*1,Master!$D$29:$G$228,4,FALSE)</f>
        <v>Porez na promet nepokretnosti</v>
      </c>
      <c r="C107" s="574"/>
      <c r="D107" s="574"/>
      <c r="E107" s="574"/>
      <c r="F107" s="574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73" t="str">
        <f>+VLOOKUP(LEFT($A108,LEN(A108)-1)*1,Master!$D$29:$G$228,4,FALSE)</f>
        <v>Porez na dodatu vrijednost</v>
      </c>
      <c r="C108" s="574"/>
      <c r="D108" s="574"/>
      <c r="E108" s="574"/>
      <c r="F108" s="574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73" t="str">
        <f>+VLOOKUP(LEFT($A109,LEN(A109)-1)*1,Master!$D$29:$G$228,4,FALSE)</f>
        <v>Akcize</v>
      </c>
      <c r="C109" s="574"/>
      <c r="D109" s="574"/>
      <c r="E109" s="574"/>
      <c r="F109" s="574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73" t="str">
        <f>+VLOOKUP(LEFT($A110,LEN(A110)-1)*1,Master!$D$29:$G$228,4,FALSE)</f>
        <v>Porez na međunarodnu trgovinu i transakcije</v>
      </c>
      <c r="C110" s="574"/>
      <c r="D110" s="574"/>
      <c r="E110" s="574"/>
      <c r="F110" s="574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73" t="str">
        <f>+VLOOKUP(LEFT($A111,LEN(A111)-1)*1,Master!$D$29:$G$228,4,FALSE)</f>
        <v>Ostali državni porezi</v>
      </c>
      <c r="C111" s="574"/>
      <c r="D111" s="574"/>
      <c r="E111" s="574"/>
      <c r="F111" s="574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585" t="str">
        <f>+VLOOKUP(LEFT($A112,LEN(A112)-1)*1,Master!$D$29:$G$228,4,FALSE)</f>
        <v>Doprinosi</v>
      </c>
      <c r="C112" s="586"/>
      <c r="D112" s="586"/>
      <c r="E112" s="586"/>
      <c r="F112" s="586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73" t="str">
        <f>+VLOOKUP(LEFT($A113,LEN(A113)-1)*1,Master!$D$29:$G$228,4,FALSE)</f>
        <v>Doprinosi za penzijsko i invalidsko osiguranje</v>
      </c>
      <c r="C113" s="574"/>
      <c r="D113" s="574"/>
      <c r="E113" s="574"/>
      <c r="F113" s="574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73" t="str">
        <f>+VLOOKUP(LEFT($A114,LEN(A114)-1)*1,Master!$D$29:$G$228,4,FALSE)</f>
        <v>Doprinosi za zdravstveno osiguranje</v>
      </c>
      <c r="C114" s="574"/>
      <c r="D114" s="574"/>
      <c r="E114" s="574"/>
      <c r="F114" s="574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73" t="str">
        <f>+VLOOKUP(LEFT($A115,LEN(A115)-1)*1,Master!$D$29:$G$228,4,FALSE)</f>
        <v>Doprinosi za osiguranje od nezaposlenosti</v>
      </c>
      <c r="C115" s="574"/>
      <c r="D115" s="574"/>
      <c r="E115" s="574"/>
      <c r="F115" s="574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73" t="str">
        <f>+VLOOKUP(LEFT($A116,LEN(A116)-1)*1,Master!$D$29:$G$228,4,FALSE)</f>
        <v>Ostali doprinosi</v>
      </c>
      <c r="C116" s="574"/>
      <c r="D116" s="574"/>
      <c r="E116" s="574"/>
      <c r="F116" s="574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83" t="str">
        <f>+VLOOKUP(LEFT($A117,LEN(A117)-1)*1,Master!$D$29:$G$228,4,FALSE)</f>
        <v>Takse</v>
      </c>
      <c r="C117" s="584"/>
      <c r="D117" s="584"/>
      <c r="E117" s="584"/>
      <c r="F117" s="584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83" t="str">
        <f>+VLOOKUP(LEFT($A118,LEN(A118)-1)*1,Master!$D$29:$G$228,4,FALSE)</f>
        <v>Naknade</v>
      </c>
      <c r="C118" s="584"/>
      <c r="D118" s="584"/>
      <c r="E118" s="584"/>
      <c r="F118" s="584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83" t="str">
        <f>+VLOOKUP(LEFT($A119,LEN(A119)-1)*1,Master!$D$29:$G$228,4,FALSE)</f>
        <v>Ostali prihodi</v>
      </c>
      <c r="C119" s="584"/>
      <c r="D119" s="584"/>
      <c r="E119" s="584"/>
      <c r="F119" s="584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83" t="str">
        <f>+VLOOKUP(LEFT($A120,LEN(A120)-1)*1,Master!$D$29:$G$228,4,FALSE)</f>
        <v>Primici od otplate kredita i sredstva prenesena iz prethodne godine</v>
      </c>
      <c r="C120" s="584"/>
      <c r="D120" s="584"/>
      <c r="E120" s="584"/>
      <c r="F120" s="584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87" t="str">
        <f>+VLOOKUP(LEFT($A121,LEN(A121)-1)*1,Master!$D$29:$G$228,4,FALSE)</f>
        <v>Donacije i transferi</v>
      </c>
      <c r="C121" s="588"/>
      <c r="D121" s="588"/>
      <c r="E121" s="588"/>
      <c r="F121" s="588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89" t="str">
        <f>+VLOOKUP(LEFT($A122,LEN(A122)-1)*1,Master!$D$29:$G$228,4,FALSE)</f>
        <v>Izdaci budžeta</v>
      </c>
      <c r="C122" s="590"/>
      <c r="D122" s="590"/>
      <c r="E122" s="590"/>
      <c r="F122" s="590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591" t="str">
        <f>+VLOOKUP(LEFT($A123,LEN(A123)-1)*1,Master!$D$29:$G$228,4,FALSE)</f>
        <v>Tekući izdaci</v>
      </c>
      <c r="C123" s="592"/>
      <c r="D123" s="592"/>
      <c r="E123" s="592"/>
      <c r="F123" s="592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73" t="str">
        <f>+VLOOKUP(LEFT($A124,LEN(A124)-1)*1,Master!$D$29:$G$228,4,FALSE)</f>
        <v>Bruto zarade i doprinosi na teret poslodavca</v>
      </c>
      <c r="C124" s="574"/>
      <c r="D124" s="574"/>
      <c r="E124" s="574"/>
      <c r="F124" s="574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73" t="str">
        <f>+VLOOKUP(LEFT($A125,LEN(A125)-1)*1,Master!$D$29:$G$228,4,FALSE)</f>
        <v>Ostala lična primanja</v>
      </c>
      <c r="C125" s="574"/>
      <c r="D125" s="574"/>
      <c r="E125" s="574"/>
      <c r="F125" s="574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73" t="str">
        <f>+VLOOKUP(LEFT($A126,LEN(A126)-1)*1,Master!$D$29:$G$228,4,FALSE)</f>
        <v>Rashodi za materijal</v>
      </c>
      <c r="C126" s="574"/>
      <c r="D126" s="574"/>
      <c r="E126" s="574"/>
      <c r="F126" s="574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73" t="str">
        <f>+VLOOKUP(LEFT($A127,LEN(A127)-1)*1,Master!$D$29:$G$228,4,FALSE)</f>
        <v>Rashodi za usluge</v>
      </c>
      <c r="C127" s="574"/>
      <c r="D127" s="574"/>
      <c r="E127" s="574"/>
      <c r="F127" s="574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73" t="str">
        <f>+VLOOKUP(LEFT($A128,LEN(A128)-1)*1,Master!$D$29:$G$228,4,FALSE)</f>
        <v>Rashodi za tekuće održavanje</v>
      </c>
      <c r="C128" s="574"/>
      <c r="D128" s="574"/>
      <c r="E128" s="574"/>
      <c r="F128" s="574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73" t="str">
        <f>+VLOOKUP(LEFT($A129,LEN(A129)-1)*1,Master!$D$29:$G$228,4,FALSE)</f>
        <v>Kamate</v>
      </c>
      <c r="C129" s="574"/>
      <c r="D129" s="574"/>
      <c r="E129" s="574"/>
      <c r="F129" s="574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73" t="str">
        <f>+VLOOKUP(LEFT($A130,LEN(A130)-1)*1,Master!$D$29:$G$228,4,FALSE)</f>
        <v>Renta</v>
      </c>
      <c r="C130" s="574"/>
      <c r="D130" s="574"/>
      <c r="E130" s="574"/>
      <c r="F130" s="574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73" t="str">
        <f>+VLOOKUP(LEFT($A131,LEN(A131)-1)*1,Master!$D$29:$G$228,4,FALSE)</f>
        <v>Subvencije</v>
      </c>
      <c r="C131" s="574"/>
      <c r="D131" s="574"/>
      <c r="E131" s="574"/>
      <c r="F131" s="574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73" t="str">
        <f>+VLOOKUP(LEFT($A132,LEN(A132)-1)*1,Master!$D$29:$G$228,4,FALSE)</f>
        <v>Ostali izdaci</v>
      </c>
      <c r="C132" s="574"/>
      <c r="D132" s="574"/>
      <c r="E132" s="574"/>
      <c r="F132" s="574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597" t="str">
        <f>+VLOOKUP(LEFT($A133,LEN(A133)-1)*1,Master!$D$29:$G$228,4,FALSE)</f>
        <v>Transferi za socijalnu zaštitu</v>
      </c>
      <c r="C133" s="598"/>
      <c r="D133" s="598"/>
      <c r="E133" s="598"/>
      <c r="F133" s="598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73" t="str">
        <f>+VLOOKUP(LEFT($A134,LEN(A134)-1)*1,Master!$D$29:$G$228,4,FALSE)</f>
        <v>Prava iz oblasti socijalne zaštite</v>
      </c>
      <c r="C134" s="574"/>
      <c r="D134" s="574"/>
      <c r="E134" s="574"/>
      <c r="F134" s="574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73" t="str">
        <f>+VLOOKUP(LEFT($A135,LEN(A135)-1)*1,Master!$D$29:$G$228,4,FALSE)</f>
        <v>Sredstva za tehnološke viškove</v>
      </c>
      <c r="C135" s="574"/>
      <c r="D135" s="574"/>
      <c r="E135" s="574"/>
      <c r="F135" s="574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73" t="str">
        <f>+VLOOKUP(LEFT($A136,LEN(A136)-1)*1,Master!$D$29:$G$228,4,FALSE)</f>
        <v>Prava iz oblasti penzijskog i invalidskog osiguranja</v>
      </c>
      <c r="C136" s="574"/>
      <c r="D136" s="574"/>
      <c r="E136" s="574"/>
      <c r="F136" s="574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73" t="str">
        <f>+VLOOKUP(LEFT($A137,LEN(A137)-1)*1,Master!$D$29:$G$228,4,FALSE)</f>
        <v>Ostala prava iz oblasti zdravstvene zaštite</v>
      </c>
      <c r="C137" s="574"/>
      <c r="D137" s="574"/>
      <c r="E137" s="574"/>
      <c r="F137" s="574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73" t="str">
        <f>+VLOOKUP(LEFT($A138,LEN(A138)-1)*1,Master!$D$29:$G$228,4,FALSE)</f>
        <v>Ostala prava iz zdravstvenog osiguranja</v>
      </c>
      <c r="C138" s="574"/>
      <c r="D138" s="574"/>
      <c r="E138" s="574"/>
      <c r="F138" s="574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593" t="str">
        <f>+VLOOKUP(LEFT($A139,LEN(A139)-1)*1,Master!$D$29:$G$228,4,FALSE)</f>
        <v xml:space="preserve">Transferi institucijama, pojedincima, nevladinom i javnom sektoru </v>
      </c>
      <c r="C139" s="594"/>
      <c r="D139" s="594"/>
      <c r="E139" s="594"/>
      <c r="F139" s="594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593" t="str">
        <f>+VLOOKUP(LEFT($A140,LEN(A140)-1)*1,Master!$D$29:$G$228,4,FALSE)</f>
        <v>Kapitalni izdaci</v>
      </c>
      <c r="C140" s="594"/>
      <c r="D140" s="594"/>
      <c r="E140" s="594"/>
      <c r="F140" s="594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595" t="str">
        <f>+VLOOKUP(LEFT($A141,LEN(A141)-1)*1,Master!$D$29:$G$228,4,FALSE)</f>
        <v>Pozajmice i krediti</v>
      </c>
      <c r="C141" s="596"/>
      <c r="D141" s="596"/>
      <c r="E141" s="596"/>
      <c r="F141" s="596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595" t="str">
        <f>+VLOOKUP(LEFT($A142,LEN(A142)-1)*1,Master!$D$29:$G$228,4,FALSE)</f>
        <v>Rezerve</v>
      </c>
      <c r="C142" s="596"/>
      <c r="D142" s="596"/>
      <c r="E142" s="596"/>
      <c r="F142" s="596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595" t="str">
        <f>+VLOOKUP(LEFT($A143,LEN(A143)-1)*1,Master!$D$29:$G$228,4,FALSE)</f>
        <v>Otplata garancija</v>
      </c>
      <c r="C143" s="596"/>
      <c r="D143" s="596"/>
      <c r="E143" s="596"/>
      <c r="F143" s="596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595" t="str">
        <f>+VLOOKUP(LEFT($A144,LEN(A144)-1)*1,Master!$D$29:$G$228,4,FALSE)</f>
        <v>Otplata obaveza iz prethodnog perioda</v>
      </c>
      <c r="C144" s="596"/>
      <c r="D144" s="596"/>
      <c r="E144" s="596"/>
      <c r="F144" s="596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95" t="str">
        <f>+VLOOKUP(LEFT($A145,LEN(A145)-1)*1,Master!$D$29:$G$228,4,FALSE)</f>
        <v>Neto povećanje obaveza</v>
      </c>
      <c r="C145" s="596"/>
      <c r="D145" s="596"/>
      <c r="E145" s="596"/>
      <c r="F145" s="596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603" t="str">
        <f>+VLOOKUP(LEFT($A146,LEN(A146)-1)*1,Master!$D$29:$G$225,4,FALSE)</f>
        <v>Suficit / deficit</v>
      </c>
      <c r="C146" s="604"/>
      <c r="D146" s="604"/>
      <c r="E146" s="604"/>
      <c r="F146" s="604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605" t="str">
        <f>+VLOOKUP(LEFT($A147,LEN(A147)-1)*1,Master!$D$29:$G$225,4,FALSE)</f>
        <v>Primarni suficit/deficit</v>
      </c>
      <c r="C147" s="606"/>
      <c r="D147" s="606"/>
      <c r="E147" s="606"/>
      <c r="F147" s="606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597" t="str">
        <f>+VLOOKUP(LEFT($A148,LEN(A148)-1)*1,Master!$D$29:$G$225,4,FALSE)</f>
        <v>Otplata dugova</v>
      </c>
      <c r="C148" s="598"/>
      <c r="D148" s="598"/>
      <c r="E148" s="598"/>
      <c r="F148" s="598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601" t="str">
        <f>+VLOOKUP(LEFT($A149,LEN(A149)-1)*1,Master!$D$29:$G$225,4,FALSE)</f>
        <v>Otplata hartija od vrijednosti i kredita rezidentima</v>
      </c>
      <c r="C149" s="602"/>
      <c r="D149" s="602"/>
      <c r="E149" s="602"/>
      <c r="F149" s="602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595" t="str">
        <f>+VLOOKUP(LEFT($A150,LEN(A150)-1)*1,Master!$D$29:$G$225,4,FALSE)</f>
        <v>Otplata hartija od vrijednosti i kredita nerezidentima</v>
      </c>
      <c r="C150" s="596"/>
      <c r="D150" s="596"/>
      <c r="E150" s="596"/>
      <c r="F150" s="596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89" t="str">
        <f>+VLOOKUP(LEFT($A151,LEN(A151)-1)*1,Master!$D$29:$G$225,4,FALSE)</f>
        <v>Izdaci za kupovinu hartija od vrijednosti</v>
      </c>
      <c r="C151" s="590"/>
      <c r="D151" s="590"/>
      <c r="E151" s="590"/>
      <c r="F151" s="590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99" t="str">
        <f>+VLOOKUP(LEFT($A152,LEN(A152)-1)*1,Master!$D$29:$G$225,4,FALSE)</f>
        <v>Nedostajuća sredstva</v>
      </c>
      <c r="C152" s="600"/>
      <c r="D152" s="600"/>
      <c r="E152" s="600"/>
      <c r="F152" s="600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89" t="str">
        <f>+VLOOKUP(LEFT($A153,LEN(A153)-1)*1,Master!$D$29:$G$225,4,FALSE)</f>
        <v>Finansiranje</v>
      </c>
      <c r="C153" s="590"/>
      <c r="D153" s="590"/>
      <c r="E153" s="590"/>
      <c r="F153" s="590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601" t="str">
        <f>+VLOOKUP(LEFT($A154,LEN(A154)-1)*1,Master!$D$29:$G$225,4,FALSE)</f>
        <v>Pozajmice i krediti od domaćih izvora</v>
      </c>
      <c r="C154" s="602"/>
      <c r="D154" s="602"/>
      <c r="E154" s="602"/>
      <c r="F154" s="602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595" t="str">
        <f>+VLOOKUP(LEFT($A155,LEN(A155)-1)*1,Master!$D$29:$G$225,4,FALSE)</f>
        <v>Pozajmice i krediti od inostranih izvora</v>
      </c>
      <c r="C155" s="596"/>
      <c r="D155" s="596"/>
      <c r="E155" s="596"/>
      <c r="F155" s="596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595" t="str">
        <f>+VLOOKUP(LEFT($A156,LEN(A156)-1)*1,Master!$D$29:$G$225,4,FALSE)</f>
        <v>Primici od prodaje imovine</v>
      </c>
      <c r="C156" s="596"/>
      <c r="D156" s="596"/>
      <c r="E156" s="596"/>
      <c r="F156" s="596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2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53" t="s">
        <v>554</v>
      </c>
      <c r="C7" s="534"/>
      <c r="D7" s="534"/>
      <c r="E7" s="534"/>
      <c r="F7" s="534"/>
      <c r="G7" s="542">
        <v>2019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">
        <v>419</v>
      </c>
      <c r="T7" s="236">
        <v>4951000000</v>
      </c>
    </row>
    <row r="8" spans="1:20" ht="16.5" customHeight="1">
      <c r="A8" s="144"/>
      <c r="B8" s="535"/>
      <c r="C8" s="536"/>
      <c r="D8" s="536"/>
      <c r="E8" s="536"/>
      <c r="F8" s="537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2" t="s">
        <v>809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13" t="s">
        <v>681</v>
      </c>
      <c r="C10" s="514"/>
      <c r="D10" s="514"/>
      <c r="E10" s="514"/>
      <c r="F10" s="514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+SUM(G10:R10)</f>
        <v>1885212618.1600001</v>
      </c>
      <c r="T10" s="368">
        <f>+S10/$T$7</f>
        <v>0.38077410990910932</v>
      </c>
    </row>
    <row r="11" spans="1:20">
      <c r="A11" s="150">
        <v>711</v>
      </c>
      <c r="B11" s="503" t="s">
        <v>21</v>
      </c>
      <c r="C11" s="504"/>
      <c r="D11" s="504"/>
      <c r="E11" s="504"/>
      <c r="F11" s="504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4">
        <f t="shared" ref="S11:S63" si="3">+SUM(G11:R11)</f>
        <v>1172748653.1199999</v>
      </c>
      <c r="T11" s="369">
        <f t="shared" ref="T11:T64" si="4">+S11/$T$7</f>
        <v>0.23687106708139768</v>
      </c>
    </row>
    <row r="12" spans="1:20">
      <c r="A12" s="150">
        <v>7111</v>
      </c>
      <c r="B12" s="505" t="s">
        <v>23</v>
      </c>
      <c r="C12" s="506"/>
      <c r="D12" s="506"/>
      <c r="E12" s="506"/>
      <c r="F12" s="506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5">
        <f t="shared" si="3"/>
        <v>125000927.16</v>
      </c>
      <c r="T12" s="370">
        <f t="shared" si="4"/>
        <v>2.5247612029892952E-2</v>
      </c>
    </row>
    <row r="13" spans="1:20">
      <c r="A13" s="150">
        <v>7112</v>
      </c>
      <c r="B13" s="505" t="s">
        <v>25</v>
      </c>
      <c r="C13" s="506"/>
      <c r="D13" s="506"/>
      <c r="E13" s="506"/>
      <c r="F13" s="506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5">
        <f t="shared" si="3"/>
        <v>72815973.079999998</v>
      </c>
      <c r="T13" s="370">
        <f t="shared" si="4"/>
        <v>1.4707326414865683E-2</v>
      </c>
    </row>
    <row r="14" spans="1:20">
      <c r="A14" s="150">
        <v>7113</v>
      </c>
      <c r="B14" s="505" t="s">
        <v>27</v>
      </c>
      <c r="C14" s="506"/>
      <c r="D14" s="506"/>
      <c r="E14" s="506"/>
      <c r="F14" s="506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5">
        <f t="shared" si="3"/>
        <v>2037253.77</v>
      </c>
      <c r="T14" s="370">
        <f t="shared" si="4"/>
        <v>4.1148329024439506E-4</v>
      </c>
    </row>
    <row r="15" spans="1:20">
      <c r="A15" s="150">
        <v>7114</v>
      </c>
      <c r="B15" s="505" t="s">
        <v>29</v>
      </c>
      <c r="C15" s="506"/>
      <c r="D15" s="506"/>
      <c r="E15" s="506"/>
      <c r="F15" s="506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5">
        <f t="shared" si="3"/>
        <v>695728953.52999997</v>
      </c>
      <c r="T15" s="370">
        <f t="shared" si="4"/>
        <v>0.14052291527570188</v>
      </c>
    </row>
    <row r="16" spans="1:20">
      <c r="A16" s="150">
        <v>7115</v>
      </c>
      <c r="B16" s="505" t="s">
        <v>31</v>
      </c>
      <c r="C16" s="506"/>
      <c r="D16" s="506"/>
      <c r="E16" s="506"/>
      <c r="F16" s="506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5">
        <f t="shared" si="3"/>
        <v>235518297.74000001</v>
      </c>
      <c r="T16" s="370">
        <f t="shared" si="4"/>
        <v>4.7569844019390024E-2</v>
      </c>
    </row>
    <row r="17" spans="1:25">
      <c r="A17" s="150">
        <v>7116</v>
      </c>
      <c r="B17" s="505" t="s">
        <v>33</v>
      </c>
      <c r="C17" s="506"/>
      <c r="D17" s="506"/>
      <c r="E17" s="506"/>
      <c r="F17" s="506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5">
        <f t="shared" si="3"/>
        <v>28526540.740000002</v>
      </c>
      <c r="T17" s="370">
        <f t="shared" si="4"/>
        <v>5.7617735285800855E-3</v>
      </c>
    </row>
    <row r="18" spans="1:25">
      <c r="A18" s="150">
        <v>7118</v>
      </c>
      <c r="B18" s="505" t="s">
        <v>722</v>
      </c>
      <c r="C18" s="506"/>
      <c r="D18" s="506"/>
      <c r="E18" s="506"/>
      <c r="F18" s="506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5">
        <f t="shared" si="3"/>
        <v>13120707.100000001</v>
      </c>
      <c r="T18" s="370">
        <f t="shared" si="4"/>
        <v>2.6501125227226825E-3</v>
      </c>
    </row>
    <row r="19" spans="1:25">
      <c r="A19" s="150">
        <v>712</v>
      </c>
      <c r="B19" s="509" t="s">
        <v>37</v>
      </c>
      <c r="C19" s="510"/>
      <c r="D19" s="510"/>
      <c r="E19" s="510"/>
      <c r="F19" s="510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6">
        <f t="shared" si="3"/>
        <v>546265768.94000006</v>
      </c>
      <c r="T19" s="371">
        <f t="shared" si="4"/>
        <v>0.11033443121389619</v>
      </c>
    </row>
    <row r="20" spans="1:25">
      <c r="A20" s="150">
        <v>7121</v>
      </c>
      <c r="B20" s="505" t="s">
        <v>39</v>
      </c>
      <c r="C20" s="506"/>
      <c r="D20" s="506"/>
      <c r="E20" s="506"/>
      <c r="F20" s="506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5">
        <f>+SUM(G20:R20)</f>
        <v>329181424.36000001</v>
      </c>
      <c r="T20" s="370">
        <f t="shared" si="4"/>
        <v>6.6487865958392248E-2</v>
      </c>
    </row>
    <row r="21" spans="1:25">
      <c r="A21" s="150">
        <v>7122</v>
      </c>
      <c r="B21" s="505" t="s">
        <v>41</v>
      </c>
      <c r="C21" s="506"/>
      <c r="D21" s="506"/>
      <c r="E21" s="506"/>
      <c r="F21" s="506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5">
        <f t="shared" si="3"/>
        <v>187748508.43000001</v>
      </c>
      <c r="T21" s="370">
        <f t="shared" si="4"/>
        <v>3.7921330727125835E-2</v>
      </c>
    </row>
    <row r="22" spans="1:25">
      <c r="A22" s="150">
        <v>7123</v>
      </c>
      <c r="B22" s="505" t="s">
        <v>43</v>
      </c>
      <c r="C22" s="506"/>
      <c r="D22" s="506"/>
      <c r="E22" s="506"/>
      <c r="F22" s="506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5">
        <f t="shared" si="3"/>
        <v>15122153.449999999</v>
      </c>
      <c r="T22" s="370">
        <f t="shared" si="4"/>
        <v>3.0543634518279132E-3</v>
      </c>
    </row>
    <row r="23" spans="1:25">
      <c r="A23" s="150">
        <v>7124</v>
      </c>
      <c r="B23" s="505" t="s">
        <v>45</v>
      </c>
      <c r="C23" s="506"/>
      <c r="D23" s="506"/>
      <c r="E23" s="506"/>
      <c r="F23" s="506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5">
        <f t="shared" si="3"/>
        <v>14213682.699999999</v>
      </c>
      <c r="T23" s="370">
        <f t="shared" si="4"/>
        <v>2.8708710765501916E-3</v>
      </c>
      <c r="Y23" s="305"/>
    </row>
    <row r="24" spans="1:25">
      <c r="A24" s="150">
        <v>713</v>
      </c>
      <c r="B24" s="507" t="s">
        <v>47</v>
      </c>
      <c r="C24" s="508"/>
      <c r="D24" s="508"/>
      <c r="E24" s="508"/>
      <c r="F24" s="508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6">
        <f t="shared" si="3"/>
        <v>15661588.439999998</v>
      </c>
      <c r="T24" s="371">
        <f t="shared" si="4"/>
        <v>3.1633182064229443E-3</v>
      </c>
      <c r="Y24" s="305"/>
    </row>
    <row r="25" spans="1:25">
      <c r="A25" s="150">
        <v>714</v>
      </c>
      <c r="B25" s="507" t="s">
        <v>61</v>
      </c>
      <c r="C25" s="508"/>
      <c r="D25" s="508"/>
      <c r="E25" s="508"/>
      <c r="F25" s="508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6">
        <f t="shared" si="3"/>
        <v>28237754.950000003</v>
      </c>
      <c r="T25" s="371">
        <f t="shared" si="4"/>
        <v>5.7034447485356504E-3</v>
      </c>
      <c r="W25" s="292"/>
    </row>
    <row r="26" spans="1:25">
      <c r="A26" s="150">
        <v>715</v>
      </c>
      <c r="B26" s="507" t="s">
        <v>81</v>
      </c>
      <c r="C26" s="508"/>
      <c r="D26" s="508"/>
      <c r="E26" s="508"/>
      <c r="F26" s="508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6">
        <f t="shared" si="3"/>
        <v>75820963.530000001</v>
      </c>
      <c r="T26" s="371">
        <f t="shared" si="4"/>
        <v>1.5314272577257121E-2</v>
      </c>
      <c r="W26" s="311"/>
    </row>
    <row r="27" spans="1:25">
      <c r="A27" s="150">
        <v>73</v>
      </c>
      <c r="B27" s="507" t="s">
        <v>99</v>
      </c>
      <c r="C27" s="508"/>
      <c r="D27" s="508"/>
      <c r="E27" s="508"/>
      <c r="F27" s="508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6">
        <f t="shared" si="3"/>
        <v>8269563.3099999996</v>
      </c>
      <c r="T27" s="371">
        <f t="shared" si="4"/>
        <v>1.6702814199151686E-3</v>
      </c>
    </row>
    <row r="28" spans="1:25" ht="13.5" thickBot="1">
      <c r="A28" s="150">
        <v>74</v>
      </c>
      <c r="B28" s="511" t="s">
        <v>105</v>
      </c>
      <c r="C28" s="512"/>
      <c r="D28" s="512"/>
      <c r="E28" s="512"/>
      <c r="F28" s="512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6">
        <f t="shared" si="3"/>
        <v>38208325.869999997</v>
      </c>
      <c r="T28" s="372">
        <f t="shared" si="4"/>
        <v>7.7172946616845079E-3</v>
      </c>
    </row>
    <row r="29" spans="1:25" ht="13.5" thickBot="1">
      <c r="A29" s="150">
        <v>4</v>
      </c>
      <c r="B29" s="513" t="s">
        <v>802</v>
      </c>
      <c r="C29" s="514"/>
      <c r="D29" s="514"/>
      <c r="E29" s="514"/>
      <c r="F29" s="514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si="3"/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15" t="s">
        <v>120</v>
      </c>
      <c r="C30" s="516"/>
      <c r="D30" s="516"/>
      <c r="E30" s="516"/>
      <c r="F30" s="516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8">
        <f t="shared" si="3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05" t="s">
        <v>122</v>
      </c>
      <c r="C31" s="506"/>
      <c r="D31" s="506"/>
      <c r="E31" s="506"/>
      <c r="F31" s="506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05" t="s">
        <v>133</v>
      </c>
      <c r="C32" s="506"/>
      <c r="D32" s="506"/>
      <c r="E32" s="506"/>
      <c r="F32" s="506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3"/>
        <v>15228326.93</v>
      </c>
      <c r="T32" s="370">
        <f t="shared" si="4"/>
        <v>3.0758083074126437E-3</v>
      </c>
    </row>
    <row r="33" spans="1:23">
      <c r="A33" s="150">
        <v>413</v>
      </c>
      <c r="B33" s="505" t="s">
        <v>148</v>
      </c>
      <c r="C33" s="506"/>
      <c r="D33" s="506"/>
      <c r="E33" s="506"/>
      <c r="F33" s="506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3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05" t="s">
        <v>162</v>
      </c>
      <c r="C34" s="506"/>
      <c r="D34" s="506"/>
      <c r="E34" s="506"/>
      <c r="F34" s="506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3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554" t="s">
        <v>182</v>
      </c>
      <c r="C35" s="555"/>
      <c r="D35" s="555"/>
      <c r="E35" s="555"/>
      <c r="F35" s="555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3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05" t="s">
        <v>190</v>
      </c>
      <c r="C36" s="506"/>
      <c r="D36" s="506"/>
      <c r="E36" s="506"/>
      <c r="F36" s="506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3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05" t="s">
        <v>196</v>
      </c>
      <c r="C37" s="506"/>
      <c r="D37" s="506"/>
      <c r="E37" s="506"/>
      <c r="F37" s="506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05" t="s">
        <v>204</v>
      </c>
      <c r="C38" s="506"/>
      <c r="D38" s="506"/>
      <c r="E38" s="506"/>
      <c r="F38" s="506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3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05" t="s">
        <v>212</v>
      </c>
      <c r="C39" s="506"/>
      <c r="D39" s="506"/>
      <c r="E39" s="506"/>
      <c r="F39" s="506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3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21" t="s">
        <v>230</v>
      </c>
      <c r="C40" s="522"/>
      <c r="D40" s="522"/>
      <c r="E40" s="522"/>
      <c r="F40" s="522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6">
        <f t="shared" si="3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05" t="s">
        <v>232</v>
      </c>
      <c r="C41" s="506"/>
      <c r="D41" s="506"/>
      <c r="E41" s="506"/>
      <c r="F41" s="506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3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05" t="s">
        <v>248</v>
      </c>
      <c r="C42" s="506"/>
      <c r="D42" s="506"/>
      <c r="E42" s="506"/>
      <c r="F42" s="506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3"/>
        <v>20398152.109999999</v>
      </c>
      <c r="T42" s="370">
        <f t="shared" si="4"/>
        <v>4.1200064855584726E-3</v>
      </c>
    </row>
    <row r="43" spans="1:23">
      <c r="A43" s="150">
        <v>423</v>
      </c>
      <c r="B43" s="505" t="s">
        <v>259</v>
      </c>
      <c r="C43" s="506"/>
      <c r="D43" s="506"/>
      <c r="E43" s="506"/>
      <c r="F43" s="506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3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05" t="s">
        <v>274</v>
      </c>
      <c r="C44" s="506"/>
      <c r="D44" s="506"/>
      <c r="E44" s="506"/>
      <c r="F44" s="506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3"/>
        <v>21699290.620000005</v>
      </c>
      <c r="T44" s="370">
        <f t="shared" si="4"/>
        <v>4.3828096586548178E-3</v>
      </c>
    </row>
    <row r="45" spans="1:23">
      <c r="A45" s="360">
        <v>425</v>
      </c>
      <c r="B45" s="505" t="s">
        <v>278</v>
      </c>
      <c r="C45" s="506"/>
      <c r="D45" s="506"/>
      <c r="E45" s="506"/>
      <c r="F45" s="506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3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19" t="s">
        <v>286</v>
      </c>
      <c r="C46" s="520"/>
      <c r="D46" s="520"/>
      <c r="E46" s="520"/>
      <c r="F46" s="520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3"/>
        <v>219689949.60999998</v>
      </c>
      <c r="T46" s="371">
        <f t="shared" si="4"/>
        <v>4.4372843791153298E-2</v>
      </c>
    </row>
    <row r="47" spans="1:23">
      <c r="A47" s="150">
        <v>44</v>
      </c>
      <c r="B47" s="519" t="s">
        <v>320</v>
      </c>
      <c r="C47" s="520"/>
      <c r="D47" s="520"/>
      <c r="E47" s="520"/>
      <c r="F47" s="520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3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558" t="s">
        <v>113</v>
      </c>
      <c r="C48" s="559"/>
      <c r="D48" s="559"/>
      <c r="E48" s="559"/>
      <c r="F48" s="559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3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63" t="s">
        <v>366</v>
      </c>
      <c r="C49" s="564"/>
      <c r="D49" s="564"/>
      <c r="E49" s="564"/>
      <c r="F49" s="564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3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25" t="s">
        <v>359</v>
      </c>
      <c r="C50" s="526"/>
      <c r="D50" s="526"/>
      <c r="E50" s="526"/>
      <c r="F50" s="526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3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65" t="s">
        <v>795</v>
      </c>
      <c r="C51" s="566"/>
      <c r="D51" s="566"/>
      <c r="E51" s="566"/>
      <c r="F51" s="566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567" t="s">
        <v>685</v>
      </c>
      <c r="C52" s="568"/>
      <c r="D52" s="568"/>
      <c r="E52" s="568"/>
      <c r="F52" s="568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27" t="s">
        <v>545</v>
      </c>
      <c r="C53" s="528"/>
      <c r="D53" s="528"/>
      <c r="E53" s="528"/>
      <c r="F53" s="528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2">
        <f t="shared" si="3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29" t="s">
        <v>793</v>
      </c>
      <c r="C54" s="530"/>
      <c r="D54" s="530"/>
      <c r="E54" s="530"/>
      <c r="F54" s="530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2">
        <f t="shared" si="3"/>
        <v>-37480382.479999945</v>
      </c>
      <c r="T54" s="377">
        <f t="shared" si="4"/>
        <v>-7.5702650939204093E-3</v>
      </c>
    </row>
    <row r="55" spans="1:22">
      <c r="A55" s="144">
        <v>46</v>
      </c>
      <c r="B55" s="551" t="s">
        <v>352</v>
      </c>
      <c r="C55" s="552"/>
      <c r="D55" s="552"/>
      <c r="E55" s="552"/>
      <c r="F55" s="552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3">
        <f t="shared" si="3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47" t="s">
        <v>355</v>
      </c>
      <c r="C56" s="548"/>
      <c r="D56" s="548"/>
      <c r="E56" s="548"/>
      <c r="F56" s="548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3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23" t="s">
        <v>357</v>
      </c>
      <c r="C57" s="524"/>
      <c r="D57" s="524"/>
      <c r="E57" s="524"/>
      <c r="F57" s="524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3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07" t="s">
        <v>336</v>
      </c>
      <c r="C58" s="608"/>
      <c r="D58" s="608"/>
      <c r="E58" s="608"/>
      <c r="F58" s="608"/>
      <c r="G58" s="497">
        <f>DataEx!FF167</f>
        <v>0</v>
      </c>
      <c r="H58" s="497">
        <f>DataEx!FG167</f>
        <v>35272.089999999997</v>
      </c>
      <c r="I58" s="497">
        <f>DataEx!FH167</f>
        <v>0</v>
      </c>
      <c r="J58" s="497">
        <f>DataEx!FI167</f>
        <v>39948396.369999997</v>
      </c>
      <c r="K58" s="497">
        <f>DataEx!FJ167</f>
        <v>0</v>
      </c>
      <c r="L58" s="497">
        <f>DataEx!FK167</f>
        <v>0</v>
      </c>
      <c r="M58" s="497">
        <f>DataEx!FL167</f>
        <v>0</v>
      </c>
      <c r="N58" s="497">
        <f>DataEx!FM167</f>
        <v>0</v>
      </c>
      <c r="O58" s="497">
        <f>DataEx!FN167</f>
        <v>0</v>
      </c>
      <c r="P58" s="497">
        <f>DataEx!FO167</f>
        <v>0</v>
      </c>
      <c r="Q58" s="497">
        <f>DataEx!FP167</f>
        <v>14495201.140000001</v>
      </c>
      <c r="R58" s="497">
        <f>DataEx!FQ167</f>
        <v>2849828.78</v>
      </c>
      <c r="S58" s="498">
        <f>SUM(G58:R58)</f>
        <v>57328698.380000003</v>
      </c>
      <c r="T58" s="499">
        <f>+S58/$T$7</f>
        <v>1.1579215992728742E-2</v>
      </c>
      <c r="V58" s="318"/>
    </row>
    <row r="59" spans="1:22" ht="13.5" thickBot="1">
      <c r="A59" s="144">
        <v>1002</v>
      </c>
      <c r="B59" s="549" t="s">
        <v>543</v>
      </c>
      <c r="C59" s="550"/>
      <c r="D59" s="550"/>
      <c r="E59" s="550"/>
      <c r="F59" s="550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5">
        <f t="shared" si="3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13" t="s">
        <v>544</v>
      </c>
      <c r="C60" s="514"/>
      <c r="D60" s="514"/>
      <c r="E60" s="514"/>
      <c r="F60" s="514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6">
        <f t="shared" si="3"/>
        <v>707953674.79999995</v>
      </c>
      <c r="T60" s="381">
        <f t="shared" si="4"/>
        <v>0.14299205711977378</v>
      </c>
    </row>
    <row r="61" spans="1:22">
      <c r="A61" s="144">
        <v>7511</v>
      </c>
      <c r="B61" s="547" t="s">
        <v>114</v>
      </c>
      <c r="C61" s="548"/>
      <c r="D61" s="548"/>
      <c r="E61" s="548"/>
      <c r="F61" s="548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3"/>
        <v>363438000</v>
      </c>
      <c r="T61" s="379">
        <f t="shared" si="4"/>
        <v>7.3406988487174307E-2</v>
      </c>
    </row>
    <row r="62" spans="1:22">
      <c r="A62" s="144">
        <v>7512</v>
      </c>
      <c r="B62" s="523" t="s">
        <v>116</v>
      </c>
      <c r="C62" s="524"/>
      <c r="D62" s="524"/>
      <c r="E62" s="524"/>
      <c r="F62" s="524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3"/>
        <v>651580293.42999995</v>
      </c>
      <c r="T62" s="379">
        <f t="shared" si="4"/>
        <v>0.13160579548172086</v>
      </c>
    </row>
    <row r="63" spans="1:22">
      <c r="A63" s="144">
        <v>72</v>
      </c>
      <c r="B63" s="523" t="s">
        <v>93</v>
      </c>
      <c r="C63" s="524"/>
      <c r="D63" s="524"/>
      <c r="E63" s="524"/>
      <c r="F63" s="524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3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75" t="s">
        <v>552</v>
      </c>
      <c r="C100" s="576"/>
      <c r="D100" s="576"/>
      <c r="E100" s="576"/>
      <c r="F100" s="576"/>
      <c r="G100" s="560">
        <v>2019</v>
      </c>
      <c r="H100" s="561"/>
      <c r="I100" s="561"/>
      <c r="J100" s="561"/>
      <c r="K100" s="561"/>
      <c r="L100" s="561"/>
      <c r="M100" s="561"/>
      <c r="N100" s="561"/>
      <c r="O100" s="561"/>
      <c r="P100" s="561"/>
      <c r="Q100" s="561"/>
      <c r="R100" s="562"/>
      <c r="S100" s="107" t="str">
        <f>+S7</f>
        <v>BDP</v>
      </c>
      <c r="T100" s="108">
        <f>+T7</f>
        <v>4951000000</v>
      </c>
    </row>
    <row r="101" spans="1:21" ht="15.75" customHeight="1">
      <c r="B101" s="577"/>
      <c r="C101" s="578"/>
      <c r="D101" s="578"/>
      <c r="E101" s="578"/>
      <c r="F101" s="57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60" t="s">
        <v>809</v>
      </c>
      <c r="T101" s="562">
        <f>+T8</f>
        <v>0</v>
      </c>
    </row>
    <row r="102" spans="1:21" ht="13.5" thickBot="1">
      <c r="B102" s="580"/>
      <c r="C102" s="581"/>
      <c r="D102" s="581"/>
      <c r="E102" s="581"/>
      <c r="F102" s="58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69" t="s">
        <v>681</v>
      </c>
      <c r="C103" s="570"/>
      <c r="D103" s="570"/>
      <c r="E103" s="570"/>
      <c r="F103" s="570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6"/>
        <v>711p</v>
      </c>
      <c r="B104" s="571" t="s">
        <v>21</v>
      </c>
      <c r="C104" s="572"/>
      <c r="D104" s="572"/>
      <c r="E104" s="572"/>
      <c r="F104" s="572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399">
        <f t="shared" ref="S104:S159" si="19">+SUM(G104:R104)</f>
        <v>1122669950.9867301</v>
      </c>
      <c r="T104" s="412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3" t="s">
        <v>23</v>
      </c>
      <c r="C105" s="574"/>
      <c r="D105" s="574"/>
      <c r="E105" s="574"/>
      <c r="F105" s="574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19"/>
        <v>120237518.04497004</v>
      </c>
      <c r="T105" s="413">
        <f t="shared" si="20"/>
        <v>2.4285501523928506E-2</v>
      </c>
    </row>
    <row r="106" spans="1:21">
      <c r="A106" s="116" t="str">
        <f t="shared" si="16"/>
        <v>7112p</v>
      </c>
      <c r="B106" s="573" t="s">
        <v>25</v>
      </c>
      <c r="C106" s="574"/>
      <c r="D106" s="574"/>
      <c r="E106" s="574"/>
      <c r="F106" s="574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19"/>
        <v>71194860.131909981</v>
      </c>
      <c r="T106" s="413">
        <f t="shared" si="20"/>
        <v>1.4379894997356086E-2</v>
      </c>
    </row>
    <row r="107" spans="1:21">
      <c r="A107" s="116" t="str">
        <f t="shared" si="16"/>
        <v>7113p</v>
      </c>
      <c r="B107" s="573" t="s">
        <v>27</v>
      </c>
      <c r="C107" s="574"/>
      <c r="D107" s="574"/>
      <c r="E107" s="574"/>
      <c r="F107" s="574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19"/>
        <v>1862816.4104000002</v>
      </c>
      <c r="T107" s="413">
        <f t="shared" si="20"/>
        <v>3.7625053734599074E-4</v>
      </c>
    </row>
    <row r="108" spans="1:21">
      <c r="A108" s="116" t="str">
        <f t="shared" si="16"/>
        <v>7114p</v>
      </c>
      <c r="B108" s="573" t="s">
        <v>29</v>
      </c>
      <c r="C108" s="574"/>
      <c r="D108" s="574"/>
      <c r="E108" s="574"/>
      <c r="F108" s="574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19"/>
        <v>657905657.67184997</v>
      </c>
      <c r="T108" s="413">
        <f t="shared" si="20"/>
        <v>0.1328833887440618</v>
      </c>
    </row>
    <row r="109" spans="1:21">
      <c r="A109" s="116" t="str">
        <f t="shared" si="16"/>
        <v>7115p</v>
      </c>
      <c r="B109" s="573" t="s">
        <v>31</v>
      </c>
      <c r="C109" s="574"/>
      <c r="D109" s="574"/>
      <c r="E109" s="574"/>
      <c r="F109" s="574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19"/>
        <v>234801605.29820004</v>
      </c>
      <c r="T109" s="413">
        <f t="shared" si="20"/>
        <v>4.7425086911371449E-2</v>
      </c>
    </row>
    <row r="110" spans="1:21">
      <c r="A110" s="116" t="str">
        <f t="shared" si="16"/>
        <v>7116p</v>
      </c>
      <c r="B110" s="573" t="s">
        <v>33</v>
      </c>
      <c r="C110" s="574"/>
      <c r="D110" s="574"/>
      <c r="E110" s="574"/>
      <c r="F110" s="574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19"/>
        <v>27167589.829800002</v>
      </c>
      <c r="T110" s="413">
        <f t="shared" si="20"/>
        <v>5.4872934416885484E-3</v>
      </c>
    </row>
    <row r="111" spans="1:21">
      <c r="A111" s="116" t="str">
        <f t="shared" si="16"/>
        <v>7118p</v>
      </c>
      <c r="B111" s="573" t="s">
        <v>722</v>
      </c>
      <c r="C111" s="574"/>
      <c r="D111" s="574"/>
      <c r="E111" s="574"/>
      <c r="F111" s="574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19"/>
        <v>9499903.5996000003</v>
      </c>
      <c r="T111" s="413">
        <f t="shared" si="20"/>
        <v>1.918784811068471E-3</v>
      </c>
    </row>
    <row r="112" spans="1:21">
      <c r="A112" s="116" t="str">
        <f t="shared" si="16"/>
        <v>712p</v>
      </c>
      <c r="B112" s="585" t="s">
        <v>37</v>
      </c>
      <c r="C112" s="586"/>
      <c r="D112" s="586"/>
      <c r="E112" s="586"/>
      <c r="F112" s="586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1">
        <f t="shared" si="19"/>
        <v>534213514.07533062</v>
      </c>
      <c r="T112" s="414">
        <f t="shared" si="20"/>
        <v>0.10790012403056566</v>
      </c>
    </row>
    <row r="113" spans="1:20">
      <c r="A113" s="116" t="str">
        <f t="shared" si="16"/>
        <v>7121p</v>
      </c>
      <c r="B113" s="573" t="s">
        <v>39</v>
      </c>
      <c r="C113" s="574"/>
      <c r="D113" s="574"/>
      <c r="E113" s="574"/>
      <c r="F113" s="574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19"/>
        <v>327876749.17454183</v>
      </c>
      <c r="T113" s="413">
        <f t="shared" si="20"/>
        <v>6.6224348449715573E-2</v>
      </c>
    </row>
    <row r="114" spans="1:20">
      <c r="A114" s="116" t="str">
        <f t="shared" si="16"/>
        <v>7122p</v>
      </c>
      <c r="B114" s="573" t="s">
        <v>41</v>
      </c>
      <c r="C114" s="574"/>
      <c r="D114" s="574"/>
      <c r="E114" s="574"/>
      <c r="F114" s="574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19"/>
        <v>178851341.72447601</v>
      </c>
      <c r="T114" s="413">
        <f t="shared" si="20"/>
        <v>3.6124286351136341E-2</v>
      </c>
    </row>
    <row r="115" spans="1:20">
      <c r="A115" s="116" t="str">
        <f t="shared" si="16"/>
        <v>7123p</v>
      </c>
      <c r="B115" s="573" t="s">
        <v>43</v>
      </c>
      <c r="C115" s="574"/>
      <c r="D115" s="574"/>
      <c r="E115" s="574"/>
      <c r="F115" s="574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19"/>
        <v>14950709.439620741</v>
      </c>
      <c r="T115" s="413">
        <f t="shared" si="20"/>
        <v>3.0197352938034216E-3</v>
      </c>
    </row>
    <row r="116" spans="1:20">
      <c r="A116" s="116" t="str">
        <f t="shared" si="16"/>
        <v>7124p</v>
      </c>
      <c r="B116" s="573" t="s">
        <v>45</v>
      </c>
      <c r="C116" s="574"/>
      <c r="D116" s="574"/>
      <c r="E116" s="574"/>
      <c r="F116" s="574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19"/>
        <v>12534713.736692008</v>
      </c>
      <c r="T116" s="413">
        <f t="shared" si="20"/>
        <v>2.5317539359103226E-3</v>
      </c>
    </row>
    <row r="117" spans="1:20">
      <c r="A117" s="116" t="str">
        <f t="shared" si="16"/>
        <v>713p</v>
      </c>
      <c r="B117" s="583" t="s">
        <v>47</v>
      </c>
      <c r="C117" s="584"/>
      <c r="D117" s="584"/>
      <c r="E117" s="584"/>
      <c r="F117" s="584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19"/>
        <v>15318488.925500004</v>
      </c>
      <c r="T117" s="414">
        <f t="shared" si="20"/>
        <v>3.0940191729953554E-3</v>
      </c>
    </row>
    <row r="118" spans="1:20">
      <c r="A118" s="116" t="str">
        <f t="shared" si="16"/>
        <v>714p</v>
      </c>
      <c r="B118" s="583" t="s">
        <v>61</v>
      </c>
      <c r="C118" s="584"/>
      <c r="D118" s="584"/>
      <c r="E118" s="584"/>
      <c r="F118" s="584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19"/>
        <v>31390844.861600004</v>
      </c>
      <c r="T118" s="414">
        <f t="shared" si="20"/>
        <v>6.3403039510401948E-3</v>
      </c>
    </row>
    <row r="119" spans="1:20">
      <c r="A119" s="116" t="str">
        <f t="shared" si="16"/>
        <v>715p</v>
      </c>
      <c r="B119" s="583" t="s">
        <v>81</v>
      </c>
      <c r="C119" s="584"/>
      <c r="D119" s="584"/>
      <c r="E119" s="584"/>
      <c r="F119" s="584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19"/>
        <v>77448450.912399963</v>
      </c>
      <c r="T119" s="414">
        <f t="shared" si="20"/>
        <v>1.5642991499171876E-2</v>
      </c>
    </row>
    <row r="120" spans="1:20">
      <c r="A120" s="116" t="str">
        <f t="shared" si="16"/>
        <v>73p</v>
      </c>
      <c r="B120" s="583" t="s">
        <v>99</v>
      </c>
      <c r="C120" s="584"/>
      <c r="D120" s="584"/>
      <c r="E120" s="584"/>
      <c r="F120" s="584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19"/>
        <v>8511664.0019999985</v>
      </c>
      <c r="T120" s="414">
        <f t="shared" si="20"/>
        <v>1.7191807719652591E-3</v>
      </c>
    </row>
    <row r="121" spans="1:20" ht="13.5" thickBot="1">
      <c r="A121" s="116" t="str">
        <f t="shared" si="16"/>
        <v>74p</v>
      </c>
      <c r="B121" s="587" t="s">
        <v>105</v>
      </c>
      <c r="C121" s="588"/>
      <c r="D121" s="588"/>
      <c r="E121" s="588"/>
      <c r="F121" s="588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19"/>
        <v>44480000</v>
      </c>
      <c r="T121" s="415">
        <f t="shared" si="20"/>
        <v>8.98404362754999E-3</v>
      </c>
    </row>
    <row r="122" spans="1:20" ht="13.5" thickBot="1">
      <c r="A122" s="116" t="str">
        <f t="shared" si="16"/>
        <v>4p</v>
      </c>
      <c r="B122" s="589" t="s">
        <v>811</v>
      </c>
      <c r="C122" s="590"/>
      <c r="D122" s="590"/>
      <c r="E122" s="590"/>
      <c r="F122" s="590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3">
        <f>+SUM(G122:R122)</f>
        <v>1976630978.4000001</v>
      </c>
      <c r="T122" s="416">
        <f t="shared" si="20"/>
        <v>0.39923873528580089</v>
      </c>
    </row>
    <row r="123" spans="1:20" ht="13.5" thickBot="1">
      <c r="A123" s="116" t="str">
        <f t="shared" si="16"/>
        <v>40p</v>
      </c>
      <c r="B123" s="609" t="s">
        <v>774</v>
      </c>
      <c r="C123" s="610"/>
      <c r="D123" s="610"/>
      <c r="E123" s="610"/>
      <c r="F123" s="610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4">
        <f t="shared" si="19"/>
        <v>1680705978.4000001</v>
      </c>
      <c r="T123" s="417">
        <f t="shared" si="20"/>
        <v>0.33946798190264593</v>
      </c>
    </row>
    <row r="124" spans="1:20">
      <c r="A124" s="116" t="e">
        <f>+CONCATENATE(#REF!,"p")</f>
        <v>#REF!</v>
      </c>
      <c r="B124" s="591" t="e">
        <v>#REF!</v>
      </c>
      <c r="C124" s="592"/>
      <c r="D124" s="592"/>
      <c r="E124" s="592"/>
      <c r="F124" s="592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399">
        <f t="shared" si="19"/>
        <v>846670934.61000013</v>
      </c>
      <c r="T124" s="412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3" t="s">
        <v>122</v>
      </c>
      <c r="C125" s="574"/>
      <c r="D125" s="574"/>
      <c r="E125" s="574"/>
      <c r="F125" s="574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19"/>
        <v>472054247.1500001</v>
      </c>
      <c r="T125" s="413">
        <f t="shared" si="20"/>
        <v>9.5345232710563541E-2</v>
      </c>
    </row>
    <row r="126" spans="1:20">
      <c r="A126" s="116" t="str">
        <f t="shared" si="25"/>
        <v>412p</v>
      </c>
      <c r="B126" s="573" t="s">
        <v>133</v>
      </c>
      <c r="C126" s="574"/>
      <c r="D126" s="574"/>
      <c r="E126" s="574"/>
      <c r="F126" s="574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19"/>
        <v>15077125.449999996</v>
      </c>
      <c r="T126" s="413">
        <f t="shared" si="20"/>
        <v>3.0452687234902029E-3</v>
      </c>
    </row>
    <row r="127" spans="1:20">
      <c r="A127" s="116" t="str">
        <f t="shared" si="25"/>
        <v>413p</v>
      </c>
      <c r="B127" s="573" t="s">
        <v>148</v>
      </c>
      <c r="C127" s="574"/>
      <c r="D127" s="574"/>
      <c r="E127" s="574"/>
      <c r="F127" s="574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19"/>
        <v>36652827.660000004</v>
      </c>
      <c r="T127" s="413">
        <f t="shared" si="20"/>
        <v>7.4031160694809136E-3</v>
      </c>
    </row>
    <row r="128" spans="1:20">
      <c r="A128" s="116" t="str">
        <f t="shared" si="25"/>
        <v>414p</v>
      </c>
      <c r="B128" s="573" t="s">
        <v>162</v>
      </c>
      <c r="C128" s="574"/>
      <c r="D128" s="574"/>
      <c r="E128" s="574"/>
      <c r="F128" s="574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19"/>
        <v>63127045.969999991</v>
      </c>
      <c r="T128" s="413">
        <f t="shared" si="20"/>
        <v>1.2750362748939606E-2</v>
      </c>
    </row>
    <row r="129" spans="1:20">
      <c r="A129" s="116" t="str">
        <f t="shared" si="25"/>
        <v>415p</v>
      </c>
      <c r="B129" s="573" t="s">
        <v>182</v>
      </c>
      <c r="C129" s="574"/>
      <c r="D129" s="574"/>
      <c r="E129" s="574"/>
      <c r="F129" s="574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19"/>
        <v>23117903.600000001</v>
      </c>
      <c r="T129" s="413">
        <f t="shared" si="20"/>
        <v>4.6693402544940423E-3</v>
      </c>
    </row>
    <row r="130" spans="1:20">
      <c r="A130" s="116" t="str">
        <f t="shared" si="25"/>
        <v>416p</v>
      </c>
      <c r="B130" s="573" t="s">
        <v>190</v>
      </c>
      <c r="C130" s="574"/>
      <c r="D130" s="574"/>
      <c r="E130" s="574"/>
      <c r="F130" s="574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19"/>
        <v>95752699.999999985</v>
      </c>
      <c r="T130" s="413">
        <f t="shared" si="20"/>
        <v>1.9340072712583315E-2</v>
      </c>
    </row>
    <row r="131" spans="1:20">
      <c r="A131" s="116" t="str">
        <f t="shared" si="25"/>
        <v>417p</v>
      </c>
      <c r="B131" s="573" t="s">
        <v>196</v>
      </c>
      <c r="C131" s="574"/>
      <c r="D131" s="574"/>
      <c r="E131" s="574"/>
      <c r="F131" s="574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19"/>
        <v>9821101.7599999998</v>
      </c>
      <c r="T131" s="413">
        <f t="shared" si="20"/>
        <v>1.9836602221773377E-3</v>
      </c>
    </row>
    <row r="132" spans="1:20">
      <c r="A132" s="116" t="str">
        <f t="shared" si="25"/>
        <v>418p</v>
      </c>
      <c r="B132" s="573" t="s">
        <v>204</v>
      </c>
      <c r="C132" s="574"/>
      <c r="D132" s="574"/>
      <c r="E132" s="574"/>
      <c r="F132" s="574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19"/>
        <v>30814599.999999993</v>
      </c>
      <c r="T132" s="413">
        <f t="shared" si="20"/>
        <v>6.2239143607352035E-3</v>
      </c>
    </row>
    <row r="133" spans="1:20">
      <c r="A133" s="116" t="str">
        <f t="shared" si="25"/>
        <v>419p</v>
      </c>
      <c r="B133" s="573" t="s">
        <v>212</v>
      </c>
      <c r="C133" s="574"/>
      <c r="D133" s="574"/>
      <c r="E133" s="574"/>
      <c r="F133" s="574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19"/>
        <v>41196323.400000006</v>
      </c>
      <c r="T133" s="413">
        <f t="shared" si="20"/>
        <v>8.3208086043223602E-3</v>
      </c>
    </row>
    <row r="134" spans="1:20">
      <c r="A134" s="116" t="e">
        <f>+CONCATENATE(#REF!,"p")</f>
        <v>#REF!</v>
      </c>
      <c r="B134" s="573" t="e">
        <v>#REF!</v>
      </c>
      <c r="C134" s="574"/>
      <c r="D134" s="574"/>
      <c r="E134" s="574"/>
      <c r="F134" s="574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19"/>
        <v>59057059.620000012</v>
      </c>
      <c r="T134" s="413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97" t="s">
        <v>230</v>
      </c>
      <c r="C135" s="598"/>
      <c r="D135" s="598"/>
      <c r="E135" s="598"/>
      <c r="F135" s="598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1">
        <f t="shared" si="19"/>
        <v>557842584.41999996</v>
      </c>
      <c r="T135" s="414">
        <f t="shared" si="20"/>
        <v>0.11267270943647748</v>
      </c>
    </row>
    <row r="136" spans="1:20">
      <c r="A136" s="116" t="str">
        <f t="shared" si="26"/>
        <v>421p</v>
      </c>
      <c r="B136" s="573" t="s">
        <v>232</v>
      </c>
      <c r="C136" s="574"/>
      <c r="D136" s="574"/>
      <c r="E136" s="574"/>
      <c r="F136" s="574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19"/>
        <v>80990000.000000015</v>
      </c>
      <c r="T136" s="413">
        <f t="shared" si="20"/>
        <v>1.6358311452231874E-2</v>
      </c>
    </row>
    <row r="137" spans="1:20">
      <c r="A137" s="116" t="str">
        <f t="shared" si="26"/>
        <v>422p</v>
      </c>
      <c r="B137" s="573" t="s">
        <v>248</v>
      </c>
      <c r="C137" s="574"/>
      <c r="D137" s="574"/>
      <c r="E137" s="574"/>
      <c r="F137" s="574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19"/>
        <v>18202468.969999999</v>
      </c>
      <c r="T137" s="413">
        <f t="shared" si="20"/>
        <v>3.6765237265198947E-3</v>
      </c>
    </row>
    <row r="138" spans="1:20">
      <c r="A138" s="116" t="str">
        <f t="shared" si="26"/>
        <v>423p</v>
      </c>
      <c r="B138" s="573" t="s">
        <v>259</v>
      </c>
      <c r="C138" s="574"/>
      <c r="D138" s="574"/>
      <c r="E138" s="574"/>
      <c r="F138" s="574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19"/>
        <v>429025014.44999993</v>
      </c>
      <c r="T138" s="413">
        <f t="shared" si="20"/>
        <v>8.6654214189052697E-2</v>
      </c>
    </row>
    <row r="139" spans="1:20">
      <c r="A139" s="116" t="str">
        <f t="shared" si="26"/>
        <v>424p</v>
      </c>
      <c r="B139" s="573" t="s">
        <v>274</v>
      </c>
      <c r="C139" s="574"/>
      <c r="D139" s="574"/>
      <c r="E139" s="574"/>
      <c r="F139" s="574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19"/>
        <v>19000100</v>
      </c>
      <c r="T139" s="413">
        <f t="shared" si="20"/>
        <v>3.8376287618662897E-3</v>
      </c>
    </row>
    <row r="140" spans="1:20">
      <c r="A140" s="116" t="str">
        <f t="shared" si="26"/>
        <v>425p</v>
      </c>
      <c r="B140" s="573" t="s">
        <v>278</v>
      </c>
      <c r="C140" s="574"/>
      <c r="D140" s="574"/>
      <c r="E140" s="574"/>
      <c r="F140" s="574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19"/>
        <v>10625001</v>
      </c>
      <c r="T140" s="413">
        <f t="shared" si="20"/>
        <v>2.1460313068067055E-3</v>
      </c>
    </row>
    <row r="141" spans="1:20">
      <c r="A141" s="116" t="str">
        <f t="shared" si="26"/>
        <v>43p</v>
      </c>
      <c r="B141" s="593" t="s">
        <v>286</v>
      </c>
      <c r="C141" s="594"/>
      <c r="D141" s="594"/>
      <c r="E141" s="594"/>
      <c r="F141" s="594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0"/>
        <v>4.4626901022015754E-2</v>
      </c>
    </row>
    <row r="142" spans="1:20">
      <c r="A142" s="116" t="str">
        <f t="shared" si="26"/>
        <v>44p</v>
      </c>
      <c r="B142" s="593" t="s">
        <v>812</v>
      </c>
      <c r="C142" s="594"/>
      <c r="D142" s="594"/>
      <c r="E142" s="594"/>
      <c r="F142" s="594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19"/>
        <v>295925000</v>
      </c>
      <c r="T142" s="414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95" t="s">
        <v>113</v>
      </c>
      <c r="C143" s="596"/>
      <c r="D143" s="596"/>
      <c r="E143" s="596"/>
      <c r="F143" s="596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19"/>
        <v>2280000.9999999995</v>
      </c>
      <c r="T143" s="413">
        <f t="shared" si="20"/>
        <v>4.6051322965057553E-4</v>
      </c>
    </row>
    <row r="144" spans="1:20">
      <c r="A144" s="116" t="str">
        <f t="shared" si="28"/>
        <v>47p</v>
      </c>
      <c r="B144" s="595" t="s">
        <v>366</v>
      </c>
      <c r="C144" s="596"/>
      <c r="D144" s="596"/>
      <c r="E144" s="596"/>
      <c r="F144" s="596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19"/>
        <v>24999999.999999996</v>
      </c>
      <c r="T144" s="413">
        <f t="shared" si="20"/>
        <v>5.0494849525348409E-3</v>
      </c>
    </row>
    <row r="145" spans="1:20">
      <c r="A145" s="116" t="str">
        <f t="shared" si="28"/>
        <v>462p</v>
      </c>
      <c r="B145" s="595" t="s">
        <v>359</v>
      </c>
      <c r="C145" s="596"/>
      <c r="D145" s="596"/>
      <c r="E145" s="596"/>
      <c r="F145" s="596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19"/>
        <v>9434672.4100000001</v>
      </c>
      <c r="T145" s="413">
        <f t="shared" si="20"/>
        <v>1.9056094546556252E-3</v>
      </c>
    </row>
    <row r="146" spans="1:20">
      <c r="A146" s="117" t="str">
        <f>+CONCATENATE(A51,"p")</f>
        <v>4630p</v>
      </c>
      <c r="B146" s="595" t="s">
        <v>365</v>
      </c>
      <c r="C146" s="596"/>
      <c r="D146" s="596"/>
      <c r="E146" s="596"/>
      <c r="F146" s="596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11" t="s">
        <v>686</v>
      </c>
      <c r="C147" s="612"/>
      <c r="D147" s="612"/>
      <c r="E147" s="612"/>
      <c r="F147" s="612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0"/>
        <v>0</v>
      </c>
    </row>
    <row r="148" spans="1:20" ht="13.5" thickBot="1">
      <c r="A148" s="117" t="str">
        <f>+CONCATENATE(A53,"p")</f>
        <v>1000p</v>
      </c>
      <c r="B148" s="603" t="s">
        <v>545</v>
      </c>
      <c r="C148" s="604"/>
      <c r="D148" s="604"/>
      <c r="E148" s="604"/>
      <c r="F148" s="604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6">
        <f t="shared" si="19"/>
        <v>-142598064.63643947</v>
      </c>
      <c r="T148" s="419">
        <f t="shared" si="20"/>
        <v>-2.8801871265691673E-2</v>
      </c>
    </row>
    <row r="149" spans="1:20" ht="13.5" thickBot="1">
      <c r="A149" s="117" t="str">
        <f>+CONCATENATE(A54,"p")</f>
        <v>1001p</v>
      </c>
      <c r="B149" s="605" t="s">
        <v>813</v>
      </c>
      <c r="C149" s="606"/>
      <c r="D149" s="606"/>
      <c r="E149" s="606"/>
      <c r="F149" s="606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6">
        <f t="shared" si="19"/>
        <v>-46845364.63643948</v>
      </c>
      <c r="T149" s="419">
        <f t="shared" si="20"/>
        <v>-9.4617985531083582E-3</v>
      </c>
    </row>
    <row r="150" spans="1:20">
      <c r="A150" s="117" t="str">
        <f>+CONCATENATE(A55,"p")</f>
        <v>46p</v>
      </c>
      <c r="B150" s="597" t="s">
        <v>352</v>
      </c>
      <c r="C150" s="598"/>
      <c r="D150" s="598"/>
      <c r="E150" s="598"/>
      <c r="F150" s="598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7">
        <f t="shared" si="19"/>
        <v>373600000</v>
      </c>
      <c r="T150" s="420">
        <f t="shared" si="20"/>
        <v>7.5459503130680672E-2</v>
      </c>
    </row>
    <row r="151" spans="1:20">
      <c r="A151" s="117" t="str">
        <f>+CONCATENATE(A56,"p")</f>
        <v>4611p</v>
      </c>
      <c r="B151" s="601" t="s">
        <v>355</v>
      </c>
      <c r="C151" s="602"/>
      <c r="D151" s="602"/>
      <c r="E151" s="602"/>
      <c r="F151" s="602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19"/>
        <v>44100000.039999999</v>
      </c>
      <c r="T151" s="418">
        <f t="shared" si="20"/>
        <v>8.9072914643506355E-3</v>
      </c>
    </row>
    <row r="152" spans="1:20">
      <c r="A152" s="117" t="str">
        <f>+CONCATENATE(A57,"p")</f>
        <v>4612p</v>
      </c>
      <c r="B152" s="595" t="s">
        <v>357</v>
      </c>
      <c r="C152" s="596"/>
      <c r="D152" s="596"/>
      <c r="E152" s="596"/>
      <c r="F152" s="596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19"/>
        <v>329499999.95999998</v>
      </c>
      <c r="T152" s="418">
        <f t="shared" si="20"/>
        <v>6.6552211666330033E-2</v>
      </c>
    </row>
    <row r="153" spans="1:20" ht="13.5" thickBot="1">
      <c r="A153" s="117"/>
      <c r="B153" s="607" t="s">
        <v>336</v>
      </c>
      <c r="C153" s="608"/>
      <c r="D153" s="608"/>
      <c r="E153" s="608"/>
      <c r="F153" s="608"/>
      <c r="G153" s="494">
        <v>26666.67</v>
      </c>
      <c r="H153" s="494">
        <v>26666.67</v>
      </c>
      <c r="I153" s="494">
        <v>26666.67</v>
      </c>
      <c r="J153" s="494">
        <v>39926666.670000002</v>
      </c>
      <c r="K153" s="494">
        <v>26666.67</v>
      </c>
      <c r="L153" s="494">
        <v>26666.67</v>
      </c>
      <c r="M153" s="494">
        <v>26666.67</v>
      </c>
      <c r="N153" s="494">
        <v>26666.67</v>
      </c>
      <c r="O153" s="494">
        <v>26666.67</v>
      </c>
      <c r="P153" s="494">
        <v>26666.67</v>
      </c>
      <c r="Q153" s="494">
        <v>26666.67</v>
      </c>
      <c r="R153" s="494">
        <v>26666.63</v>
      </c>
      <c r="S153" s="495">
        <f t="shared" si="19"/>
        <v>40220000.000000015</v>
      </c>
      <c r="T153" s="496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99" t="s">
        <v>543</v>
      </c>
      <c r="C154" s="600"/>
      <c r="D154" s="600"/>
      <c r="E154" s="600"/>
      <c r="F154" s="600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8">
        <f t="shared" si="19"/>
        <v>-556418064.63643956</v>
      </c>
      <c r="T154" s="421">
        <f t="shared" si="20"/>
        <v>-0.11238498578801041</v>
      </c>
    </row>
    <row r="155" spans="1:20" ht="13.5" thickBot="1">
      <c r="A155" s="117" t="str">
        <f t="shared" si="32"/>
        <v>1003p</v>
      </c>
      <c r="B155" s="589" t="s">
        <v>544</v>
      </c>
      <c r="C155" s="590"/>
      <c r="D155" s="590"/>
      <c r="E155" s="590"/>
      <c r="F155" s="590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09">
        <f t="shared" si="19"/>
        <v>556418064.63643956</v>
      </c>
      <c r="T155" s="422">
        <f t="shared" si="20"/>
        <v>0.11238498578801041</v>
      </c>
    </row>
    <row r="156" spans="1:20">
      <c r="A156" s="117" t="str">
        <f t="shared" si="32"/>
        <v>7511p</v>
      </c>
      <c r="B156" s="601" t="s">
        <v>114</v>
      </c>
      <c r="C156" s="602"/>
      <c r="D156" s="602"/>
      <c r="E156" s="602"/>
      <c r="F156" s="602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19"/>
        <v>190000000</v>
      </c>
      <c r="T156" s="418">
        <f t="shared" si="20"/>
        <v>3.8376085639264798E-2</v>
      </c>
    </row>
    <row r="157" spans="1:20">
      <c r="A157" s="117" t="str">
        <f t="shared" si="32"/>
        <v>7512p</v>
      </c>
      <c r="B157" s="595" t="s">
        <v>116</v>
      </c>
      <c r="C157" s="596"/>
      <c r="D157" s="596"/>
      <c r="E157" s="596"/>
      <c r="F157" s="596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19"/>
        <v>180405268.74155378</v>
      </c>
      <c r="T157" s="418">
        <f t="shared" si="20"/>
        <v>3.6438147594739199E-2</v>
      </c>
    </row>
    <row r="158" spans="1:20">
      <c r="A158" s="117" t="str">
        <f t="shared" si="32"/>
        <v>72p</v>
      </c>
      <c r="B158" s="595" t="s">
        <v>93</v>
      </c>
      <c r="C158" s="596"/>
      <c r="D158" s="596"/>
      <c r="E158" s="596"/>
      <c r="F158" s="596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19"/>
        <v>6000000</v>
      </c>
      <c r="T158" s="418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0">
        <f t="shared" si="19"/>
        <v>180012795.89488566</v>
      </c>
      <c r="T159" s="423">
        <f t="shared" si="20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44" activePane="bottomLeft" state="frozen"/>
      <selection pane="bottomLeft" activeCell="P55" sqref="P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53" t="s">
        <v>554</v>
      </c>
      <c r="C7" s="534"/>
      <c r="D7" s="534"/>
      <c r="E7" s="534"/>
      <c r="F7" s="534"/>
      <c r="G7" s="542">
        <v>2018</v>
      </c>
      <c r="H7" s="543"/>
      <c r="I7" s="543"/>
      <c r="J7" s="543"/>
      <c r="K7" s="543"/>
      <c r="L7" s="543"/>
      <c r="M7" s="543"/>
      <c r="N7" s="543"/>
      <c r="O7" s="543"/>
      <c r="P7" s="543"/>
      <c r="Q7" s="543"/>
      <c r="R7" s="546"/>
      <c r="S7" s="235" t="s">
        <v>419</v>
      </c>
      <c r="T7" s="236">
        <v>4663130000</v>
      </c>
    </row>
    <row r="8" spans="1:20" ht="16.5" customHeight="1">
      <c r="A8" s="144"/>
      <c r="B8" s="535"/>
      <c r="C8" s="536"/>
      <c r="D8" s="536"/>
      <c r="E8" s="536"/>
      <c r="F8" s="537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42" t="s">
        <v>809</v>
      </c>
      <c r="T8" s="546"/>
    </row>
    <row r="9" spans="1:20" ht="13.5" thickBot="1">
      <c r="A9" s="144"/>
      <c r="B9" s="538"/>
      <c r="C9" s="539"/>
      <c r="D9" s="539"/>
      <c r="E9" s="539"/>
      <c r="F9" s="540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01" t="s">
        <v>681</v>
      </c>
      <c r="C10" s="502"/>
      <c r="D10" s="502"/>
      <c r="E10" s="502"/>
      <c r="F10" s="502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03" t="s">
        <v>21</v>
      </c>
      <c r="C11" s="504"/>
      <c r="D11" s="504"/>
      <c r="E11" s="504"/>
      <c r="F11" s="504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05" t="s">
        <v>23</v>
      </c>
      <c r="C12" s="506"/>
      <c r="D12" s="506"/>
      <c r="E12" s="506"/>
      <c r="F12" s="506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05" t="s">
        <v>25</v>
      </c>
      <c r="C13" s="506"/>
      <c r="D13" s="506"/>
      <c r="E13" s="506"/>
      <c r="F13" s="506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05" t="s">
        <v>27</v>
      </c>
      <c r="C14" s="506"/>
      <c r="D14" s="506"/>
      <c r="E14" s="506"/>
      <c r="F14" s="506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05" t="s">
        <v>29</v>
      </c>
      <c r="C15" s="506"/>
      <c r="D15" s="506"/>
      <c r="E15" s="506"/>
      <c r="F15" s="506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05" t="s">
        <v>31</v>
      </c>
      <c r="C16" s="506"/>
      <c r="D16" s="506"/>
      <c r="E16" s="506"/>
      <c r="F16" s="506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05" t="s">
        <v>33</v>
      </c>
      <c r="C17" s="506"/>
      <c r="D17" s="506"/>
      <c r="E17" s="506"/>
      <c r="F17" s="506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05" t="s">
        <v>722</v>
      </c>
      <c r="C18" s="506"/>
      <c r="D18" s="506"/>
      <c r="E18" s="506"/>
      <c r="F18" s="506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09" t="s">
        <v>37</v>
      </c>
      <c r="C19" s="510"/>
      <c r="D19" s="510"/>
      <c r="E19" s="510"/>
      <c r="F19" s="510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05" t="s">
        <v>39</v>
      </c>
      <c r="C20" s="506"/>
      <c r="D20" s="506"/>
      <c r="E20" s="506"/>
      <c r="F20" s="506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05" t="s">
        <v>41</v>
      </c>
      <c r="C21" s="506"/>
      <c r="D21" s="506"/>
      <c r="E21" s="506"/>
      <c r="F21" s="506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05" t="s">
        <v>43</v>
      </c>
      <c r="C22" s="506"/>
      <c r="D22" s="506"/>
      <c r="E22" s="506"/>
      <c r="F22" s="506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05" t="s">
        <v>45</v>
      </c>
      <c r="C23" s="506"/>
      <c r="D23" s="506"/>
      <c r="E23" s="506"/>
      <c r="F23" s="506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07" t="s">
        <v>47</v>
      </c>
      <c r="C24" s="508"/>
      <c r="D24" s="508"/>
      <c r="E24" s="508"/>
      <c r="F24" s="508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07" t="s">
        <v>61</v>
      </c>
      <c r="C25" s="508"/>
      <c r="D25" s="508"/>
      <c r="E25" s="508"/>
      <c r="F25" s="508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07" t="s">
        <v>81</v>
      </c>
      <c r="C26" s="508"/>
      <c r="D26" s="508"/>
      <c r="E26" s="508"/>
      <c r="F26" s="508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07" t="s">
        <v>99</v>
      </c>
      <c r="C27" s="508"/>
      <c r="D27" s="508"/>
      <c r="E27" s="508"/>
      <c r="F27" s="508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11" t="s">
        <v>105</v>
      </c>
      <c r="C28" s="512"/>
      <c r="D28" s="512"/>
      <c r="E28" s="512"/>
      <c r="F28" s="512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13" t="s">
        <v>802</v>
      </c>
      <c r="C29" s="514"/>
      <c r="D29" s="514"/>
      <c r="E29" s="514"/>
      <c r="F29" s="514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15" t="s">
        <v>774</v>
      </c>
      <c r="C30" s="516"/>
      <c r="D30" s="516"/>
      <c r="E30" s="516"/>
      <c r="F30" s="516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17" t="s">
        <v>120</v>
      </c>
      <c r="C31" s="518"/>
      <c r="D31" s="518"/>
      <c r="E31" s="518"/>
      <c r="F31" s="518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05" t="s">
        <v>122</v>
      </c>
      <c r="C32" s="506"/>
      <c r="D32" s="506"/>
      <c r="E32" s="506"/>
      <c r="F32" s="506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05" t="s">
        <v>133</v>
      </c>
      <c r="C33" s="506"/>
      <c r="D33" s="506"/>
      <c r="E33" s="506"/>
      <c r="F33" s="506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05" t="s">
        <v>148</v>
      </c>
      <c r="C34" s="506"/>
      <c r="D34" s="506"/>
      <c r="E34" s="506"/>
      <c r="F34" s="506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05" t="s">
        <v>162</v>
      </c>
      <c r="C35" s="506"/>
      <c r="D35" s="506"/>
      <c r="E35" s="506"/>
      <c r="F35" s="506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05" t="s">
        <v>182</v>
      </c>
      <c r="C36" s="506"/>
      <c r="D36" s="506"/>
      <c r="E36" s="506"/>
      <c r="F36" s="506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05" t="s">
        <v>190</v>
      </c>
      <c r="C37" s="506"/>
      <c r="D37" s="506"/>
      <c r="E37" s="506"/>
      <c r="F37" s="506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05" t="s">
        <v>196</v>
      </c>
      <c r="C38" s="506"/>
      <c r="D38" s="506"/>
      <c r="E38" s="506"/>
      <c r="F38" s="506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05" t="s">
        <v>204</v>
      </c>
      <c r="C39" s="506"/>
      <c r="D39" s="506"/>
      <c r="E39" s="506"/>
      <c r="F39" s="506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05" t="s">
        <v>212</v>
      </c>
      <c r="C40" s="506"/>
      <c r="D40" s="506"/>
      <c r="E40" s="506"/>
      <c r="F40" s="506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05" t="s">
        <v>803</v>
      </c>
      <c r="C41" s="506"/>
      <c r="D41" s="506"/>
      <c r="E41" s="506"/>
      <c r="F41" s="506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21" t="s">
        <v>230</v>
      </c>
      <c r="C42" s="522"/>
      <c r="D42" s="522"/>
      <c r="E42" s="522"/>
      <c r="F42" s="522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05" t="s">
        <v>232</v>
      </c>
      <c r="C43" s="506"/>
      <c r="D43" s="506"/>
      <c r="E43" s="506"/>
      <c r="F43" s="506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05" t="s">
        <v>248</v>
      </c>
      <c r="C44" s="506"/>
      <c r="D44" s="506"/>
      <c r="E44" s="506"/>
      <c r="F44" s="506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05" t="s">
        <v>259</v>
      </c>
      <c r="C45" s="506"/>
      <c r="D45" s="506"/>
      <c r="E45" s="506"/>
      <c r="F45" s="506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05" t="s">
        <v>274</v>
      </c>
      <c r="C46" s="506"/>
      <c r="D46" s="506"/>
      <c r="E46" s="506"/>
      <c r="F46" s="506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13" t="s">
        <v>278</v>
      </c>
      <c r="C47" s="614"/>
      <c r="D47" s="614"/>
      <c r="E47" s="614"/>
      <c r="F47" s="614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19" t="s">
        <v>286</v>
      </c>
      <c r="C48" s="520"/>
      <c r="D48" s="520"/>
      <c r="E48" s="520"/>
      <c r="F48" s="520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19" t="s">
        <v>320</v>
      </c>
      <c r="C49" s="520"/>
      <c r="D49" s="520"/>
      <c r="E49" s="520"/>
      <c r="F49" s="520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558" t="s">
        <v>113</v>
      </c>
      <c r="C50" s="559"/>
      <c r="D50" s="559"/>
      <c r="E50" s="559"/>
      <c r="F50" s="559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23" t="s">
        <v>366</v>
      </c>
      <c r="C51" s="524"/>
      <c r="D51" s="524"/>
      <c r="E51" s="524"/>
      <c r="F51" s="524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25" t="s">
        <v>359</v>
      </c>
      <c r="C52" s="526"/>
      <c r="D52" s="526"/>
      <c r="E52" s="526"/>
      <c r="F52" s="526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65" t="s">
        <v>795</v>
      </c>
      <c r="C53" s="566"/>
      <c r="D53" s="566"/>
      <c r="E53" s="566"/>
      <c r="F53" s="566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567" t="s">
        <v>685</v>
      </c>
      <c r="C54" s="568"/>
      <c r="D54" s="568"/>
      <c r="E54" s="568"/>
      <c r="F54" s="568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27" t="s">
        <v>545</v>
      </c>
      <c r="C55" s="528"/>
      <c r="D55" s="528"/>
      <c r="E55" s="528"/>
      <c r="F55" s="528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29" t="s">
        <v>794</v>
      </c>
      <c r="C57" s="530"/>
      <c r="D57" s="530"/>
      <c r="E57" s="530"/>
      <c r="F57" s="530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51" t="s">
        <v>352</v>
      </c>
      <c r="C58" s="552"/>
      <c r="D58" s="552"/>
      <c r="E58" s="552"/>
      <c r="F58" s="552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47" t="s">
        <v>355</v>
      </c>
      <c r="C59" s="548"/>
      <c r="D59" s="548"/>
      <c r="E59" s="548"/>
      <c r="F59" s="548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23" t="s">
        <v>357</v>
      </c>
      <c r="C60" s="524"/>
      <c r="D60" s="524"/>
      <c r="E60" s="524"/>
      <c r="F60" s="524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15" t="s">
        <v>336</v>
      </c>
      <c r="C61" s="616"/>
      <c r="D61" s="616"/>
      <c r="E61" s="616"/>
      <c r="F61" s="616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49" t="s">
        <v>543</v>
      </c>
      <c r="C62" s="550"/>
      <c r="D62" s="550"/>
      <c r="E62" s="550"/>
      <c r="F62" s="550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13" t="s">
        <v>544</v>
      </c>
      <c r="C63" s="514"/>
      <c r="D63" s="514"/>
      <c r="E63" s="514"/>
      <c r="F63" s="514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47" t="s">
        <v>114</v>
      </c>
      <c r="C64" s="548"/>
      <c r="D64" s="548"/>
      <c r="E64" s="548"/>
      <c r="F64" s="548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23" t="s">
        <v>116</v>
      </c>
      <c r="C65" s="524"/>
      <c r="D65" s="524"/>
      <c r="E65" s="524"/>
      <c r="F65" s="524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23" t="s">
        <v>93</v>
      </c>
      <c r="C66" s="524"/>
      <c r="D66" s="524"/>
      <c r="E66" s="524"/>
      <c r="F66" s="524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75" t="s">
        <v>552</v>
      </c>
      <c r="C103" s="576"/>
      <c r="D103" s="576"/>
      <c r="E103" s="576"/>
      <c r="F103" s="576"/>
      <c r="G103" s="560">
        <v>2018</v>
      </c>
      <c r="H103" s="561"/>
      <c r="I103" s="561"/>
      <c r="J103" s="561"/>
      <c r="K103" s="561"/>
      <c r="L103" s="561"/>
      <c r="M103" s="561"/>
      <c r="N103" s="561"/>
      <c r="O103" s="561"/>
      <c r="P103" s="561"/>
      <c r="Q103" s="561"/>
      <c r="R103" s="562"/>
      <c r="S103" s="107" t="str">
        <f>+S7</f>
        <v>BDP</v>
      </c>
      <c r="T103" s="108">
        <f>+T7</f>
        <v>4663130000</v>
      </c>
    </row>
    <row r="104" spans="1:21" ht="15.75" customHeight="1">
      <c r="B104" s="577"/>
      <c r="C104" s="578"/>
      <c r="D104" s="578"/>
      <c r="E104" s="578"/>
      <c r="F104" s="579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60" t="s">
        <v>809</v>
      </c>
      <c r="T104" s="562">
        <f>+T8</f>
        <v>0</v>
      </c>
    </row>
    <row r="105" spans="1:21" ht="13.5" thickBot="1">
      <c r="B105" s="580"/>
      <c r="C105" s="581"/>
      <c r="D105" s="581"/>
      <c r="E105" s="581"/>
      <c r="F105" s="582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69" t="s">
        <v>681</v>
      </c>
      <c r="C106" s="570"/>
      <c r="D106" s="570"/>
      <c r="E106" s="570"/>
      <c r="F106" s="57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71" t="s">
        <v>21</v>
      </c>
      <c r="C107" s="572"/>
      <c r="D107" s="572"/>
      <c r="E107" s="572"/>
      <c r="F107" s="572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3" t="s">
        <v>23</v>
      </c>
      <c r="C108" s="574"/>
      <c r="D108" s="574"/>
      <c r="E108" s="574"/>
      <c r="F108" s="574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73" t="s">
        <v>25</v>
      </c>
      <c r="C109" s="574"/>
      <c r="D109" s="574"/>
      <c r="E109" s="574"/>
      <c r="F109" s="574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73" t="s">
        <v>27</v>
      </c>
      <c r="C110" s="574"/>
      <c r="D110" s="574"/>
      <c r="E110" s="574"/>
      <c r="F110" s="574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73" t="s">
        <v>29</v>
      </c>
      <c r="C111" s="574"/>
      <c r="D111" s="574"/>
      <c r="E111" s="574"/>
      <c r="F111" s="574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73" t="s">
        <v>31</v>
      </c>
      <c r="C112" s="574"/>
      <c r="D112" s="574"/>
      <c r="E112" s="574"/>
      <c r="F112" s="574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73" t="s">
        <v>33</v>
      </c>
      <c r="C113" s="574"/>
      <c r="D113" s="574"/>
      <c r="E113" s="574"/>
      <c r="F113" s="574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73" t="s">
        <v>722</v>
      </c>
      <c r="C114" s="574"/>
      <c r="D114" s="574"/>
      <c r="E114" s="574"/>
      <c r="F114" s="574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585" t="s">
        <v>37</v>
      </c>
      <c r="C115" s="586"/>
      <c r="D115" s="586"/>
      <c r="E115" s="586"/>
      <c r="F115" s="586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73" t="s">
        <v>39</v>
      </c>
      <c r="C116" s="574"/>
      <c r="D116" s="574"/>
      <c r="E116" s="574"/>
      <c r="F116" s="574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73" t="s">
        <v>41</v>
      </c>
      <c r="C117" s="574"/>
      <c r="D117" s="574"/>
      <c r="E117" s="574"/>
      <c r="F117" s="574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73" t="s">
        <v>43</v>
      </c>
      <c r="C118" s="574"/>
      <c r="D118" s="574"/>
      <c r="E118" s="574"/>
      <c r="F118" s="574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73" t="s">
        <v>45</v>
      </c>
      <c r="C119" s="574"/>
      <c r="D119" s="574"/>
      <c r="E119" s="574"/>
      <c r="F119" s="574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83" t="s">
        <v>47</v>
      </c>
      <c r="C120" s="584"/>
      <c r="D120" s="584"/>
      <c r="E120" s="584"/>
      <c r="F120" s="584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83" t="s">
        <v>61</v>
      </c>
      <c r="C121" s="584"/>
      <c r="D121" s="584"/>
      <c r="E121" s="584"/>
      <c r="F121" s="584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83" t="s">
        <v>81</v>
      </c>
      <c r="C122" s="584"/>
      <c r="D122" s="584"/>
      <c r="E122" s="584"/>
      <c r="F122" s="584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83" t="s">
        <v>99</v>
      </c>
      <c r="C123" s="584"/>
      <c r="D123" s="584"/>
      <c r="E123" s="584"/>
      <c r="F123" s="584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87" t="s">
        <v>105</v>
      </c>
      <c r="C124" s="588"/>
      <c r="D124" s="588"/>
      <c r="E124" s="588"/>
      <c r="F124" s="588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89" t="s">
        <v>811</v>
      </c>
      <c r="C125" s="590"/>
      <c r="D125" s="590"/>
      <c r="E125" s="590"/>
      <c r="F125" s="590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09" t="s">
        <v>774</v>
      </c>
      <c r="C126" s="610"/>
      <c r="D126" s="610"/>
      <c r="E126" s="610"/>
      <c r="F126" s="610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591" t="s">
        <v>120</v>
      </c>
      <c r="C127" s="592"/>
      <c r="D127" s="592"/>
      <c r="E127" s="592"/>
      <c r="F127" s="592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73" t="s">
        <v>122</v>
      </c>
      <c r="C128" s="574"/>
      <c r="D128" s="574"/>
      <c r="E128" s="574"/>
      <c r="F128" s="574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73" t="s">
        <v>133</v>
      </c>
      <c r="C129" s="574"/>
      <c r="D129" s="574"/>
      <c r="E129" s="574"/>
      <c r="F129" s="574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73" t="s">
        <v>148</v>
      </c>
      <c r="C130" s="574"/>
      <c r="D130" s="574"/>
      <c r="E130" s="574"/>
      <c r="F130" s="574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73" t="s">
        <v>162</v>
      </c>
      <c r="C131" s="574"/>
      <c r="D131" s="574"/>
      <c r="E131" s="574"/>
      <c r="F131" s="574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73" t="s">
        <v>182</v>
      </c>
      <c r="C132" s="574"/>
      <c r="D132" s="574"/>
      <c r="E132" s="574"/>
      <c r="F132" s="574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73" t="s">
        <v>190</v>
      </c>
      <c r="C133" s="574"/>
      <c r="D133" s="574"/>
      <c r="E133" s="574"/>
      <c r="F133" s="574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73" t="s">
        <v>196</v>
      </c>
      <c r="C134" s="574"/>
      <c r="D134" s="574"/>
      <c r="E134" s="574"/>
      <c r="F134" s="574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73" t="s">
        <v>204</v>
      </c>
      <c r="C135" s="574"/>
      <c r="D135" s="574"/>
      <c r="E135" s="574"/>
      <c r="F135" s="574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73" t="s">
        <v>212</v>
      </c>
      <c r="C136" s="574"/>
      <c r="D136" s="574"/>
      <c r="E136" s="574"/>
      <c r="F136" s="574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73" t="s">
        <v>803</v>
      </c>
      <c r="C137" s="574"/>
      <c r="D137" s="574"/>
      <c r="E137" s="574"/>
      <c r="F137" s="574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597" t="s">
        <v>230</v>
      </c>
      <c r="C138" s="598"/>
      <c r="D138" s="598"/>
      <c r="E138" s="598"/>
      <c r="F138" s="598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73" t="s">
        <v>232</v>
      </c>
      <c r="C139" s="574"/>
      <c r="D139" s="574"/>
      <c r="E139" s="574"/>
      <c r="F139" s="574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73" t="s">
        <v>248</v>
      </c>
      <c r="C140" s="574"/>
      <c r="D140" s="574"/>
      <c r="E140" s="574"/>
      <c r="F140" s="574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73" t="s">
        <v>259</v>
      </c>
      <c r="C141" s="574"/>
      <c r="D141" s="574"/>
      <c r="E141" s="574"/>
      <c r="F141" s="574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73" t="s">
        <v>274</v>
      </c>
      <c r="C142" s="574"/>
      <c r="D142" s="574"/>
      <c r="E142" s="574"/>
      <c r="F142" s="574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73" t="s">
        <v>278</v>
      </c>
      <c r="C143" s="574"/>
      <c r="D143" s="574"/>
      <c r="E143" s="574"/>
      <c r="F143" s="574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593" t="s">
        <v>286</v>
      </c>
      <c r="C144" s="594"/>
      <c r="D144" s="594"/>
      <c r="E144" s="594"/>
      <c r="F144" s="594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593" t="s">
        <v>812</v>
      </c>
      <c r="C145" s="594"/>
      <c r="D145" s="594"/>
      <c r="E145" s="594"/>
      <c r="F145" s="594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595" t="s">
        <v>113</v>
      </c>
      <c r="C146" s="596"/>
      <c r="D146" s="596"/>
      <c r="E146" s="596"/>
      <c r="F146" s="596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595" t="s">
        <v>366</v>
      </c>
      <c r="C147" s="596"/>
      <c r="D147" s="596"/>
      <c r="E147" s="596"/>
      <c r="F147" s="596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595" t="s">
        <v>359</v>
      </c>
      <c r="C148" s="596"/>
      <c r="D148" s="596"/>
      <c r="E148" s="596"/>
      <c r="F148" s="596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603" t="s">
        <v>545</v>
      </c>
      <c r="C150" s="604"/>
      <c r="D150" s="604"/>
      <c r="E150" s="604"/>
      <c r="F150" s="604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605" t="s">
        <v>813</v>
      </c>
      <c r="C151" s="606"/>
      <c r="D151" s="606"/>
      <c r="E151" s="606"/>
      <c r="F151" s="606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597" t="s">
        <v>352</v>
      </c>
      <c r="C152" s="598"/>
      <c r="D152" s="598"/>
      <c r="E152" s="598"/>
      <c r="F152" s="598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601" t="s">
        <v>355</v>
      </c>
      <c r="C153" s="602"/>
      <c r="D153" s="602"/>
      <c r="E153" s="602"/>
      <c r="F153" s="602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595" t="s">
        <v>357</v>
      </c>
      <c r="C154" s="596"/>
      <c r="D154" s="596"/>
      <c r="E154" s="596"/>
      <c r="F154" s="596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595" t="s">
        <v>365</v>
      </c>
      <c r="C155" s="596"/>
      <c r="D155" s="596"/>
      <c r="E155" s="596"/>
      <c r="F155" s="596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99" t="s">
        <v>543</v>
      </c>
      <c r="C157" s="600"/>
      <c r="D157" s="600"/>
      <c r="E157" s="600"/>
      <c r="F157" s="600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89" t="s">
        <v>544</v>
      </c>
      <c r="C158" s="590"/>
      <c r="D158" s="590"/>
      <c r="E158" s="590"/>
      <c r="F158" s="590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601" t="s">
        <v>114</v>
      </c>
      <c r="C159" s="602"/>
      <c r="D159" s="602"/>
      <c r="E159" s="602"/>
      <c r="F159" s="602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595" t="s">
        <v>116</v>
      </c>
      <c r="C160" s="596"/>
      <c r="D160" s="596"/>
      <c r="E160" s="596"/>
      <c r="F160" s="596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595" t="s">
        <v>93</v>
      </c>
      <c r="C161" s="596"/>
      <c r="D161" s="596"/>
      <c r="E161" s="596"/>
      <c r="F161" s="596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0" t="s">
        <v>555</v>
      </c>
      <c r="F6" s="618">
        <v>2006</v>
      </c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9"/>
      <c r="R6" s="618">
        <v>2007</v>
      </c>
      <c r="S6" s="617"/>
      <c r="T6" s="617"/>
      <c r="U6" s="617"/>
      <c r="V6" s="617"/>
      <c r="W6" s="617"/>
      <c r="X6" s="617"/>
      <c r="Y6" s="617"/>
      <c r="Z6" s="617"/>
      <c r="AA6" s="617"/>
      <c r="AB6" s="617"/>
      <c r="AC6" s="619"/>
      <c r="AD6" s="618">
        <v>2008</v>
      </c>
      <c r="AE6" s="617"/>
      <c r="AF6" s="617"/>
      <c r="AG6" s="617"/>
      <c r="AH6" s="617"/>
      <c r="AI6" s="617"/>
      <c r="AJ6" s="617"/>
      <c r="AK6" s="617"/>
      <c r="AL6" s="617"/>
      <c r="AM6" s="617"/>
      <c r="AN6" s="617"/>
      <c r="AO6" s="619"/>
      <c r="AP6" s="618">
        <v>2009</v>
      </c>
      <c r="AQ6" s="617"/>
      <c r="AR6" s="617"/>
      <c r="AS6" s="617"/>
      <c r="AT6" s="617"/>
      <c r="AU6" s="617"/>
      <c r="AV6" s="617"/>
      <c r="AW6" s="617"/>
      <c r="AX6" s="617"/>
      <c r="AY6" s="617"/>
      <c r="AZ6" s="617"/>
      <c r="BA6" s="619"/>
      <c r="BB6" s="618">
        <v>2010</v>
      </c>
      <c r="BC6" s="617"/>
      <c r="BD6" s="617"/>
      <c r="BE6" s="617"/>
      <c r="BF6" s="617"/>
      <c r="BG6" s="617"/>
      <c r="BH6" s="617"/>
      <c r="BI6" s="617"/>
      <c r="BJ6" s="617"/>
      <c r="BK6" s="617"/>
      <c r="BL6" s="617"/>
      <c r="BM6" s="619"/>
      <c r="BN6" s="618">
        <v>2011</v>
      </c>
      <c r="BO6" s="617"/>
      <c r="BP6" s="617"/>
      <c r="BQ6" s="617"/>
      <c r="BR6" s="617"/>
      <c r="BS6" s="617"/>
      <c r="BT6" s="617"/>
      <c r="BU6" s="617"/>
      <c r="BV6" s="617"/>
      <c r="BW6" s="617"/>
      <c r="BX6" s="617"/>
      <c r="BY6" s="619"/>
      <c r="BZ6" s="617">
        <v>2012</v>
      </c>
      <c r="CA6" s="617"/>
      <c r="CB6" s="617"/>
      <c r="CC6" s="617"/>
      <c r="CD6" s="617"/>
      <c r="CE6" s="617"/>
      <c r="CF6" s="617"/>
      <c r="CG6" s="617"/>
      <c r="CH6" s="617"/>
      <c r="CI6" s="617"/>
      <c r="CJ6" s="617"/>
      <c r="CK6" s="617"/>
      <c r="CL6" s="618">
        <v>2013</v>
      </c>
      <c r="CM6" s="617"/>
      <c r="CN6" s="617"/>
      <c r="CO6" s="617"/>
      <c r="CP6" s="617"/>
      <c r="CQ6" s="617"/>
      <c r="CR6" s="617"/>
      <c r="CS6" s="617"/>
      <c r="CT6" s="617"/>
      <c r="CU6" s="617"/>
      <c r="CV6" s="617"/>
      <c r="CW6" s="619"/>
      <c r="CX6" s="618">
        <v>2014</v>
      </c>
      <c r="CY6" s="617"/>
      <c r="CZ6" s="617"/>
      <c r="DA6" s="617"/>
      <c r="DB6" s="617"/>
      <c r="DC6" s="617"/>
      <c r="DD6" s="617"/>
      <c r="DE6" s="617"/>
      <c r="DF6" s="617"/>
      <c r="DG6" s="617"/>
      <c r="DH6" s="617"/>
      <c r="DI6" s="619"/>
      <c r="DJ6" s="618">
        <v>2015</v>
      </c>
      <c r="DK6" s="617"/>
      <c r="DL6" s="617"/>
      <c r="DM6" s="617"/>
      <c r="DN6" s="617"/>
      <c r="DO6" s="617"/>
      <c r="DP6" s="617"/>
      <c r="DQ6" s="617"/>
      <c r="DR6" s="617"/>
      <c r="DS6" s="617"/>
      <c r="DT6" s="617"/>
      <c r="DU6" s="619"/>
    </row>
    <row r="7" spans="1:321">
      <c r="E7" s="620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0" t="s">
        <v>676</v>
      </c>
      <c r="F214" s="618">
        <v>2006</v>
      </c>
      <c r="G214" s="617"/>
      <c r="H214" s="617"/>
      <c r="I214" s="617"/>
      <c r="J214" s="617"/>
      <c r="K214" s="617"/>
      <c r="L214" s="617"/>
      <c r="M214" s="617"/>
      <c r="N214" s="617"/>
      <c r="O214" s="617"/>
      <c r="P214" s="617"/>
      <c r="Q214" s="619"/>
      <c r="R214" s="618">
        <v>2007</v>
      </c>
      <c r="S214" s="617"/>
      <c r="T214" s="617"/>
      <c r="U214" s="617"/>
      <c r="V214" s="617"/>
      <c r="W214" s="617"/>
      <c r="X214" s="617"/>
      <c r="Y214" s="617"/>
      <c r="Z214" s="617"/>
      <c r="AA214" s="617"/>
      <c r="AB214" s="617"/>
      <c r="AC214" s="619"/>
      <c r="AD214" s="618">
        <v>2008</v>
      </c>
      <c r="AE214" s="617"/>
      <c r="AF214" s="617"/>
      <c r="AG214" s="617"/>
      <c r="AH214" s="617"/>
      <c r="AI214" s="617"/>
      <c r="AJ214" s="617"/>
      <c r="AK214" s="617"/>
      <c r="AL214" s="617"/>
      <c r="AM214" s="617"/>
      <c r="AN214" s="617"/>
      <c r="AO214" s="619"/>
      <c r="AP214" s="618">
        <v>2009</v>
      </c>
      <c r="AQ214" s="617"/>
      <c r="AR214" s="617"/>
      <c r="AS214" s="617"/>
      <c r="AT214" s="617"/>
      <c r="AU214" s="617"/>
      <c r="AV214" s="617"/>
      <c r="AW214" s="617"/>
      <c r="AX214" s="617"/>
      <c r="AY214" s="617"/>
      <c r="AZ214" s="617"/>
      <c r="BA214" s="619"/>
      <c r="BB214" s="618">
        <v>2010</v>
      </c>
      <c r="BC214" s="617"/>
      <c r="BD214" s="617"/>
      <c r="BE214" s="617"/>
      <c r="BF214" s="617"/>
      <c r="BG214" s="617"/>
      <c r="BH214" s="617"/>
      <c r="BI214" s="617"/>
      <c r="BJ214" s="617"/>
      <c r="BK214" s="617"/>
      <c r="BL214" s="617"/>
      <c r="BM214" s="619"/>
      <c r="BN214" s="618">
        <v>2011</v>
      </c>
      <c r="BO214" s="617"/>
      <c r="BP214" s="617"/>
      <c r="BQ214" s="617"/>
      <c r="BR214" s="617"/>
      <c r="BS214" s="617"/>
      <c r="BT214" s="617"/>
      <c r="BU214" s="617"/>
      <c r="BV214" s="617"/>
      <c r="BW214" s="617"/>
      <c r="BX214" s="617"/>
      <c r="BY214" s="619"/>
      <c r="BZ214" s="617">
        <v>2012</v>
      </c>
      <c r="CA214" s="617"/>
      <c r="CB214" s="617"/>
      <c r="CC214" s="617"/>
      <c r="CD214" s="617"/>
      <c r="CE214" s="617"/>
      <c r="CF214" s="617"/>
      <c r="CG214" s="617"/>
      <c r="CH214" s="617"/>
      <c r="CI214" s="617"/>
      <c r="CJ214" s="617"/>
      <c r="CK214" s="617"/>
      <c r="CL214" s="618">
        <v>2013</v>
      </c>
      <c r="CM214" s="617"/>
      <c r="CN214" s="617"/>
      <c r="CO214" s="617"/>
      <c r="CP214" s="617"/>
      <c r="CQ214" s="617"/>
      <c r="CR214" s="617"/>
      <c r="CS214" s="617"/>
      <c r="CT214" s="617"/>
      <c r="CU214" s="617"/>
      <c r="CV214" s="617"/>
      <c r="CW214" s="619"/>
      <c r="CX214" s="618">
        <v>2014</v>
      </c>
      <c r="CY214" s="617"/>
      <c r="CZ214" s="617"/>
      <c r="DA214" s="617"/>
      <c r="DB214" s="617"/>
      <c r="DC214" s="617"/>
      <c r="DD214" s="617"/>
      <c r="DE214" s="617"/>
      <c r="DF214" s="617"/>
      <c r="DG214" s="617"/>
      <c r="DH214" s="617"/>
      <c r="DI214" s="619"/>
      <c r="DJ214" s="618">
        <v>2015</v>
      </c>
      <c r="DK214" s="617"/>
      <c r="DL214" s="617"/>
      <c r="DM214" s="617"/>
      <c r="DN214" s="617"/>
      <c r="DO214" s="617"/>
      <c r="DP214" s="617"/>
      <c r="DQ214" s="617"/>
      <c r="DR214" s="617"/>
      <c r="DS214" s="617"/>
      <c r="DT214" s="617"/>
      <c r="DU214" s="619"/>
    </row>
    <row r="215" spans="1:187">
      <c r="E215" s="620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12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Decembar</v>
      </c>
    </row>
    <row r="245" spans="4:7">
      <c r="D245" s="49"/>
      <c r="E245" s="9"/>
      <c r="F245" s="10"/>
      <c r="G245" s="52" t="str">
        <f>+CONCATENATE("Jan - ",LEFT(G244,3))</f>
        <v>Jan - Dec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Dec</v>
      </c>
      <c r="F253" s="10" t="str">
        <f>+CONCATENATE("Analytics for period ",G245)</f>
        <v>Analytics for period Jan - Dec</v>
      </c>
      <c r="G253" s="52" t="str">
        <f>+IF(ISBLANK(IF($B$2=1,E253,F253)),"",IF($B$2=1,E253,F253))</f>
        <v>Analitika za period Jan - Dec</v>
      </c>
    </row>
    <row r="254" spans="4:7">
      <c r="D254" s="46"/>
      <c r="E254" s="9" t="str">
        <f>+CONCATENATE("Analitika za period ",G244)</f>
        <v>Analitika za period Decembar</v>
      </c>
      <c r="F254" s="10" t="str">
        <f>+CONCATENATE("Analytics for period ",G244)</f>
        <v>Analytics for period Decembar</v>
      </c>
      <c r="G254" s="52" t="str">
        <f>+IF(ISBLANK(IF($B$2=1,E254,F254)),"",IF($B$2=1,E254,F254))</f>
        <v>Analitika za period Decembar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Decembar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Decembar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Decembar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Decembar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Decembar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Decembar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Analitika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2021-12-29T07:51:50Z</cp:lastPrinted>
  <dcterms:created xsi:type="dcterms:W3CDTF">2014-09-15T13:41:17Z</dcterms:created>
  <dcterms:modified xsi:type="dcterms:W3CDTF">2022-02-01T11:23:35Z</dcterms:modified>
</cp:coreProperties>
</file>