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Analiza konsolidovane I kvartal 2019\"/>
    </mc:Choice>
  </mc:AlternateContent>
  <bookViews>
    <workbookView xWindow="0" yWindow="0" windowWidth="21570" windowHeight="745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D40" i="10" l="1"/>
  <c r="C22" i="32" l="1"/>
  <c r="J49" i="32" l="1"/>
  <c r="D28" i="32" l="1"/>
  <c r="D41" i="33" l="1"/>
  <c r="F37" i="32"/>
  <c r="F28" i="32"/>
  <c r="F26" i="32" l="1"/>
  <c r="F27" i="32" s="1"/>
  <c r="D37" i="10" l="1"/>
  <c r="D18" i="33" l="1"/>
  <c r="F35" i="33" l="1"/>
  <c r="F39" i="33"/>
  <c r="J53" i="33" l="1"/>
  <c r="J52" i="33"/>
  <c r="J51" i="33"/>
  <c r="J50" i="33"/>
  <c r="J49" i="33"/>
  <c r="J35" i="33"/>
  <c r="J48" i="33" l="1"/>
  <c r="H22" i="10"/>
  <c r="H38" i="10"/>
  <c r="H60" i="32"/>
  <c r="D37" i="32" l="1"/>
  <c r="D26" i="32" s="1"/>
  <c r="D27" i="32" l="1"/>
  <c r="F59" i="33"/>
  <c r="F67" i="33"/>
  <c r="J67" i="33"/>
  <c r="D67" i="33"/>
  <c r="D49" i="32"/>
  <c r="I67" i="33" l="1"/>
  <c r="L67" i="33"/>
  <c r="M67" i="33"/>
  <c r="H67" i="33"/>
  <c r="F41" i="33" l="1"/>
  <c r="F49" i="32"/>
  <c r="H49" i="32" s="1"/>
  <c r="M52" i="32"/>
  <c r="L52" i="32"/>
  <c r="I52" i="32"/>
  <c r="H52" i="32"/>
  <c r="F17" i="32"/>
  <c r="F16" i="32" s="1"/>
  <c r="F46" i="32" s="1"/>
  <c r="J18" i="33"/>
  <c r="J19" i="33"/>
  <c r="J20" i="33"/>
  <c r="J21" i="33"/>
  <c r="J22" i="33"/>
  <c r="J23" i="33"/>
  <c r="J24" i="33"/>
  <c r="J25" i="33"/>
  <c r="J27" i="33"/>
  <c r="J28" i="33"/>
  <c r="J29" i="33"/>
  <c r="J30" i="33"/>
  <c r="J31" i="33"/>
  <c r="J32" i="33"/>
  <c r="J33" i="33"/>
  <c r="J34" i="33"/>
  <c r="J39" i="33"/>
  <c r="J40" i="33"/>
  <c r="J41" i="33"/>
  <c r="J42" i="33"/>
  <c r="J43" i="33"/>
  <c r="J44" i="33"/>
  <c r="J45" i="33"/>
  <c r="J46" i="33"/>
  <c r="J47" i="33"/>
  <c r="J55" i="33"/>
  <c r="J56" i="33"/>
  <c r="J57" i="33"/>
  <c r="J58" i="33"/>
  <c r="J60" i="33"/>
  <c r="J59" i="33"/>
  <c r="J65" i="33"/>
  <c r="J66" i="33"/>
  <c r="J68" i="33"/>
  <c r="F18" i="33"/>
  <c r="F19" i="33"/>
  <c r="F20" i="33"/>
  <c r="F21" i="33"/>
  <c r="F22" i="33"/>
  <c r="F23" i="33"/>
  <c r="F24" i="33"/>
  <c r="F25" i="33"/>
  <c r="F27" i="33"/>
  <c r="F28" i="33"/>
  <c r="F29" i="33"/>
  <c r="F30" i="33"/>
  <c r="F31" i="33"/>
  <c r="F32" i="33"/>
  <c r="F33" i="33"/>
  <c r="F34" i="33"/>
  <c r="F40" i="33"/>
  <c r="F42" i="33"/>
  <c r="F43" i="33"/>
  <c r="F44" i="33"/>
  <c r="F45" i="33"/>
  <c r="F46" i="33"/>
  <c r="F47" i="33"/>
  <c r="F55" i="33"/>
  <c r="F56" i="33"/>
  <c r="F57" i="33"/>
  <c r="F58" i="33"/>
  <c r="F60" i="33"/>
  <c r="F65" i="33"/>
  <c r="F66" i="33"/>
  <c r="F68" i="33"/>
  <c r="D33" i="33"/>
  <c r="D31" i="33"/>
  <c r="D32" i="33"/>
  <c r="D19" i="33"/>
  <c r="D20" i="33"/>
  <c r="D21" i="33"/>
  <c r="D22" i="33"/>
  <c r="D23" i="33"/>
  <c r="D24" i="33"/>
  <c r="D25" i="33"/>
  <c r="D34" i="33"/>
  <c r="D35" i="33"/>
  <c r="D39" i="33"/>
  <c r="D40" i="33"/>
  <c r="D42" i="33"/>
  <c r="D43" i="33"/>
  <c r="D44" i="33"/>
  <c r="D45" i="33"/>
  <c r="D46" i="33"/>
  <c r="D47" i="33"/>
  <c r="D55" i="33"/>
  <c r="D56" i="33"/>
  <c r="D57" i="33"/>
  <c r="D58" i="33"/>
  <c r="D59" i="33"/>
  <c r="D60" i="33"/>
  <c r="D65" i="33"/>
  <c r="D66" i="33"/>
  <c r="D68" i="33"/>
  <c r="I45" i="32"/>
  <c r="M45" i="32"/>
  <c r="M44" i="32"/>
  <c r="L44" i="32"/>
  <c r="J11" i="32"/>
  <c r="K44" i="32" s="1"/>
  <c r="D11" i="32"/>
  <c r="G52" i="32" s="1"/>
  <c r="I44" i="32"/>
  <c r="H44" i="32"/>
  <c r="J17" i="32"/>
  <c r="J16" i="32" s="1"/>
  <c r="K16" i="32" s="1"/>
  <c r="J28" i="32"/>
  <c r="J37" i="32"/>
  <c r="D17" i="32"/>
  <c r="D16" i="32" s="1"/>
  <c r="M74" i="10"/>
  <c r="M73" i="10"/>
  <c r="M72" i="10"/>
  <c r="M69" i="10"/>
  <c r="M68" i="10"/>
  <c r="M67" i="10"/>
  <c r="M66" i="10"/>
  <c r="H69" i="10"/>
  <c r="L69" i="10"/>
  <c r="K69" i="10"/>
  <c r="I69" i="10"/>
  <c r="G69" i="10"/>
  <c r="E69" i="10"/>
  <c r="D17" i="10"/>
  <c r="D25" i="10"/>
  <c r="D26" i="33" s="1"/>
  <c r="E37" i="10"/>
  <c r="D47" i="10"/>
  <c r="D65" i="10"/>
  <c r="E65" i="10" s="1"/>
  <c r="F17" i="10"/>
  <c r="F25" i="10"/>
  <c r="G25" i="10" s="1"/>
  <c r="F37" i="10"/>
  <c r="G37" i="10" s="1"/>
  <c r="F47" i="10"/>
  <c r="F54" i="33"/>
  <c r="F65" i="10"/>
  <c r="G65" i="10" s="1"/>
  <c r="J17" i="10"/>
  <c r="K17" i="10" s="1"/>
  <c r="J25" i="10"/>
  <c r="K25" i="10" s="1"/>
  <c r="J37" i="10"/>
  <c r="J47" i="10"/>
  <c r="K47" i="10" s="1"/>
  <c r="J54" i="33"/>
  <c r="M61" i="10"/>
  <c r="M60" i="10"/>
  <c r="E18" i="10"/>
  <c r="E19" i="10"/>
  <c r="E20" i="10"/>
  <c r="E21" i="10"/>
  <c r="E22" i="10"/>
  <c r="E23" i="10"/>
  <c r="E24" i="10"/>
  <c r="F74" i="33"/>
  <c r="D74" i="33"/>
  <c r="J74" i="33"/>
  <c r="M54" i="10"/>
  <c r="M55" i="10"/>
  <c r="L54" i="10"/>
  <c r="L55" i="10"/>
  <c r="I54" i="10"/>
  <c r="I55" i="10"/>
  <c r="H54" i="10"/>
  <c r="H55" i="10"/>
  <c r="G55" i="10"/>
  <c r="G54" i="10"/>
  <c r="K55" i="10"/>
  <c r="K54" i="10"/>
  <c r="D53" i="33"/>
  <c r="D52" i="33"/>
  <c r="D51" i="33"/>
  <c r="D50" i="33"/>
  <c r="D49" i="33"/>
  <c r="L68" i="10"/>
  <c r="K68" i="10"/>
  <c r="I68" i="10"/>
  <c r="H68" i="10"/>
  <c r="C33" i="10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3" i="32"/>
  <c r="C24" i="32"/>
  <c r="H24" i="32"/>
  <c r="L24" i="32"/>
  <c r="M24" i="32"/>
  <c r="H25" i="32"/>
  <c r="I25" i="32"/>
  <c r="L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8" i="32"/>
  <c r="I38" i="32"/>
  <c r="L38" i="32"/>
  <c r="M38" i="32"/>
  <c r="C39" i="32"/>
  <c r="C40" i="32"/>
  <c r="H40" i="32"/>
  <c r="I40" i="32"/>
  <c r="L40" i="32"/>
  <c r="M40" i="32"/>
  <c r="C41" i="32"/>
  <c r="H41" i="32"/>
  <c r="I41" i="32"/>
  <c r="L41" i="32"/>
  <c r="M41" i="32"/>
  <c r="C42" i="32"/>
  <c r="H42" i="32"/>
  <c r="I42" i="32"/>
  <c r="L42" i="32"/>
  <c r="M42" i="32"/>
  <c r="H43" i="32"/>
  <c r="I43" i="32"/>
  <c r="L43" i="32"/>
  <c r="M43" i="32"/>
  <c r="H45" i="32"/>
  <c r="L45" i="32"/>
  <c r="C46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39" i="32"/>
  <c r="I23" i="32"/>
  <c r="M23" i="32"/>
  <c r="L39" i="32"/>
  <c r="L23" i="32"/>
  <c r="H23" i="32"/>
  <c r="M22" i="32"/>
  <c r="I22" i="32"/>
  <c r="M21" i="32"/>
  <c r="I21" i="32"/>
  <c r="M39" i="32"/>
  <c r="I39" i="32"/>
  <c r="L22" i="32"/>
  <c r="H22" i="32"/>
  <c r="L21" i="32"/>
  <c r="H21" i="32"/>
  <c r="E55" i="10"/>
  <c r="E54" i="10"/>
  <c r="D73" i="33"/>
  <c r="D72" i="33"/>
  <c r="D71" i="33"/>
  <c r="L74" i="10"/>
  <c r="J65" i="10"/>
  <c r="M65" i="10" s="1"/>
  <c r="H74" i="10"/>
  <c r="H73" i="10"/>
  <c r="H72" i="10"/>
  <c r="M58" i="10"/>
  <c r="M57" i="10"/>
  <c r="M56" i="10"/>
  <c r="M53" i="10"/>
  <c r="M52" i="10"/>
  <c r="M51" i="10"/>
  <c r="M50" i="10"/>
  <c r="M49" i="10"/>
  <c r="M48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6" i="10"/>
  <c r="M59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6" i="33"/>
  <c r="J73" i="33"/>
  <c r="F73" i="33"/>
  <c r="J72" i="33"/>
  <c r="F72" i="33"/>
  <c r="J71" i="33"/>
  <c r="F71" i="33"/>
  <c r="F53" i="33"/>
  <c r="F52" i="33"/>
  <c r="F51" i="33"/>
  <c r="F50" i="33"/>
  <c r="F49" i="33"/>
  <c r="C34" i="33"/>
  <c r="C33" i="33"/>
  <c r="C32" i="33"/>
  <c r="C31" i="33"/>
  <c r="D30" i="33"/>
  <c r="C30" i="33"/>
  <c r="D29" i="33"/>
  <c r="C29" i="33"/>
  <c r="D28" i="33"/>
  <c r="C28" i="33"/>
  <c r="D27" i="33"/>
  <c r="C27" i="33"/>
  <c r="C26" i="33"/>
  <c r="C23" i="33"/>
  <c r="C22" i="33"/>
  <c r="C21" i="33"/>
  <c r="C20" i="33"/>
  <c r="C19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K67" i="33" s="1"/>
  <c r="D11" i="33"/>
  <c r="C11" i="33"/>
  <c r="C61" i="32"/>
  <c r="K11" i="32"/>
  <c r="C76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G68" i="10"/>
  <c r="E68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K56" i="10"/>
  <c r="I56" i="10"/>
  <c r="H56" i="10"/>
  <c r="G56" i="10"/>
  <c r="E56" i="10"/>
  <c r="L53" i="10"/>
  <c r="K53" i="10"/>
  <c r="I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8" i="10"/>
  <c r="K48" i="10"/>
  <c r="I48" i="10"/>
  <c r="H48" i="10"/>
  <c r="G48" i="10"/>
  <c r="E48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E25" i="10"/>
  <c r="J27" i="36"/>
  <c r="I22" i="36"/>
  <c r="J22" i="36"/>
  <c r="J34" i="36"/>
  <c r="H43" i="36"/>
  <c r="I54" i="36"/>
  <c r="J54" i="36"/>
  <c r="I70" i="36"/>
  <c r="I17" i="36"/>
  <c r="J60" i="36"/>
  <c r="H60" i="36"/>
  <c r="G41" i="36"/>
  <c r="H79" i="36"/>
  <c r="G75" i="36"/>
  <c r="J17" i="36"/>
  <c r="F60" i="36"/>
  <c r="I60" i="36"/>
  <c r="G42" i="36"/>
  <c r="H41" i="36"/>
  <c r="H75" i="36"/>
  <c r="G47" i="10"/>
  <c r="L47" i="10"/>
  <c r="E41" i="36"/>
  <c r="F41" i="36"/>
  <c r="I9" i="36"/>
  <c r="H9" i="36"/>
  <c r="M17" i="10"/>
  <c r="I27" i="36"/>
  <c r="E6" i="30"/>
  <c r="J43" i="36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I34" i="36"/>
  <c r="D9" i="36"/>
  <c r="F70" i="36"/>
  <c r="H8" i="36"/>
  <c r="G68" i="36"/>
  <c r="E10" i="30"/>
  <c r="G4" i="30"/>
  <c r="K29" i="32"/>
  <c r="K34" i="32"/>
  <c r="K41" i="32"/>
  <c r="K36" i="32"/>
  <c r="K60" i="32"/>
  <c r="K49" i="32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K23" i="32" l="1"/>
  <c r="K58" i="32"/>
  <c r="K21" i="32"/>
  <c r="K45" i="32"/>
  <c r="K57" i="32"/>
  <c r="K30" i="32"/>
  <c r="J26" i="32"/>
  <c r="L26" i="32" s="1"/>
  <c r="K35" i="32"/>
  <c r="K19" i="32"/>
  <c r="K40" i="32"/>
  <c r="J46" i="32"/>
  <c r="G17" i="32"/>
  <c r="J35" i="10"/>
  <c r="K35" i="10" s="1"/>
  <c r="M47" i="10"/>
  <c r="E47" i="10"/>
  <c r="I47" i="10"/>
  <c r="M25" i="10"/>
  <c r="K37" i="32"/>
  <c r="F48" i="33"/>
  <c r="G48" i="33" s="1"/>
  <c r="H68" i="33"/>
  <c r="M17" i="32"/>
  <c r="G53" i="10"/>
  <c r="D16" i="10"/>
  <c r="H47" i="10"/>
  <c r="L25" i="10"/>
  <c r="H53" i="10"/>
  <c r="E25" i="33"/>
  <c r="E58" i="32"/>
  <c r="E29" i="32"/>
  <c r="L65" i="10"/>
  <c r="K65" i="10"/>
  <c r="I37" i="10"/>
  <c r="H37" i="10"/>
  <c r="H65" i="10"/>
  <c r="L40" i="33"/>
  <c r="J16" i="10"/>
  <c r="H25" i="10"/>
  <c r="L72" i="33"/>
  <c r="L37" i="10"/>
  <c r="K37" i="10"/>
  <c r="M37" i="10"/>
  <c r="F35" i="10"/>
  <c r="F36" i="10" s="1"/>
  <c r="G36" i="10" s="1"/>
  <c r="I65" i="10"/>
  <c r="D54" i="33"/>
  <c r="L54" i="33" s="1"/>
  <c r="D35" i="10"/>
  <c r="H73" i="33"/>
  <c r="E60" i="33"/>
  <c r="D48" i="33"/>
  <c r="E48" i="33" s="1"/>
  <c r="F16" i="10"/>
  <c r="G16" i="10" s="1"/>
  <c r="I17" i="10"/>
  <c r="G17" i="10"/>
  <c r="L17" i="10"/>
  <c r="H17" i="10"/>
  <c r="E17" i="10"/>
  <c r="E32" i="33"/>
  <c r="E50" i="33"/>
  <c r="G67" i="33"/>
  <c r="E67" i="33"/>
  <c r="K28" i="32"/>
  <c r="F64" i="33"/>
  <c r="L20" i="33"/>
  <c r="E56" i="33"/>
  <c r="E27" i="33"/>
  <c r="E28" i="33"/>
  <c r="K51" i="33"/>
  <c r="E72" i="33"/>
  <c r="E52" i="33"/>
  <c r="G74" i="33"/>
  <c r="E66" i="33"/>
  <c r="E58" i="33"/>
  <c r="E41" i="33"/>
  <c r="E23" i="33"/>
  <c r="E19" i="33"/>
  <c r="E33" i="33"/>
  <c r="G59" i="33"/>
  <c r="G56" i="33"/>
  <c r="G35" i="33"/>
  <c r="G27" i="33"/>
  <c r="G22" i="33"/>
  <c r="G18" i="33"/>
  <c r="K59" i="33"/>
  <c r="K56" i="33"/>
  <c r="K32" i="33"/>
  <c r="K28" i="33"/>
  <c r="K23" i="33"/>
  <c r="G41" i="33"/>
  <c r="G52" i="33"/>
  <c r="G71" i="33"/>
  <c r="E49" i="33"/>
  <c r="E53" i="33"/>
  <c r="E65" i="33"/>
  <c r="E57" i="33"/>
  <c r="E43" i="33"/>
  <c r="E40" i="33"/>
  <c r="E26" i="33"/>
  <c r="G55" i="33"/>
  <c r="G34" i="33"/>
  <c r="G30" i="33"/>
  <c r="G21" i="33"/>
  <c r="K60" i="33"/>
  <c r="K55" i="33"/>
  <c r="K45" i="33"/>
  <c r="K31" i="33"/>
  <c r="K27" i="33"/>
  <c r="K22" i="33"/>
  <c r="K52" i="33"/>
  <c r="K73" i="33"/>
  <c r="E46" i="33"/>
  <c r="E42" i="33"/>
  <c r="E39" i="33"/>
  <c r="E21" i="33"/>
  <c r="G66" i="33"/>
  <c r="G29" i="33"/>
  <c r="G24" i="33"/>
  <c r="K66" i="33"/>
  <c r="K44" i="33"/>
  <c r="K34" i="33"/>
  <c r="K30" i="33"/>
  <c r="K25" i="33"/>
  <c r="K21" i="33"/>
  <c r="G54" i="33"/>
  <c r="G49" i="33"/>
  <c r="G51" i="33"/>
  <c r="G53" i="33"/>
  <c r="E71" i="33"/>
  <c r="E51" i="33"/>
  <c r="E74" i="33"/>
  <c r="E68" i="33"/>
  <c r="E55" i="33"/>
  <c r="E45" i="33"/>
  <c r="E35" i="33"/>
  <c r="E24" i="33"/>
  <c r="G43" i="33"/>
  <c r="G39" i="33"/>
  <c r="G32" i="33"/>
  <c r="G23" i="33"/>
  <c r="K43" i="33"/>
  <c r="K40" i="33"/>
  <c r="K33" i="33"/>
  <c r="K29" i="33"/>
  <c r="K54" i="33"/>
  <c r="I49" i="32"/>
  <c r="G29" i="32"/>
  <c r="K52" i="32"/>
  <c r="G49" i="32"/>
  <c r="H55" i="33"/>
  <c r="K17" i="32"/>
  <c r="K39" i="32"/>
  <c r="K53" i="32"/>
  <c r="K33" i="32"/>
  <c r="K18" i="32"/>
  <c r="K56" i="32"/>
  <c r="K38" i="32"/>
  <c r="K43" i="32"/>
  <c r="K24" i="32"/>
  <c r="E23" i="32"/>
  <c r="E25" i="32"/>
  <c r="H50" i="33"/>
  <c r="H59" i="33"/>
  <c r="L44" i="33"/>
  <c r="K22" i="32"/>
  <c r="K50" i="32"/>
  <c r="K51" i="32"/>
  <c r="K25" i="32"/>
  <c r="K32" i="32"/>
  <c r="K42" i="32"/>
  <c r="K20" i="32"/>
  <c r="K31" i="32"/>
  <c r="E49" i="32"/>
  <c r="G20" i="32"/>
  <c r="G32" i="32"/>
  <c r="M50" i="33"/>
  <c r="H65" i="33"/>
  <c r="L30" i="33"/>
  <c r="I57" i="33"/>
  <c r="H19" i="33"/>
  <c r="L57" i="33"/>
  <c r="M47" i="33"/>
  <c r="M44" i="33"/>
  <c r="I29" i="33"/>
  <c r="I34" i="33"/>
  <c r="I74" i="33"/>
  <c r="L53" i="33"/>
  <c r="L74" i="33"/>
  <c r="H46" i="33"/>
  <c r="L71" i="33"/>
  <c r="L49" i="33"/>
  <c r="H37" i="32"/>
  <c r="H56" i="33"/>
  <c r="J64" i="33"/>
  <c r="I53" i="33"/>
  <c r="L73" i="33"/>
  <c r="H51" i="33"/>
  <c r="I51" i="33"/>
  <c r="H74" i="33"/>
  <c r="L50" i="33"/>
  <c r="M71" i="33"/>
  <c r="G46" i="33"/>
  <c r="H44" i="33"/>
  <c r="K50" i="33"/>
  <c r="I39" i="33"/>
  <c r="H28" i="33"/>
  <c r="K71" i="33"/>
  <c r="M30" i="33"/>
  <c r="I55" i="33"/>
  <c r="M73" i="33"/>
  <c r="E34" i="33"/>
  <c r="E73" i="33"/>
  <c r="L28" i="33"/>
  <c r="E39" i="32"/>
  <c r="G57" i="32"/>
  <c r="E42" i="32"/>
  <c r="G50" i="32"/>
  <c r="I37" i="32"/>
  <c r="I68" i="33"/>
  <c r="I32" i="33"/>
  <c r="G65" i="33"/>
  <c r="E20" i="33"/>
  <c r="G27" i="32"/>
  <c r="I19" i="33"/>
  <c r="E44" i="33"/>
  <c r="E45" i="32"/>
  <c r="G40" i="32"/>
  <c r="E38" i="32"/>
  <c r="G36" i="32"/>
  <c r="L17" i="32"/>
  <c r="L37" i="32"/>
  <c r="L59" i="33"/>
  <c r="E26" i="32"/>
  <c r="M20" i="33"/>
  <c r="E37" i="32"/>
  <c r="E21" i="32"/>
  <c r="G22" i="32"/>
  <c r="E36" i="32"/>
  <c r="G39" i="32"/>
  <c r="G19" i="32"/>
  <c r="G56" i="32"/>
  <c r="G38" i="32"/>
  <c r="E19" i="32"/>
  <c r="E57" i="32"/>
  <c r="E41" i="32"/>
  <c r="E24" i="32"/>
  <c r="G60" i="32"/>
  <c r="G45" i="32"/>
  <c r="G35" i="32"/>
  <c r="G25" i="32"/>
  <c r="I17" i="32"/>
  <c r="I28" i="32"/>
  <c r="H17" i="32"/>
  <c r="I49" i="33"/>
  <c r="M74" i="33"/>
  <c r="M28" i="32"/>
  <c r="D64" i="33"/>
  <c r="E64" i="33" s="1"/>
  <c r="I46" i="33"/>
  <c r="H42" i="33"/>
  <c r="I18" i="33"/>
  <c r="M56" i="33"/>
  <c r="L46" i="33"/>
  <c r="M42" i="33"/>
  <c r="M39" i="33"/>
  <c r="M23" i="33"/>
  <c r="L19" i="33"/>
  <c r="E52" i="32"/>
  <c r="E28" i="32"/>
  <c r="G28" i="32"/>
  <c r="E50" i="32"/>
  <c r="E60" i="32"/>
  <c r="E35" i="32"/>
  <c r="G18" i="32"/>
  <c r="G42" i="32"/>
  <c r="G37" i="32"/>
  <c r="E18" i="32"/>
  <c r="E56" i="32"/>
  <c r="E40" i="32"/>
  <c r="G31" i="32"/>
  <c r="E20" i="32"/>
  <c r="G53" i="32"/>
  <c r="E43" i="32"/>
  <c r="G34" i="32"/>
  <c r="E31" i="32"/>
  <c r="M37" i="32"/>
  <c r="E44" i="32"/>
  <c r="I60" i="33"/>
  <c r="I45" i="33"/>
  <c r="I25" i="33"/>
  <c r="H21" i="33"/>
  <c r="M68" i="33"/>
  <c r="L24" i="33"/>
  <c r="M52" i="33"/>
  <c r="K47" i="33"/>
  <c r="G21" i="32"/>
  <c r="L52" i="33"/>
  <c r="M33" i="33"/>
  <c r="E22" i="32"/>
  <c r="G23" i="32"/>
  <c r="E17" i="32"/>
  <c r="E51" i="32"/>
  <c r="E53" i="32"/>
  <c r="E32" i="32"/>
  <c r="G58" i="32"/>
  <c r="G41" i="32"/>
  <c r="G24" i="32"/>
  <c r="E34" i="32"/>
  <c r="G43" i="32"/>
  <c r="G30" i="32"/>
  <c r="E33" i="32"/>
  <c r="G51" i="32"/>
  <c r="G33" i="32"/>
  <c r="E30" i="32"/>
  <c r="I72" i="33"/>
  <c r="H28" i="32"/>
  <c r="L49" i="32"/>
  <c r="G44" i="32"/>
  <c r="D38" i="33"/>
  <c r="I44" i="33"/>
  <c r="M65" i="33"/>
  <c r="I42" i="33"/>
  <c r="M34" i="33"/>
  <c r="M57" i="33"/>
  <c r="K57" i="33"/>
  <c r="K24" i="33"/>
  <c r="K20" i="33"/>
  <c r="L65" i="33"/>
  <c r="L47" i="33"/>
  <c r="I22" i="33"/>
  <c r="H18" i="33"/>
  <c r="H34" i="33"/>
  <c r="H30" i="33"/>
  <c r="M24" i="33"/>
  <c r="L33" i="33"/>
  <c r="I35" i="33"/>
  <c r="K65" i="33"/>
  <c r="I56" i="33"/>
  <c r="G42" i="33"/>
  <c r="H52" i="33"/>
  <c r="I52" i="33"/>
  <c r="I66" i="33"/>
  <c r="L56" i="33"/>
  <c r="K39" i="33"/>
  <c r="I21" i="33"/>
  <c r="L42" i="33"/>
  <c r="E18" i="33"/>
  <c r="M19" i="33"/>
  <c r="H22" i="33"/>
  <c r="L23" i="33"/>
  <c r="E59" i="33"/>
  <c r="M40" i="33"/>
  <c r="L43" i="33"/>
  <c r="H25" i="33"/>
  <c r="H53" i="33"/>
  <c r="G60" i="33"/>
  <c r="G25" i="33"/>
  <c r="K46" i="33"/>
  <c r="K19" i="33"/>
  <c r="K74" i="33"/>
  <c r="I59" i="33"/>
  <c r="H58" i="33"/>
  <c r="I40" i="33"/>
  <c r="I33" i="33"/>
  <c r="I20" i="33"/>
  <c r="M55" i="33"/>
  <c r="M35" i="33"/>
  <c r="M18" i="33"/>
  <c r="M46" i="33"/>
  <c r="L39" i="33"/>
  <c r="M51" i="33"/>
  <c r="L18" i="33"/>
  <c r="H49" i="33"/>
  <c r="L68" i="33"/>
  <c r="H60" i="33"/>
  <c r="K68" i="33"/>
  <c r="M59" i="33"/>
  <c r="M28" i="33"/>
  <c r="E22" i="33"/>
  <c r="E47" i="33"/>
  <c r="I30" i="33"/>
  <c r="L16" i="32"/>
  <c r="D17" i="33"/>
  <c r="E17" i="33" s="1"/>
  <c r="H57" i="33"/>
  <c r="H47" i="33"/>
  <c r="I43" i="33"/>
  <c r="H39" i="33"/>
  <c r="M66" i="33"/>
  <c r="L58" i="33"/>
  <c r="M41" i="33"/>
  <c r="L25" i="33"/>
  <c r="K42" i="33"/>
  <c r="G68" i="33"/>
  <c r="H72" i="33"/>
  <c r="M43" i="33"/>
  <c r="H43" i="33"/>
  <c r="L28" i="32"/>
  <c r="M49" i="32"/>
  <c r="H35" i="33"/>
  <c r="L51" i="33"/>
  <c r="H27" i="33"/>
  <c r="H66" i="33"/>
  <c r="M16" i="32"/>
  <c r="L31" i="33"/>
  <c r="H32" i="33"/>
  <c r="L60" i="33"/>
  <c r="G16" i="32"/>
  <c r="K49" i="33"/>
  <c r="M27" i="33"/>
  <c r="K18" i="33"/>
  <c r="M32" i="33"/>
  <c r="M72" i="33"/>
  <c r="I50" i="33"/>
  <c r="G58" i="33"/>
  <c r="G44" i="33"/>
  <c r="F26" i="33"/>
  <c r="H26" i="33" s="1"/>
  <c r="F17" i="33"/>
  <c r="M31" i="33"/>
  <c r="I47" i="33"/>
  <c r="L41" i="33"/>
  <c r="E31" i="33"/>
  <c r="I23" i="33"/>
  <c r="I24" i="33"/>
  <c r="L66" i="33"/>
  <c r="I73" i="33"/>
  <c r="L22" i="33"/>
  <c r="M22" i="33"/>
  <c r="L55" i="33"/>
  <c r="K35" i="33"/>
  <c r="I65" i="33"/>
  <c r="H40" i="33"/>
  <c r="H71" i="33"/>
  <c r="G19" i="33"/>
  <c r="G40" i="33"/>
  <c r="G73" i="33"/>
  <c r="E30" i="33"/>
  <c r="G57" i="33"/>
  <c r="K41" i="33"/>
  <c r="K72" i="33"/>
  <c r="I31" i="33"/>
  <c r="J17" i="33"/>
  <c r="M60" i="33"/>
  <c r="I41" i="33"/>
  <c r="I58" i="33"/>
  <c r="G33" i="33"/>
  <c r="G47" i="33"/>
  <c r="M25" i="33"/>
  <c r="M58" i="33"/>
  <c r="L34" i="33"/>
  <c r="H41" i="33"/>
  <c r="L35" i="33"/>
  <c r="H33" i="33"/>
  <c r="H23" i="33"/>
  <c r="H29" i="33"/>
  <c r="F38" i="33"/>
  <c r="G38" i="33" s="1"/>
  <c r="J26" i="33"/>
  <c r="K26" i="33" s="1"/>
  <c r="M49" i="33"/>
  <c r="I27" i="33"/>
  <c r="G20" i="33"/>
  <c r="G31" i="33"/>
  <c r="E29" i="33"/>
  <c r="L32" i="33"/>
  <c r="L27" i="33"/>
  <c r="K53" i="33"/>
  <c r="M53" i="33"/>
  <c r="I28" i="33"/>
  <c r="G28" i="33"/>
  <c r="H31" i="33"/>
  <c r="G45" i="33"/>
  <c r="M45" i="33"/>
  <c r="M29" i="33"/>
  <c r="L45" i="33"/>
  <c r="K48" i="33"/>
  <c r="E16" i="32"/>
  <c r="I16" i="32"/>
  <c r="L21" i="33"/>
  <c r="L29" i="33"/>
  <c r="H45" i="33"/>
  <c r="H16" i="32"/>
  <c r="D46" i="32"/>
  <c r="D47" i="32" s="1"/>
  <c r="E47" i="32" s="1"/>
  <c r="J38" i="33"/>
  <c r="J36" i="33" s="1"/>
  <c r="G72" i="33"/>
  <c r="H20" i="33"/>
  <c r="M21" i="33"/>
  <c r="H24" i="33"/>
  <c r="G50" i="33"/>
  <c r="K58" i="33"/>
  <c r="E38" i="33" l="1"/>
  <c r="D36" i="33"/>
  <c r="H48" i="33"/>
  <c r="E16" i="10"/>
  <c r="E35" i="10"/>
  <c r="D36" i="10"/>
  <c r="H36" i="10" s="1"/>
  <c r="M16" i="10"/>
  <c r="H16" i="10"/>
  <c r="D16" i="33"/>
  <c r="E16" i="33" s="1"/>
  <c r="I48" i="33"/>
  <c r="L16" i="10"/>
  <c r="G35" i="10"/>
  <c r="L48" i="33"/>
  <c r="M48" i="33"/>
  <c r="E54" i="33"/>
  <c r="I54" i="33"/>
  <c r="G9" i="10"/>
  <c r="K16" i="10"/>
  <c r="J62" i="10"/>
  <c r="J63" i="10" s="1"/>
  <c r="H54" i="33"/>
  <c r="M54" i="33"/>
  <c r="J36" i="10"/>
  <c r="K36" i="10" s="1"/>
  <c r="I16" i="10"/>
  <c r="F62" i="10"/>
  <c r="G8" i="10"/>
  <c r="I35" i="10"/>
  <c r="I17" i="33"/>
  <c r="D62" i="10"/>
  <c r="M35" i="10"/>
  <c r="L35" i="10"/>
  <c r="H35" i="10"/>
  <c r="M17" i="33"/>
  <c r="L64" i="33"/>
  <c r="M64" i="33"/>
  <c r="K64" i="33"/>
  <c r="I26" i="32"/>
  <c r="G26" i="32"/>
  <c r="H26" i="32"/>
  <c r="H27" i="32"/>
  <c r="G64" i="33"/>
  <c r="H38" i="33"/>
  <c r="G26" i="33"/>
  <c r="E27" i="32"/>
  <c r="M26" i="32"/>
  <c r="I27" i="32"/>
  <c r="K17" i="33"/>
  <c r="J16" i="33"/>
  <c r="L17" i="33"/>
  <c r="M26" i="33"/>
  <c r="F36" i="33"/>
  <c r="I64" i="33"/>
  <c r="J27" i="32"/>
  <c r="K26" i="32"/>
  <c r="I38" i="33"/>
  <c r="L26" i="33"/>
  <c r="G17" i="33"/>
  <c r="H17" i="33"/>
  <c r="F16" i="33"/>
  <c r="G16" i="33" s="1"/>
  <c r="I26" i="33"/>
  <c r="K38" i="33"/>
  <c r="L38" i="33"/>
  <c r="M38" i="33"/>
  <c r="D48" i="32"/>
  <c r="D54" i="32"/>
  <c r="E46" i="32"/>
  <c r="D63" i="10" l="1"/>
  <c r="E63" i="10" s="1"/>
  <c r="D61" i="33"/>
  <c r="E61" i="33" s="1"/>
  <c r="D37" i="33"/>
  <c r="E37" i="33" s="1"/>
  <c r="I36" i="33"/>
  <c r="E36" i="33"/>
  <c r="M36" i="10"/>
  <c r="F70" i="10"/>
  <c r="F75" i="10" s="1"/>
  <c r="F63" i="10"/>
  <c r="G63" i="10" s="1"/>
  <c r="G46" i="32"/>
  <c r="F47" i="32"/>
  <c r="L16" i="33"/>
  <c r="J61" i="33"/>
  <c r="J62" i="33" s="1"/>
  <c r="K63" i="10"/>
  <c r="J64" i="10"/>
  <c r="K64" i="10" s="1"/>
  <c r="J70" i="10"/>
  <c r="J75" i="10" s="1"/>
  <c r="J71" i="10" s="1"/>
  <c r="K62" i="10"/>
  <c r="M46" i="32"/>
  <c r="J47" i="32"/>
  <c r="H62" i="10"/>
  <c r="F64" i="10"/>
  <c r="G64" i="10" s="1"/>
  <c r="G62" i="10"/>
  <c r="E62" i="10"/>
  <c r="D70" i="10"/>
  <c r="I62" i="10"/>
  <c r="D64" i="10"/>
  <c r="M62" i="10"/>
  <c r="L62" i="10"/>
  <c r="E36" i="10"/>
  <c r="I36" i="10"/>
  <c r="L36" i="10"/>
  <c r="H46" i="32"/>
  <c r="F54" i="32"/>
  <c r="I54" i="32" s="1"/>
  <c r="F48" i="32"/>
  <c r="G48" i="32" s="1"/>
  <c r="I46" i="32"/>
  <c r="F37" i="33"/>
  <c r="H36" i="33"/>
  <c r="G36" i="33"/>
  <c r="H16" i="33"/>
  <c r="F61" i="33"/>
  <c r="I16" i="33"/>
  <c r="K16" i="33"/>
  <c r="M16" i="33"/>
  <c r="L46" i="32"/>
  <c r="K46" i="32"/>
  <c r="K27" i="32"/>
  <c r="L27" i="32"/>
  <c r="M27" i="32"/>
  <c r="E48" i="32"/>
  <c r="E54" i="32"/>
  <c r="D59" i="32"/>
  <c r="L36" i="33"/>
  <c r="K36" i="33"/>
  <c r="M36" i="33"/>
  <c r="J37" i="33"/>
  <c r="M63" i="10" l="1"/>
  <c r="L63" i="10"/>
  <c r="D62" i="33"/>
  <c r="E62" i="33" s="1"/>
  <c r="D69" i="33"/>
  <c r="E69" i="33" s="1"/>
  <c r="D63" i="33"/>
  <c r="E63" i="33" s="1"/>
  <c r="H37" i="33"/>
  <c r="H64" i="10"/>
  <c r="I63" i="10"/>
  <c r="H70" i="10"/>
  <c r="G70" i="10"/>
  <c r="M70" i="10"/>
  <c r="K75" i="10"/>
  <c r="H63" i="10"/>
  <c r="J48" i="32"/>
  <c r="K48" i="32" s="1"/>
  <c r="J54" i="32"/>
  <c r="M54" i="32" s="1"/>
  <c r="M61" i="33"/>
  <c r="I47" i="32"/>
  <c r="H47" i="32"/>
  <c r="G47" i="32"/>
  <c r="L62" i="33"/>
  <c r="K62" i="33"/>
  <c r="J63" i="33"/>
  <c r="K63" i="33" s="1"/>
  <c r="F69" i="33"/>
  <c r="G69" i="33" s="1"/>
  <c r="F62" i="33"/>
  <c r="K70" i="10"/>
  <c r="M47" i="32"/>
  <c r="K47" i="32"/>
  <c r="L47" i="32"/>
  <c r="K71" i="10"/>
  <c r="M64" i="10"/>
  <c r="L70" i="10"/>
  <c r="D75" i="10"/>
  <c r="L75" i="10" s="1"/>
  <c r="L71" i="10" s="1"/>
  <c r="I70" i="10"/>
  <c r="E70" i="10"/>
  <c r="L64" i="10"/>
  <c r="E64" i="10"/>
  <c r="I64" i="10"/>
  <c r="F71" i="10"/>
  <c r="G71" i="10" s="1"/>
  <c r="G75" i="10"/>
  <c r="H54" i="32"/>
  <c r="I48" i="32"/>
  <c r="H48" i="32"/>
  <c r="H61" i="33"/>
  <c r="I37" i="33"/>
  <c r="G37" i="33"/>
  <c r="I61" i="33"/>
  <c r="G54" i="32"/>
  <c r="F59" i="32"/>
  <c r="G61" i="33"/>
  <c r="F63" i="33"/>
  <c r="G63" i="33" s="1"/>
  <c r="K37" i="33"/>
  <c r="M37" i="33"/>
  <c r="L37" i="33"/>
  <c r="D55" i="32"/>
  <c r="E59" i="32"/>
  <c r="L61" i="33"/>
  <c r="K61" i="33"/>
  <c r="J69" i="33"/>
  <c r="D75" i="33" l="1"/>
  <c r="E75" i="33" s="1"/>
  <c r="M62" i="33"/>
  <c r="K54" i="32"/>
  <c r="L69" i="33"/>
  <c r="M48" i="32"/>
  <c r="L48" i="32"/>
  <c r="E75" i="10"/>
  <c r="J59" i="32"/>
  <c r="L59" i="32" s="1"/>
  <c r="L54" i="32"/>
  <c r="F75" i="33"/>
  <c r="H69" i="33"/>
  <c r="I69" i="33"/>
  <c r="H62" i="33"/>
  <c r="G62" i="33"/>
  <c r="I62" i="33"/>
  <c r="H75" i="10"/>
  <c r="D71" i="10"/>
  <c r="H71" i="10" s="1"/>
  <c r="F55" i="32"/>
  <c r="G55" i="32" s="1"/>
  <c r="G59" i="32"/>
  <c r="I59" i="32"/>
  <c r="H59" i="32"/>
  <c r="H63" i="33"/>
  <c r="E55" i="32"/>
  <c r="K69" i="33"/>
  <c r="J75" i="33"/>
  <c r="L63" i="33"/>
  <c r="M69" i="33"/>
  <c r="D70" i="33" l="1"/>
  <c r="L75" i="33"/>
  <c r="I75" i="33"/>
  <c r="K59" i="32"/>
  <c r="J55" i="32"/>
  <c r="K55" i="32" s="1"/>
  <c r="M59" i="32"/>
  <c r="G75" i="33"/>
  <c r="H75" i="33"/>
  <c r="F70" i="33"/>
  <c r="G70" i="33" s="1"/>
  <c r="E71" i="10"/>
  <c r="M71" i="10"/>
  <c r="I71" i="10"/>
  <c r="H55" i="32"/>
  <c r="I55" i="32"/>
  <c r="J70" i="33"/>
  <c r="K70" i="33" s="1"/>
  <c r="K75" i="33"/>
  <c r="E70" i="33"/>
  <c r="L55" i="32" l="1"/>
  <c r="H70" i="33"/>
  <c r="M55" i="32"/>
  <c r="I70" i="33"/>
  <c r="M70" i="33"/>
  <c r="L70" i="33"/>
</calcChain>
</file>

<file path=xl/sharedStrings.xml><?xml version="1.0" encoding="utf-8"?>
<sst xmlns="http://schemas.openxmlformats.org/spreadsheetml/2006/main" count="1250" uniqueCount="472">
  <si>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</si>
  <si>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</si>
  <si>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</si>
  <si>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</si>
  <si>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</si>
  <si>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</si>
  <si>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</si>
  <si>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</si>
  <si>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</si>
  <si>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</si>
  <si>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</si>
  <si>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</si>
  <si>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</si>
  <si>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</si>
  <si>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</si>
  <si>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</si>
  <si>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</si>
  <si>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</si>
  <si>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</si>
  <si>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</si>
  <si>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</si>
  <si>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</si>
  <si>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</si>
  <si>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</si>
  <si>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</si>
  <si>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</si>
  <si>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</si>
  <si>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</si>
  <si>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</si>
  <si>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</si>
  <si>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</si>
  <si>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</si>
  <si>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</si>
  <si>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</si>
  <si>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</si>
  <si>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</si>
  <si>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</si>
  <si>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</si>
  <si>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</si>
  <si>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</si>
  <si>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</si>
  <si>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</si>
  <si>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</si>
  <si>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</si>
  <si>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</si>
  <si>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</si>
  <si>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</si>
  <si>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</si>
  <si>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</si>
  <si>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</si>
  <si>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</si>
  <si>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</si>
  <si>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</si>
  <si>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</si>
  <si>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</si>
  <si>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</si>
  <si>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</si>
  <si>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</si>
  <si>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</si>
  <si>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</si>
  <si>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</si>
  <si>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</si>
  <si>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</si>
  <si>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</si>
  <si>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</si>
  <si>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</si>
  <si>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</si>
  <si>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</si>
  <si>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</si>
  <si>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</si>
  <si>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</si>
  <si>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</si>
  <si>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</si>
  <si>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</si>
  <si>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</si>
  <si>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</si>
  <si>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</si>
  <si>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</si>
  <si>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</si>
  <si>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</si>
  <si>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</si>
  <si>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</si>
  <si>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</si>
  <si>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</si>
  <si>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</si>
  <si>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</si>
  <si>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</si>
  <si>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</si>
  <si>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</si>
  <si>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</si>
  <si>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</si>
  <si>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</si>
  <si>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</si>
  <si>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</si>
  <si>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</si>
  <si>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</si>
  <si>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</si>
  <si>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</si>
  <si>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</si>
  <si>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</si>
  <si>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</si>
  <si>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</si>
  <si>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</si>
  <si>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</si>
  <si>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</si>
  <si>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</si>
  <si>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</si>
  <si>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</si>
  <si>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</si>
  <si>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</si>
  <si>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</si>
  <si>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</si>
  <si>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</si>
  <si>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</si>
  <si>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</si>
  <si>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</si>
  <si>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</si>
  <si>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</si>
  <si>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</si>
  <si>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</si>
  <si>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</si>
  <si>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</si>
  <si>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</si>
  <si>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</si>
  <si>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</si>
  <si>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</si>
  <si>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</si>
  <si>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</si>
  <si>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</si>
  <si>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</si>
  <si>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</si>
  <si>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</si>
  <si>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</si>
  <si>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</si>
  <si>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</si>
  <si>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</si>
  <si>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</si>
  <si>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</si>
  <si>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</si>
  <si>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</si>
  <si>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</si>
  <si>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</si>
  <si>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</si>
  <si>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</si>
  <si>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</si>
  <si>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</si>
  <si>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</si>
  <si>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</si>
  <si>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</si>
  <si>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</si>
  <si>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</si>
  <si>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</si>
  <si>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</si>
  <si>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</si>
  <si>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</si>
  <si>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</si>
  <si>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</si>
  <si>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</si>
  <si>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</si>
  <si>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</si>
  <si>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</si>
  <si>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</si>
  <si>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</si>
  <si>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</si>
  <si>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</si>
  <si>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</si>
  <si>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</si>
  <si>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</si>
  <si>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</si>
  <si>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</si>
  <si>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</si>
  <si>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</si>
  <si>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</si>
  <si>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</si>
  <si>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</si>
  <si>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</si>
  <si>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</si>
  <si>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</si>
  <si>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</si>
  <si>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</si>
  <si>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</si>
  <si>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</si>
  <si>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</si>
  <si>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</si>
  <si>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</si>
  <si>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</si>
  <si>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</si>
  <si>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</si>
  <si>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</si>
  <si>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</si>
  <si>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</si>
  <si>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</si>
  <si>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</si>
  <si>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</si>
  <si>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</si>
  <si>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</si>
  <si>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</si>
  <si>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</si>
  <si>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</si>
  <si>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</si>
  <si>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</si>
  <si>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</si>
  <si>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</si>
  <si>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</si>
  <si>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</si>
  <si>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</si>
  <si>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</si>
  <si>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</si>
  <si>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</si>
  <si>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</si>
  <si>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</si>
  <si>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</si>
  <si>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</si>
  <si>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</si>
  <si>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</si>
  <si>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</si>
  <si>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</si>
  <si>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</si>
  <si>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</si>
  <si>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</si>
  <si>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</si>
  <si>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</si>
  <si>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</si>
  <si>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</si>
  <si>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</si>
  <si>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</si>
  <si>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</si>
  <si>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</si>
  <si>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</si>
  <si>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</si>
  <si>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</si>
  <si>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</si>
  <si>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</si>
  <si>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</si>
  <si>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</si>
  <si>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</si>
  <si>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</si>
  <si>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</si>
  <si>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</si>
  <si>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</si>
  <si>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</si>
  <si>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</si>
  <si>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</si>
  <si>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</si>
  <si>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</si>
  <si>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</si>
  <si>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</si>
  <si>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</si>
  <si>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</si>
  <si>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</si>
  <si>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</si>
  <si>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</si>
  <si>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</si>
  <si>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</si>
  <si>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</si>
  <si>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</si>
  <si>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</si>
  <si>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</si>
  <si>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</si>
  <si>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</si>
  <si>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</si>
  <si>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</si>
  <si>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</si>
  <si>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</si>
  <si>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</si>
  <si>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</si>
  <si>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</si>
  <si>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</si>
  <si>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</si>
  <si>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</si>
  <si>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</si>
  <si>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</si>
  <si>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</si>
  <si>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</si>
  <si>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</si>
  <si>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</si>
  <si>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</si>
  <si>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</si>
  <si>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</si>
  <si>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</si>
  <si>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</si>
  <si>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</si>
  <si>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</si>
  <si>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</si>
  <si>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</si>
  <si>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</si>
  <si>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</si>
  <si>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</si>
  <si>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</si>
  <si>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</si>
  <si>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</si>
  <si>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</si>
  <si>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</si>
  <si>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</si>
  <si>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</si>
  <si>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</si>
  <si>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</si>
  <si>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</si>
  <si>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</si>
  <si>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</si>
  <si>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</si>
  <si>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</si>
  <si>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</si>
  <si>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</si>
  <si>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</si>
  <si>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</si>
  <si>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</si>
  <si>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</si>
  <si>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</si>
  <si>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</si>
  <si>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</si>
  <si>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</si>
  <si>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</si>
  <si>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</si>
  <si>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</si>
  <si>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</si>
  <si>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</si>
  <si>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</si>
  <si>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</si>
  <si>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</si>
  <si>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</si>
  <si>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</si>
  <si>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</si>
  <si>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</si>
  <si>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</si>
  <si>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</si>
  <si>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</si>
  <si>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</si>
  <si>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</si>
  <si>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</si>
  <si>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</si>
  <si>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</si>
  <si>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</si>
  <si>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</si>
  <si>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</si>
  <si>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</si>
  <si>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</si>
  <si>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</si>
  <si>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</si>
  <si>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</si>
  <si>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</si>
  <si>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</si>
  <si>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</si>
  <si>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</si>
  <si>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</si>
  <si>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</si>
  <si>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</si>
  <si>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</si>
  <si>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</si>
  <si>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</si>
  <si>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</si>
  <si>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</si>
  <si>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</si>
  <si>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</si>
  <si>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</si>
  <si>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</si>
  <si>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</si>
  <si>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</si>
  <si>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</si>
  <si>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</si>
  <si>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</si>
  <si>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</si>
  <si>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</si>
  <si>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</si>
  <si>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</si>
  <si>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</si>
  <si>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</si>
  <si>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</si>
  <si>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</si>
  <si>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</si>
  <si>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</si>
  <si>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</si>
  <si>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</si>
  <si>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</si>
  <si>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</si>
  <si>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</si>
  <si>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</si>
  <si>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</si>
  <si>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</si>
  <si>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</si>
  <si>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</si>
  <si>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</si>
  <si>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</si>
  <si>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</si>
  <si>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</si>
  <si>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</si>
  <si>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</si>
  <si>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</si>
  <si>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</si>
  <si>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</si>
  <si>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</si>
  <si>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</si>
  <si>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</si>
  <si>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</si>
  <si>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</si>
  <si>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</si>
  <si>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</si>
  <si>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</si>
  <si>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</si>
  <si>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</si>
  <si>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</si>
  <si>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</si>
  <si>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</si>
  <si>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</si>
  <si>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</si>
  <si>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</si>
  <si>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</si>
  <si>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</si>
  <si>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</si>
  <si>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</si>
  <si>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</si>
  <si>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</si>
  <si>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</si>
  <si>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</si>
  <si>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</si>
  <si>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</si>
  <si>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</si>
  <si>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</si>
  <si>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</si>
  <si>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</si>
  <si>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</si>
  <si>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</si>
  <si>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</si>
  <si>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</si>
  <si>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</si>
  <si>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</si>
  <si>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</si>
  <si>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</si>
  <si>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</si>
  <si>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</si>
  <si>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</si>
  <si>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</si>
  <si>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</si>
  <si>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</si>
  <si>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</si>
  <si>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</si>
  <si>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</si>
  <si>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</si>
  <si>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</si>
  <si>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</si>
  <si>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</si>
  <si>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</si>
  <si>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</si>
  <si>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</si>
  <si>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</si>
  <si>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</si>
  <si>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</si>
  <si>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</si>
  <si>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</si>
  <si>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</si>
  <si>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</si>
  <si>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</si>
  <si>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</si>
  <si>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</si>
  <si>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</si>
  <si>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</si>
  <si>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</si>
  <si>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</si>
  <si>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</si>
  <si>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</si>
  <si>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</si>
  <si>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</si>
  <si>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</si>
  <si>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Transferi</t>
  </si>
  <si>
    <t>Ostvarenje 2018</t>
  </si>
  <si>
    <t>Izdaci za kupovinu hartija od vrijednosti</t>
  </si>
  <si>
    <t>Izdaci za otplatu hartija od vrijednosti</t>
  </si>
  <si>
    <t>...</t>
  </si>
  <si>
    <t>Primarni suficit/deficit</t>
  </si>
  <si>
    <t>Korigovani suficit/deficit</t>
  </si>
  <si>
    <t>Ostvarenje 2019</t>
  </si>
  <si>
    <t>Plan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</si>
</sst>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  <xf numFmtId="164" fontId="42" fillId="0" borderId="0" applyFont="0" applyFill="0" applyBorder="0" applyAlignment="0" applyProtection="0"/>
  </cellStyleXfs>
  <cellXfs count="359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9" fillId="5" borderId="36" xfId="36" applyFont="1" applyFill="1" applyBorder="1" applyAlignment="1">
      <alignment horizontal="center" vertical="center" wrapText="1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2" fontId="27" fillId="2" borderId="0" xfId="22" applyNumberFormat="1" applyFont="1" applyFill="1"/>
    <xf numFmtId="2" fontId="16" fillId="2" borderId="16" xfId="22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2" fontId="27" fillId="2" borderId="17" xfId="22" applyNumberFormat="1" applyFont="1" applyFill="1" applyBorder="1" applyAlignment="1">
      <alignment vertical="center"/>
    </xf>
    <xf numFmtId="2" fontId="27" fillId="2" borderId="0" xfId="22" applyNumberFormat="1" applyFont="1" applyFill="1" applyBorder="1"/>
    <xf numFmtId="166" fontId="27" fillId="2" borderId="0" xfId="0" applyNumberFormat="1" applyFont="1" applyFill="1" applyBorder="1" applyAlignment="1" applyProtection="1">
      <alignment horizontal="right"/>
      <protection hidden="1"/>
    </xf>
    <xf numFmtId="0" fontId="29" fillId="11" borderId="48" xfId="0" applyNumberFormat="1" applyFont="1" applyFill="1" applyBorder="1" applyAlignment="1" applyProtection="1">
      <alignment horizontal="right"/>
      <protection hidden="1"/>
    </xf>
    <xf numFmtId="2" fontId="27" fillId="11" borderId="48" xfId="0" applyNumberFormat="1" applyFont="1" applyFill="1" applyBorder="1" applyAlignment="1" applyProtection="1">
      <alignment horizontal="right" vertical="center"/>
      <protection hidden="1"/>
    </xf>
    <xf numFmtId="2" fontId="27" fillId="11" borderId="0" xfId="0" applyNumberFormat="1" applyFont="1" applyFill="1" applyBorder="1" applyAlignment="1" applyProtection="1">
      <alignment horizontal="right" vertical="center"/>
      <protection hidden="1"/>
    </xf>
    <xf numFmtId="2" fontId="27" fillId="11" borderId="50" xfId="0" applyNumberFormat="1" applyFont="1" applyFill="1" applyBorder="1" applyAlignment="1" applyProtection="1">
      <alignment horizontal="right" vertical="center"/>
      <protection hidden="1"/>
    </xf>
    <xf numFmtId="10" fontId="27" fillId="2" borderId="2" xfId="38" applyNumberFormat="1" applyFont="1" applyFill="1" applyBorder="1" applyAlignment="1" applyProtection="1">
      <alignment horizontal="right" vertical="center"/>
      <protection hidden="1"/>
    </xf>
    <xf numFmtId="166" fontId="27" fillId="11" borderId="0" xfId="0" applyNumberFormat="1" applyFont="1" applyFill="1" applyBorder="1" applyAlignment="1" applyProtection="1">
      <alignment horizontal="right"/>
      <protection hidden="1"/>
    </xf>
    <xf numFmtId="2" fontId="27" fillId="11" borderId="48" xfId="0" applyNumberFormat="1" applyFont="1" applyFill="1" applyBorder="1" applyAlignment="1" applyProtection="1">
      <alignment horizontal="right"/>
      <protection hidden="1"/>
    </xf>
    <xf numFmtId="2" fontId="27" fillId="11" borderId="50" xfId="0" applyNumberFormat="1" applyFont="1" applyFill="1" applyBorder="1" applyAlignment="1" applyProtection="1">
      <alignment horizontal="right"/>
      <protection hidden="1"/>
    </xf>
    <xf numFmtId="0" fontId="38" fillId="2" borderId="22" xfId="36" applyFont="1" applyFill="1" applyBorder="1" applyAlignment="1">
      <alignment horizontal="right"/>
    </xf>
    <xf numFmtId="167" fontId="29" fillId="5" borderId="13" xfId="22" applyNumberFormat="1" applyFont="1" applyFill="1" applyBorder="1" applyAlignment="1">
      <alignment horizontal="right" vertical="center"/>
    </xf>
    <xf numFmtId="167" fontId="29" fillId="14" borderId="12" xfId="22" applyNumberFormat="1" applyFont="1" applyFill="1" applyBorder="1" applyAlignment="1">
      <alignment horizontal="right" vertical="center"/>
    </xf>
    <xf numFmtId="167" fontId="27" fillId="14" borderId="12" xfId="22" applyNumberFormat="1" applyFont="1" applyFill="1" applyBorder="1" applyAlignment="1">
      <alignment horizontal="right" vertical="center"/>
    </xf>
    <xf numFmtId="167" fontId="29" fillId="14" borderId="12" xfId="36" applyNumberFormat="1" applyFont="1" applyFill="1" applyBorder="1" applyAlignment="1">
      <alignment horizontal="right" vertical="center"/>
    </xf>
    <xf numFmtId="167" fontId="16" fillId="14" borderId="12" xfId="22" applyNumberFormat="1" applyFont="1" applyFill="1" applyBorder="1" applyAlignment="1">
      <alignment horizontal="right" vertical="center"/>
    </xf>
    <xf numFmtId="167" fontId="29" fillId="14" borderId="13" xfId="22" applyNumberFormat="1" applyFont="1" applyFill="1" applyBorder="1" applyAlignment="1">
      <alignment horizontal="right" vertical="center"/>
    </xf>
    <xf numFmtId="167" fontId="27" fillId="14" borderId="13" xfId="22" applyNumberFormat="1" applyFont="1" applyFill="1" applyBorder="1" applyAlignment="1">
      <alignment horizontal="right" vertical="center"/>
    </xf>
    <xf numFmtId="0" fontId="27" fillId="2" borderId="21" xfId="39" applyFont="1" applyFill="1" applyBorder="1" applyAlignment="1">
      <alignment horizontal="right"/>
    </xf>
    <xf numFmtId="0" fontId="27" fillId="2" borderId="0" xfId="39" applyFont="1" applyFill="1" applyBorder="1" applyAlignment="1">
      <alignment horizontal="right"/>
    </xf>
    <xf numFmtId="0" fontId="27" fillId="2" borderId="0" xfId="39" applyFont="1" applyFill="1" applyAlignment="1">
      <alignment horizontal="right"/>
    </xf>
    <xf numFmtId="0" fontId="27" fillId="2" borderId="0" xfId="0" applyNumberFormat="1" applyFont="1" applyFill="1" applyBorder="1" applyAlignment="1" applyProtection="1">
      <alignment horizontal="right"/>
      <protection hidden="1"/>
    </xf>
    <xf numFmtId="0" fontId="27" fillId="2" borderId="0" xfId="22" applyFont="1" applyFill="1" applyBorder="1" applyAlignment="1">
      <alignment horizontal="right" vertical="center"/>
    </xf>
    <xf numFmtId="165" fontId="29" fillId="6" borderId="11" xfId="36" applyNumberFormat="1" applyFont="1" applyFill="1" applyBorder="1" applyAlignment="1">
      <alignment horizontal="right" vertical="center"/>
    </xf>
    <xf numFmtId="167" fontId="29" fillId="6" borderId="24" xfId="22" applyNumberFormat="1" applyFont="1" applyFill="1" applyBorder="1" applyAlignment="1">
      <alignment horizontal="right" vertical="center"/>
    </xf>
    <xf numFmtId="165" fontId="29" fillId="2" borderId="30" xfId="36" applyNumberFormat="1" applyFont="1" applyFill="1" applyBorder="1" applyAlignment="1">
      <alignment horizontal="right" vertical="center"/>
    </xf>
    <xf numFmtId="167" fontId="29" fillId="2" borderId="0" xfId="22" applyNumberFormat="1" applyFont="1" applyFill="1" applyBorder="1" applyAlignment="1">
      <alignment horizontal="right" vertical="center"/>
    </xf>
    <xf numFmtId="165" fontId="29" fillId="14" borderId="30" xfId="36" applyNumberFormat="1" applyFont="1" applyFill="1" applyBorder="1" applyAlignment="1">
      <alignment horizontal="right" vertical="center"/>
    </xf>
    <xf numFmtId="167" fontId="29" fillId="14" borderId="0" xfId="22" applyNumberFormat="1" applyFont="1" applyFill="1" applyBorder="1" applyAlignment="1">
      <alignment horizontal="right" vertical="center"/>
    </xf>
    <xf numFmtId="167" fontId="29" fillId="14" borderId="14" xfId="22" applyNumberFormat="1" applyFont="1" applyFill="1" applyBorder="1" applyAlignment="1">
      <alignment horizontal="right" vertical="center"/>
    </xf>
    <xf numFmtId="165" fontId="27" fillId="2" borderId="30" xfId="36" applyNumberFormat="1" applyFont="1" applyFill="1" applyBorder="1" applyAlignment="1">
      <alignment horizontal="right" vertical="center"/>
    </xf>
    <xf numFmtId="167" fontId="27" fillId="2" borderId="14" xfId="22" applyNumberFormat="1" applyFont="1" applyFill="1" applyBorder="1" applyAlignment="1">
      <alignment horizontal="right" vertical="center"/>
    </xf>
    <xf numFmtId="165" fontId="27" fillId="14" borderId="30" xfId="36" applyNumberFormat="1" applyFont="1" applyFill="1" applyBorder="1" applyAlignment="1">
      <alignment horizontal="right" vertical="center"/>
    </xf>
    <xf numFmtId="167" fontId="27" fillId="14" borderId="14" xfId="22" applyNumberFormat="1" applyFont="1" applyFill="1" applyBorder="1" applyAlignment="1">
      <alignment horizontal="right" vertical="center"/>
    </xf>
    <xf numFmtId="167" fontId="29" fillId="2" borderId="14" xfId="22" applyNumberFormat="1" applyFont="1" applyFill="1" applyBorder="1" applyAlignment="1">
      <alignment horizontal="right" vertical="center"/>
    </xf>
    <xf numFmtId="165" fontId="29" fillId="6" borderId="5" xfId="22" applyNumberFormat="1" applyFont="1" applyFill="1" applyBorder="1" applyAlignment="1">
      <alignment horizontal="right" vertical="center"/>
    </xf>
    <xf numFmtId="165" fontId="29" fillId="2" borderId="30" xfId="22" applyNumberFormat="1" applyFont="1" applyFill="1" applyBorder="1" applyAlignment="1">
      <alignment horizontal="right" vertical="center"/>
    </xf>
    <xf numFmtId="165" fontId="29" fillId="14" borderId="30" xfId="22" applyNumberFormat="1" applyFont="1" applyFill="1" applyBorder="1" applyAlignment="1">
      <alignment horizontal="right" vertical="center"/>
    </xf>
    <xf numFmtId="165" fontId="29" fillId="6" borderId="5" xfId="36" applyNumberFormat="1" applyFont="1" applyFill="1" applyBorder="1" applyAlignment="1">
      <alignment horizontal="right" vertical="center"/>
    </xf>
    <xf numFmtId="165" fontId="29" fillId="2" borderId="5" xfId="36" applyNumberFormat="1" applyFont="1" applyFill="1" applyBorder="1" applyAlignment="1">
      <alignment horizontal="right" vertical="center"/>
    </xf>
    <xf numFmtId="167" fontId="29" fillId="2" borderId="24" xfId="22" applyNumberFormat="1" applyFont="1" applyFill="1" applyBorder="1" applyAlignment="1">
      <alignment horizontal="right" vertical="center"/>
    </xf>
    <xf numFmtId="165" fontId="29" fillId="14" borderId="5" xfId="36" applyNumberFormat="1" applyFont="1" applyFill="1" applyBorder="1" applyAlignment="1">
      <alignment horizontal="right" vertical="center"/>
    </xf>
    <xf numFmtId="167" fontId="29" fillId="14" borderId="24" xfId="22" applyNumberFormat="1" applyFont="1" applyFill="1" applyBorder="1" applyAlignment="1">
      <alignment horizontal="right" vertical="center"/>
    </xf>
    <xf numFmtId="165" fontId="27" fillId="2" borderId="5" xfId="36" applyNumberFormat="1" applyFont="1" applyFill="1" applyBorder="1" applyAlignment="1">
      <alignment horizontal="right" vertical="center"/>
    </xf>
    <xf numFmtId="167" fontId="27" fillId="2" borderId="24" xfId="22" applyNumberFormat="1" applyFont="1" applyFill="1" applyBorder="1" applyAlignment="1">
      <alignment horizontal="right" vertical="center"/>
    </xf>
    <xf numFmtId="165" fontId="27" fillId="14" borderId="5" xfId="36" applyNumberFormat="1" applyFont="1" applyFill="1" applyBorder="1" applyAlignment="1">
      <alignment horizontal="right" vertical="center"/>
    </xf>
    <xf numFmtId="167" fontId="27" fillId="14" borderId="24" xfId="22" applyNumberFormat="1" applyFont="1" applyFill="1" applyBorder="1" applyAlignment="1">
      <alignment horizontal="right" vertical="center"/>
    </xf>
    <xf numFmtId="167" fontId="27" fillId="0" borderId="14" xfId="22" applyNumberFormat="1" applyFont="1" applyFill="1" applyBorder="1" applyAlignment="1">
      <alignment horizontal="right" vertical="center"/>
    </xf>
    <xf numFmtId="165" fontId="29" fillId="2" borderId="5" xfId="22" applyNumberFormat="1" applyFont="1" applyFill="1" applyBorder="1" applyAlignment="1">
      <alignment horizontal="right" vertical="center"/>
    </xf>
    <xf numFmtId="165" fontId="29" fillId="14" borderId="5" xfId="22" applyNumberFormat="1" applyFont="1" applyFill="1" applyBorder="1" applyAlignment="1">
      <alignment horizontal="right" vertical="center"/>
    </xf>
    <xf numFmtId="2" fontId="27" fillId="2" borderId="0" xfId="22" applyNumberFormat="1" applyFont="1" applyFill="1" applyBorder="1" applyAlignment="1">
      <alignment horizontal="right" wrapText="1"/>
    </xf>
    <xf numFmtId="2" fontId="27" fillId="2" borderId="0" xfId="22" applyNumberFormat="1" applyFont="1" applyFill="1" applyAlignment="1">
      <alignment horizontal="right"/>
    </xf>
    <xf numFmtId="165" fontId="27" fillId="2" borderId="0" xfId="22" applyNumberFormat="1" applyFont="1" applyFill="1" applyAlignment="1">
      <alignment horizontal="right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166" fontId="27" fillId="0" borderId="16" xfId="0" applyNumberFormat="1" applyFont="1" applyFill="1" applyBorder="1" applyAlignment="1">
      <alignment horizontal="right" vertical="center"/>
    </xf>
    <xf numFmtId="166" fontId="27" fillId="0" borderId="14" xfId="0" applyNumberFormat="1" applyFont="1" applyFill="1" applyBorder="1" applyAlignment="1">
      <alignment horizontal="right" vertic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right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39" fillId="2" borderId="22" xfId="22" applyFont="1" applyFill="1" applyBorder="1" applyAlignment="1">
      <alignment horizontal="right"/>
    </xf>
    <xf numFmtId="0" fontId="40" fillId="2" borderId="22" xfId="22" applyFont="1" applyFill="1" applyBorder="1" applyAlignment="1">
      <alignment horizontal="right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7" fillId="11" borderId="48" xfId="0" applyNumberFormat="1" applyFont="1" applyFill="1" applyBorder="1" applyAlignment="1" applyProtection="1">
      <alignment horizontal="right"/>
      <protection hidden="1"/>
    </xf>
    <xf numFmtId="0" fontId="29" fillId="11" borderId="49" xfId="22" applyNumberFormat="1" applyFont="1" applyFill="1" applyBorder="1" applyAlignment="1">
      <alignment horizontal="right"/>
    </xf>
    <xf numFmtId="0" fontId="27" fillId="11" borderId="48" xfId="0" applyNumberFormat="1" applyFont="1" applyFill="1" applyBorder="1" applyAlignment="1" applyProtection="1">
      <alignment horizontal="right" vertical="center"/>
      <protection hidden="1"/>
    </xf>
    <xf numFmtId="2" fontId="27" fillId="11" borderId="49" xfId="0" applyNumberFormat="1" applyFont="1" applyFill="1" applyBorder="1" applyAlignment="1" applyProtection="1">
      <alignment horizontal="right" vertical="center"/>
      <protection hidden="1"/>
    </xf>
    <xf numFmtId="0" fontId="27" fillId="11" borderId="0" xfId="0" applyNumberFormat="1" applyFont="1" applyFill="1" applyBorder="1" applyAlignment="1" applyProtection="1">
      <alignment horizontal="right" vertical="center"/>
      <protection hidden="1"/>
    </xf>
    <xf numFmtId="2" fontId="27" fillId="11" borderId="28" xfId="0" applyNumberFormat="1" applyFont="1" applyFill="1" applyBorder="1" applyAlignment="1" applyProtection="1">
      <alignment horizontal="right" vertical="center"/>
      <protection hidden="1"/>
    </xf>
    <xf numFmtId="0" fontId="27" fillId="11" borderId="50" xfId="0" applyNumberFormat="1" applyFont="1" applyFill="1" applyBorder="1" applyAlignment="1" applyProtection="1">
      <alignment horizontal="right" vertical="center"/>
      <protection hidden="1"/>
    </xf>
    <xf numFmtId="2" fontId="27" fillId="11" borderId="32" xfId="22" applyNumberFormat="1" applyFont="1" applyFill="1" applyBorder="1" applyAlignment="1">
      <alignment horizontal="right" vertical="center"/>
    </xf>
    <xf numFmtId="166" fontId="27" fillId="11" borderId="4" xfId="0" applyNumberFormat="1" applyFont="1" applyFill="1" applyBorder="1" applyAlignment="1" applyProtection="1">
      <alignment horizontal="right"/>
      <protection hidden="1"/>
    </xf>
    <xf numFmtId="0" fontId="27" fillId="11" borderId="28" xfId="22" applyFont="1" applyFill="1" applyBorder="1" applyAlignment="1">
      <alignment horizontal="right"/>
    </xf>
    <xf numFmtId="166" fontId="27" fillId="11" borderId="48" xfId="0" applyNumberFormat="1" applyFont="1" applyFill="1" applyBorder="1" applyAlignment="1" applyProtection="1">
      <alignment horizontal="right"/>
      <protection hidden="1"/>
    </xf>
    <xf numFmtId="2" fontId="27" fillId="11" borderId="49" xfId="0" applyNumberFormat="1" applyFont="1" applyFill="1" applyBorder="1" applyAlignment="1" applyProtection="1">
      <alignment horizontal="right"/>
      <protection hidden="1"/>
    </xf>
    <xf numFmtId="166" fontId="27" fillId="11" borderId="50" xfId="0" applyNumberFormat="1" applyFont="1" applyFill="1" applyBorder="1" applyAlignment="1" applyProtection="1">
      <alignment horizontal="right"/>
      <protection hidden="1"/>
    </xf>
    <xf numFmtId="2" fontId="27" fillId="11" borderId="32" xfId="0" applyNumberFormat="1" applyFont="1" applyFill="1" applyBorder="1" applyAlignment="1" applyProtection="1">
      <alignment horizontal="right"/>
      <protection hidden="1"/>
    </xf>
    <xf numFmtId="166" fontId="27" fillId="0" borderId="16" xfId="0" applyNumberFormat="1" applyFont="1" applyFill="1" applyBorder="1" applyAlignment="1" applyProtection="1">
      <alignment horizontal="right" vertical="center"/>
      <protection hidden="1"/>
    </xf>
    <xf numFmtId="166" fontId="27" fillId="0" borderId="14" xfId="0" applyNumberFormat="1" applyFont="1" applyFill="1" applyBorder="1" applyAlignment="1" applyProtection="1">
      <alignment horizontal="right" vertical="center"/>
      <protection hidden="1"/>
    </xf>
    <xf numFmtId="166" fontId="27" fillId="0" borderId="0" xfId="0" applyNumberFormat="1" applyFont="1" applyFill="1" applyBorder="1" applyAlignment="1" applyProtection="1">
      <alignment horizontal="right" vertical="center"/>
      <protection hidden="1"/>
    </xf>
    <xf numFmtId="165" fontId="27" fillId="2" borderId="21" xfId="36" applyNumberFormat="1" applyFont="1" applyFill="1" applyBorder="1" applyAlignment="1">
      <alignment horizontal="right" wrapText="1"/>
    </xf>
    <xf numFmtId="166" fontId="27" fillId="2" borderId="21" xfId="0" applyNumberFormat="1" applyFont="1" applyFill="1" applyBorder="1" applyAlignment="1" applyProtection="1">
      <alignment horizontal="right"/>
      <protection hidden="1"/>
    </xf>
    <xf numFmtId="165" fontId="37" fillId="2" borderId="22" xfId="36" applyNumberFormat="1" applyFont="1" applyFill="1" applyBorder="1" applyAlignment="1">
      <alignment horizontal="right" wrapText="1"/>
    </xf>
    <xf numFmtId="2" fontId="37" fillId="2" borderId="22" xfId="36" applyNumberFormat="1" applyFont="1" applyFill="1" applyBorder="1" applyAlignment="1">
      <alignment horizontal="right" wrapText="1"/>
    </xf>
    <xf numFmtId="0" fontId="37" fillId="2" borderId="22" xfId="36" applyFont="1" applyFill="1" applyBorder="1" applyAlignment="1">
      <alignment horizontal="right" wrapText="1"/>
    </xf>
    <xf numFmtId="0" fontId="31" fillId="2" borderId="22" xfId="36" applyFont="1" applyFill="1" applyBorder="1" applyAlignment="1">
      <alignment horizontal="right"/>
    </xf>
    <xf numFmtId="165" fontId="29" fillId="5" borderId="11" xfId="36" applyNumberFormat="1" applyFont="1" applyFill="1" applyBorder="1" applyAlignment="1">
      <alignment horizontal="right" vertical="center"/>
    </xf>
    <xf numFmtId="167" fontId="29" fillId="5" borderId="36" xfId="22" applyNumberFormat="1" applyFont="1" applyFill="1" applyBorder="1" applyAlignment="1">
      <alignment horizontal="right" vertical="center"/>
    </xf>
    <xf numFmtId="167" fontId="29" fillId="2" borderId="12" xfId="22" applyNumberFormat="1" applyFont="1" applyFill="1" applyBorder="1" applyAlignment="1">
      <alignment horizontal="right" vertical="center"/>
    </xf>
    <xf numFmtId="165" fontId="27" fillId="0" borderId="30" xfId="36" applyNumberFormat="1" applyFont="1" applyFill="1" applyBorder="1" applyAlignment="1">
      <alignment horizontal="right" vertical="center"/>
    </xf>
    <xf numFmtId="167" fontId="27" fillId="2" borderId="12" xfId="22" applyNumberFormat="1" applyFont="1" applyFill="1" applyBorder="1" applyAlignment="1">
      <alignment horizontal="right" vertical="center"/>
    </xf>
    <xf numFmtId="165" fontId="29" fillId="5" borderId="5" xfId="22" applyNumberFormat="1" applyFont="1" applyFill="1" applyBorder="1" applyAlignment="1">
      <alignment horizontal="right" vertical="center"/>
    </xf>
    <xf numFmtId="167" fontId="29" fillId="5" borderId="24" xfId="36" applyNumberFormat="1" applyFont="1" applyFill="1" applyBorder="1" applyAlignment="1">
      <alignment horizontal="right" vertical="center"/>
    </xf>
    <xf numFmtId="165" fontId="29" fillId="5" borderId="5" xfId="36" applyNumberFormat="1" applyFont="1" applyFill="1" applyBorder="1" applyAlignment="1">
      <alignment horizontal="right" vertical="center"/>
    </xf>
    <xf numFmtId="167" fontId="29" fillId="2" borderId="14" xfId="36" applyNumberFormat="1" applyFont="1" applyFill="1" applyBorder="1" applyAlignment="1">
      <alignment horizontal="right" vertical="center"/>
    </xf>
    <xf numFmtId="165" fontId="29" fillId="0" borderId="30" xfId="36" applyNumberFormat="1" applyFont="1" applyFill="1" applyBorder="1" applyAlignment="1">
      <alignment horizontal="right" vertical="center"/>
    </xf>
    <xf numFmtId="167" fontId="29" fillId="2" borderId="12" xfId="36" applyNumberFormat="1" applyFont="1" applyFill="1" applyBorder="1" applyAlignment="1">
      <alignment horizontal="right" vertical="center"/>
    </xf>
    <xf numFmtId="167" fontId="27" fillId="2" borderId="14" xfId="36" applyNumberFormat="1" applyFont="1" applyFill="1" applyBorder="1" applyAlignment="1">
      <alignment horizontal="right" vertical="center"/>
    </xf>
    <xf numFmtId="175" fontId="27" fillId="2" borderId="30" xfId="36" applyNumberFormat="1" applyFont="1" applyFill="1" applyBorder="1" applyAlignment="1">
      <alignment horizontal="right" vertical="center"/>
    </xf>
    <xf numFmtId="165" fontId="16" fillId="0" borderId="30" xfId="36" applyNumberFormat="1" applyFont="1" applyFill="1" applyBorder="1" applyAlignment="1">
      <alignment horizontal="right" vertical="center"/>
    </xf>
    <xf numFmtId="165" fontId="16" fillId="2" borderId="30" xfId="36" applyNumberFormat="1" applyFont="1" applyFill="1" applyBorder="1" applyAlignment="1">
      <alignment horizontal="right" vertical="center"/>
    </xf>
    <xf numFmtId="165" fontId="16" fillId="14" borderId="30" xfId="22" applyNumberFormat="1" applyFont="1" applyFill="1" applyBorder="1" applyAlignment="1">
      <alignment horizontal="right" vertical="center"/>
    </xf>
    <xf numFmtId="165" fontId="16" fillId="0" borderId="11" xfId="36" applyNumberFormat="1" applyFont="1" applyFill="1" applyBorder="1" applyAlignment="1">
      <alignment horizontal="right" vertical="center"/>
    </xf>
    <xf numFmtId="165" fontId="29" fillId="15" borderId="5" xfId="36" applyNumberFormat="1" applyFont="1" applyFill="1" applyBorder="1" applyAlignment="1">
      <alignment horizontal="right" vertical="center"/>
    </xf>
    <xf numFmtId="167" fontId="29" fillId="2" borderId="13" xfId="22" applyNumberFormat="1" applyFont="1" applyFill="1" applyBorder="1" applyAlignment="1">
      <alignment horizontal="right" vertical="center"/>
    </xf>
    <xf numFmtId="167" fontId="29" fillId="2" borderId="24" xfId="36" applyNumberFormat="1" applyFont="1" applyFill="1" applyBorder="1" applyAlignment="1">
      <alignment horizontal="right" vertical="center"/>
    </xf>
    <xf numFmtId="167" fontId="27" fillId="2" borderId="13" xfId="22" applyNumberFormat="1" applyFont="1" applyFill="1" applyBorder="1" applyAlignment="1">
      <alignment horizontal="right" vertical="center"/>
    </xf>
    <xf numFmtId="167" fontId="27" fillId="2" borderId="24" xfId="36" applyNumberFormat="1" applyFont="1" applyFill="1" applyBorder="1" applyAlignment="1">
      <alignment horizontal="right" vertical="center"/>
    </xf>
    <xf numFmtId="165" fontId="27" fillId="2" borderId="11" xfId="36" applyNumberFormat="1" applyFont="1" applyFill="1" applyBorder="1" applyAlignment="1">
      <alignment horizontal="right" vertical="center"/>
    </xf>
    <xf numFmtId="167" fontId="27" fillId="0" borderId="12" xfId="22" applyNumberFormat="1" applyFont="1" applyFill="1" applyBorder="1" applyAlignment="1">
      <alignment horizontal="right" vertical="center"/>
    </xf>
    <xf numFmtId="167" fontId="27" fillId="0" borderId="14" xfId="36" applyNumberFormat="1" applyFont="1" applyFill="1" applyBorder="1" applyAlignment="1">
      <alignment horizontal="right" vertical="center"/>
    </xf>
    <xf numFmtId="165" fontId="27" fillId="2" borderId="21" xfId="39" applyNumberFormat="1" applyFont="1" applyFill="1" applyBorder="1" applyAlignment="1">
      <alignment horizontal="right"/>
    </xf>
    <xf numFmtId="2" fontId="27" fillId="2" borderId="0" xfId="39" applyNumberFormat="1" applyFont="1" applyFill="1" applyBorder="1" applyAlignment="1">
      <alignment horizontal="right"/>
    </xf>
    <xf numFmtId="165" fontId="27" fillId="2" borderId="0" xfId="39" applyNumberFormat="1" applyFont="1" applyFill="1" applyBorder="1" applyAlignment="1">
      <alignment horizontal="right" vertical="center"/>
    </xf>
    <xf numFmtId="4" fontId="37" fillId="2" borderId="0" xfId="39" applyNumberFormat="1" applyFont="1" applyFill="1" applyBorder="1" applyAlignment="1">
      <alignment horizontal="right"/>
    </xf>
    <xf numFmtId="165" fontId="29" fillId="8" borderId="5" xfId="0" applyNumberFormat="1" applyFont="1" applyFill="1" applyBorder="1" applyAlignment="1">
      <alignment horizontal="right"/>
    </xf>
    <xf numFmtId="167" fontId="29" fillId="8" borderId="13" xfId="0" applyNumberFormat="1" applyFont="1" applyFill="1" applyBorder="1" applyAlignment="1">
      <alignment horizontal="right"/>
    </xf>
    <xf numFmtId="165" fontId="29" fillId="2" borderId="29" xfId="0" applyNumberFormat="1" applyFont="1" applyFill="1" applyBorder="1" applyAlignment="1">
      <alignment horizontal="right"/>
    </xf>
    <xf numFmtId="167" fontId="29" fillId="2" borderId="34" xfId="0" applyNumberFormat="1" applyFont="1" applyFill="1" applyBorder="1" applyAlignment="1">
      <alignment horizontal="right"/>
    </xf>
    <xf numFmtId="165" fontId="29" fillId="14" borderId="29" xfId="0" applyNumberFormat="1" applyFont="1" applyFill="1" applyBorder="1" applyAlignment="1">
      <alignment horizontal="right"/>
    </xf>
    <xf numFmtId="167" fontId="29" fillId="14" borderId="34" xfId="0" applyNumberFormat="1" applyFont="1" applyFill="1" applyBorder="1" applyAlignment="1">
      <alignment horizontal="right"/>
    </xf>
    <xf numFmtId="165" fontId="27" fillId="2" borderId="30" xfId="0" applyNumberFormat="1" applyFont="1" applyFill="1" applyBorder="1" applyAlignment="1">
      <alignment horizontal="right"/>
    </xf>
    <xf numFmtId="167" fontId="27" fillId="2" borderId="12" xfId="0" applyNumberFormat="1" applyFont="1" applyFill="1" applyBorder="1" applyAlignment="1">
      <alignment horizontal="right"/>
    </xf>
    <xf numFmtId="165" fontId="27" fillId="14" borderId="30" xfId="0" applyNumberFormat="1" applyFont="1" applyFill="1" applyBorder="1" applyAlignment="1">
      <alignment horizontal="right"/>
    </xf>
    <xf numFmtId="165" fontId="29" fillId="2" borderId="30" xfId="0" applyNumberFormat="1" applyFont="1" applyFill="1" applyBorder="1" applyAlignment="1">
      <alignment horizontal="right"/>
    </xf>
    <xf numFmtId="167" fontId="29" fillId="2" borderId="12" xfId="0" applyNumberFormat="1" applyFont="1" applyFill="1" applyBorder="1" applyAlignment="1">
      <alignment horizontal="right"/>
    </xf>
    <xf numFmtId="165" fontId="29" fillId="14" borderId="30" xfId="0" applyNumberFormat="1" applyFont="1" applyFill="1" applyBorder="1" applyAlignment="1">
      <alignment horizontal="right"/>
    </xf>
    <xf numFmtId="167" fontId="29" fillId="14" borderId="12" xfId="0" applyNumberFormat="1" applyFont="1" applyFill="1" applyBorder="1" applyAlignment="1">
      <alignment horizontal="right"/>
    </xf>
    <xf numFmtId="165" fontId="29" fillId="8" borderId="5" xfId="22" applyNumberFormat="1" applyFont="1" applyFill="1" applyBorder="1" applyAlignment="1">
      <alignment horizontal="right" vertical="center"/>
    </xf>
    <xf numFmtId="167" fontId="29" fillId="8" borderId="13" xfId="22" applyNumberFormat="1" applyFont="1" applyFill="1" applyBorder="1" applyAlignment="1">
      <alignment horizontal="right" vertical="center"/>
    </xf>
    <xf numFmtId="167" fontId="29" fillId="8" borderId="13" xfId="36" applyNumberFormat="1" applyFont="1" applyFill="1" applyBorder="1" applyAlignment="1">
      <alignment horizontal="right" vertical="center"/>
    </xf>
    <xf numFmtId="165" fontId="29" fillId="8" borderId="5" xfId="36" applyNumberFormat="1" applyFont="1" applyFill="1" applyBorder="1" applyAlignment="1">
      <alignment horizontal="right" vertical="center"/>
    </xf>
    <xf numFmtId="165" fontId="29" fillId="2" borderId="11" xfId="0" applyNumberFormat="1" applyFont="1" applyFill="1" applyBorder="1" applyAlignment="1">
      <alignment horizontal="right"/>
    </xf>
    <xf numFmtId="167" fontId="29" fillId="2" borderId="36" xfId="0" applyNumberFormat="1" applyFont="1" applyFill="1" applyBorder="1" applyAlignment="1">
      <alignment horizontal="right"/>
    </xf>
    <xf numFmtId="165" fontId="29" fillId="14" borderId="11" xfId="0" applyNumberFormat="1" applyFont="1" applyFill="1" applyBorder="1" applyAlignment="1">
      <alignment horizontal="right"/>
    </xf>
    <xf numFmtId="167" fontId="29" fillId="14" borderId="36" xfId="0" applyNumberFormat="1" applyFont="1" applyFill="1" applyBorder="1" applyAlignment="1">
      <alignment horizontal="right"/>
    </xf>
    <xf numFmtId="165" fontId="29" fillId="2" borderId="15" xfId="0" applyNumberFormat="1" applyFont="1" applyFill="1" applyBorder="1" applyAlignment="1">
      <alignment horizontal="right"/>
    </xf>
    <xf numFmtId="167" fontId="29" fillId="2" borderId="53" xfId="0" applyNumberFormat="1" applyFont="1" applyFill="1" applyBorder="1" applyAlignment="1">
      <alignment horizontal="right"/>
    </xf>
    <xf numFmtId="165" fontId="29" fillId="14" borderId="15" xfId="0" applyNumberFormat="1" applyFont="1" applyFill="1" applyBorder="1" applyAlignment="1">
      <alignment horizontal="right"/>
    </xf>
    <xf numFmtId="167" fontId="29" fillId="14" borderId="53" xfId="0" applyNumberFormat="1" applyFont="1" applyFill="1" applyBorder="1" applyAlignment="1">
      <alignment horizontal="right"/>
    </xf>
    <xf numFmtId="165" fontId="27" fillId="2" borderId="30" xfId="36" applyNumberFormat="1" applyFont="1" applyFill="1" applyBorder="1" applyAlignment="1">
      <alignment horizontal="right"/>
    </xf>
    <xf numFmtId="165" fontId="29" fillId="2" borderId="5" xfId="0" applyNumberFormat="1" applyFont="1" applyFill="1" applyBorder="1" applyAlignment="1">
      <alignment horizontal="right"/>
    </xf>
    <xf numFmtId="167" fontId="29" fillId="2" borderId="13" xfId="0" applyNumberFormat="1" applyFont="1" applyFill="1" applyBorder="1" applyAlignment="1">
      <alignment horizontal="right"/>
    </xf>
    <xf numFmtId="165" fontId="29" fillId="14" borderId="5" xfId="0" applyNumberFormat="1" applyFont="1" applyFill="1" applyBorder="1" applyAlignment="1">
      <alignment horizontal="right"/>
    </xf>
    <xf numFmtId="165" fontId="27" fillId="2" borderId="29" xfId="36" applyNumberFormat="1" applyFont="1" applyFill="1" applyBorder="1" applyAlignment="1">
      <alignment horizontal="right"/>
    </xf>
    <xf numFmtId="167" fontId="27" fillId="2" borderId="34" xfId="0" applyNumberFormat="1" applyFont="1" applyFill="1" applyBorder="1" applyAlignment="1">
      <alignment horizontal="right"/>
    </xf>
    <xf numFmtId="165" fontId="27" fillId="14" borderId="29" xfId="0" applyNumberFormat="1" applyFont="1" applyFill="1" applyBorder="1" applyAlignment="1">
      <alignment horizontal="right"/>
    </xf>
    <xf numFmtId="167" fontId="27" fillId="14" borderId="34" xfId="0" applyNumberFormat="1" applyFont="1" applyFill="1" applyBorder="1" applyAlignment="1">
      <alignment horizontal="right"/>
    </xf>
    <xf numFmtId="167" fontId="29" fillId="2" borderId="13" xfId="36" applyNumberFormat="1" applyFont="1" applyFill="1" applyBorder="1" applyAlignment="1">
      <alignment horizontal="right" vertical="center"/>
    </xf>
    <xf numFmtId="49" fontId="27" fillId="2" borderId="0" xfId="22" applyNumberFormat="1" applyFont="1" applyFill="1" applyBorder="1" applyAlignment="1">
      <alignment horizontal="right" wrapText="1"/>
    </xf>
    <xf numFmtId="164" fontId="27" fillId="2" borderId="0" xfId="40" applyFont="1" applyFill="1" applyBorder="1" applyAlignment="1">
      <alignment horizontal="right" wrapText="1"/>
    </xf>
    <xf numFmtId="49" fontId="27" fillId="2" borderId="0" xfId="22" applyNumberFormat="1" applyFont="1" applyFill="1" applyAlignment="1">
      <alignment horizontal="right"/>
    </xf>
    <xf numFmtId="49" fontId="27" fillId="2" borderId="0" xfId="22" applyNumberFormat="1" applyFont="1" applyFill="1" applyAlignment="1">
      <alignment horizontal="right" wrapText="1"/>
    </xf>
    <xf numFmtId="49" fontId="41" fillId="2" borderId="0" xfId="22" applyNumberFormat="1" applyFont="1" applyFill="1" applyAlignment="1">
      <alignment horizontal="right" wrapText="1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96"/>
        <c:axId val="1413488"/>
      </c:lineChart>
      <c:catAx>
        <c:axId val="213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488"/>
        <c:crosses val="autoZero"/>
        <c:auto val="1"/>
        <c:lblAlgn val="ctr"/>
        <c:lblOffset val="100"/>
        <c:noMultiLvlLbl val="0"/>
      </c:catAx>
      <c:valAx>
        <c:axId val="141348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8064"/>
        <c:axId val="6407520"/>
      </c:lineChart>
      <c:catAx>
        <c:axId val="64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407520"/>
        <c:crosses val="autoZero"/>
        <c:auto val="1"/>
        <c:lblAlgn val="ctr"/>
        <c:lblOffset val="100"/>
        <c:noMultiLvlLbl val="0"/>
      </c:catAx>
      <c:valAx>
        <c:axId val="6407520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40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abSelected="1" topLeftCell="A46" zoomScaleNormal="100" workbookViewId="0">
      <selection activeCell="P17" sqref="P17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9.42578125" style="167" customWidth="1"/>
    <col min="5" max="5" width="7.7109375" style="167" customWidth="1"/>
    <col min="6" max="6" width="7.42578125" style="167" customWidth="1"/>
    <col min="7" max="7" width="6.42578125" style="167" customWidth="1"/>
    <col min="8" max="8" width="7.7109375" style="167" customWidth="1"/>
    <col min="9" max="9" width="6.5703125" style="167" customWidth="1"/>
    <col min="10" max="10" width="7.7109375" style="167" customWidth="1"/>
    <col min="11" max="11" width="6.7109375" style="167" customWidth="1"/>
    <col min="12" max="13" width="7.7109375" style="167" customWidth="1"/>
    <col min="14" max="14" width="9.140625" style="80" customWidth="1"/>
    <col min="15" max="15" width="12.42578125" style="80" bestFit="1" customWidth="1"/>
    <col min="16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263"/>
      <c r="E2" s="263"/>
      <c r="F2" s="263"/>
      <c r="G2" s="171">
        <v>2014</v>
      </c>
      <c r="H2" s="171"/>
      <c r="I2" s="171"/>
      <c r="J2" s="264">
        <v>2017</v>
      </c>
      <c r="L2" s="171"/>
      <c r="M2" s="17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265"/>
      <c r="E3" s="265"/>
      <c r="F3" s="265"/>
      <c r="G3" s="172">
        <v>5.4037200000000007</v>
      </c>
      <c r="H3" s="172"/>
      <c r="I3" s="172"/>
      <c r="J3" s="266">
        <v>6.0799999999999965</v>
      </c>
      <c r="L3" s="172"/>
      <c r="M3" s="17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267"/>
      <c r="E4" s="267"/>
      <c r="F4" s="267"/>
      <c r="G4" s="173">
        <v>3.54</v>
      </c>
      <c r="H4" s="173"/>
      <c r="I4" s="173"/>
      <c r="J4" s="268">
        <v>4</v>
      </c>
      <c r="L4" s="173"/>
      <c r="M4" s="173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269"/>
      <c r="E5" s="269"/>
      <c r="F5" s="269"/>
      <c r="G5" s="174">
        <v>1.8</v>
      </c>
      <c r="H5" s="174"/>
      <c r="I5" s="174"/>
      <c r="J5" s="270">
        <v>2</v>
      </c>
      <c r="L5" s="174"/>
      <c r="M5" s="174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271"/>
      <c r="E6" s="271"/>
      <c r="F6" s="271"/>
      <c r="G6" s="175">
        <v>2.3E-2</v>
      </c>
      <c r="H6" s="175"/>
      <c r="I6" s="175"/>
      <c r="J6" s="175">
        <v>5.1999999999999998E-2</v>
      </c>
      <c r="L6" s="175"/>
      <c r="M6" s="175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76"/>
      <c r="E7" s="176"/>
      <c r="F7" s="176"/>
      <c r="G7" s="176"/>
      <c r="H7" s="176"/>
      <c r="I7" s="176"/>
      <c r="J7" s="272"/>
      <c r="L7" s="176"/>
      <c r="M7" s="176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273"/>
      <c r="E8" s="273"/>
      <c r="F8" s="273"/>
      <c r="G8" s="177">
        <f>+J16/F16*100-100</f>
        <v>-7.6638870815492766</v>
      </c>
      <c r="H8" s="177"/>
      <c r="I8" s="177"/>
      <c r="J8" s="274" t="e">
        <f>+#REF!/#REF!*100-100</f>
        <v>#REF!</v>
      </c>
      <c r="L8" s="177"/>
      <c r="M8" s="177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275"/>
      <c r="E9" s="275"/>
      <c r="F9" s="275"/>
      <c r="G9" s="178" t="e">
        <f>+J16/#REF!*100-100</f>
        <v>#REF!</v>
      </c>
      <c r="H9" s="178"/>
      <c r="I9" s="178"/>
      <c r="J9" s="276" t="e">
        <f>+#REF!/#REF!*100-100</f>
        <v>#REF!</v>
      </c>
      <c r="L9" s="178"/>
      <c r="M9" s="178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41" t="str">
        <f>IF(MasterSheet!$A$1=1,MasterSheet!B67,MasterSheet!B66)</f>
        <v>BDP (u mil. €)</v>
      </c>
      <c r="D11" s="224">
        <v>4788600000</v>
      </c>
      <c r="E11" s="225"/>
      <c r="F11" s="225"/>
      <c r="G11" s="226"/>
      <c r="H11" s="277"/>
      <c r="I11" s="278"/>
      <c r="J11" s="229">
        <v>4619100000</v>
      </c>
      <c r="K11" s="229">
        <v>0</v>
      </c>
      <c r="L11" s="277"/>
      <c r="M11" s="27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hidden="1" customHeight="1" thickTop="1">
      <c r="C12" s="81"/>
      <c r="D12" s="280"/>
      <c r="E12" s="280"/>
      <c r="F12" s="281"/>
      <c r="G12" s="281"/>
      <c r="H12" s="170"/>
      <c r="I12" s="170"/>
      <c r="J12" s="170"/>
      <c r="K12" s="170"/>
      <c r="L12" s="170"/>
      <c r="M12" s="17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Top="1" thickBot="1">
      <c r="B13" s="85"/>
      <c r="C13" s="86"/>
      <c r="D13" s="282"/>
      <c r="E13" s="282"/>
      <c r="F13" s="179"/>
      <c r="G13" s="179"/>
      <c r="H13" s="179"/>
      <c r="I13" s="179"/>
      <c r="J13" s="283"/>
      <c r="K13" s="284"/>
      <c r="L13" s="285"/>
      <c r="M13" s="285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227" t="str">
        <f>IF(MasterSheet!$A$1=1,MasterSheet!B71,MasterSheet!B70)</f>
        <v>Budžet Crne Gore</v>
      </c>
      <c r="D14" s="222" t="s">
        <v>470</v>
      </c>
      <c r="E14" s="223"/>
      <c r="F14" s="222" t="s">
        <v>471</v>
      </c>
      <c r="G14" s="223"/>
      <c r="H14" s="222" t="s">
        <v>444</v>
      </c>
      <c r="I14" s="223"/>
      <c r="J14" s="222" t="s">
        <v>464</v>
      </c>
      <c r="K14" s="223"/>
      <c r="L14" s="230" t="str">
        <f>+H14</f>
        <v>Odstupanje</v>
      </c>
      <c r="M14" s="23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228" t="str">
        <f>IF(MasterSheet!$A$1=1,MasterSheet!B71,MasterSheet!B70)</f>
        <v>Budžet Crne Gore</v>
      </c>
      <c r="D15" s="88" t="str">
        <f>+F15</f>
        <v>mil. €</v>
      </c>
      <c r="E15" s="158" t="str">
        <f>+G15</f>
        <v>% BDP</v>
      </c>
      <c r="F15" s="88" t="s">
        <v>262</v>
      </c>
      <c r="G15" s="89" t="s">
        <v>149</v>
      </c>
      <c r="H15" s="157" t="s">
        <v>262</v>
      </c>
      <c r="I15" s="157" t="s">
        <v>439</v>
      </c>
      <c r="J15" s="88" t="s">
        <v>262</v>
      </c>
      <c r="K15" s="89" t="s">
        <v>149</v>
      </c>
      <c r="L15" s="159" t="s">
        <v>262</v>
      </c>
      <c r="M15" s="10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286">
        <f>+D17+D25+SUM(D30:D34)</f>
        <v>371347242.13</v>
      </c>
      <c r="E16" s="287">
        <f>+D16/$D$11*100</f>
        <v>7.754818571816398</v>
      </c>
      <c r="F16" s="286">
        <f>+F17+F25+SUM(F30:F34)</f>
        <v>354658524.70876855</v>
      </c>
      <c r="G16" s="287">
        <f>+F16/$D$11*100</f>
        <v>7.4063092492329394</v>
      </c>
      <c r="H16" s="286">
        <f>+D16-F16</f>
        <v>16688717.421231449</v>
      </c>
      <c r="I16" s="180">
        <f>+IF(ISNUMBER(D16/F16*100-100),D16/F16*100-100,"...")</f>
        <v>4.7055734625117509</v>
      </c>
      <c r="J16" s="286">
        <f>+J17+J25+SUM(J30:J34)</f>
        <v>327477895.85000002</v>
      </c>
      <c r="K16" s="287">
        <f>+J16/$J$11*100</f>
        <v>7.0896472440518723</v>
      </c>
      <c r="L16" s="286">
        <f>+D16-J16</f>
        <v>43869346.279999971</v>
      </c>
      <c r="M16" s="287">
        <f t="shared" ref="M16:M58" si="0">+IF(ISNUMBER(D16/J16*100-100),D16/J16*100-100,"...")</f>
        <v>13.396124390665491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94">
        <f>+SUM(D18:D24)</f>
        <v>239610184.36999997</v>
      </c>
      <c r="E17" s="288">
        <f t="shared" ref="E17:E75" si="1">+D17/$D$11*100</f>
        <v>5.0037627776385571</v>
      </c>
      <c r="F17" s="194">
        <f>+SUM(F18:F24)</f>
        <v>225826866.20107698</v>
      </c>
      <c r="G17" s="288">
        <f t="shared" ref="G17:G75" si="2">+F17/$D$11*100</f>
        <v>4.7159267051137483</v>
      </c>
      <c r="H17" s="196">
        <f t="shared" ref="H17:H69" si="3">+D17-F17</f>
        <v>13783318.168922991</v>
      </c>
      <c r="I17" s="181">
        <f t="shared" ref="I17:I69" si="4">+IF(ISNUMBER(D17/F17*100-100),D17/F17*100-100,"...")</f>
        <v>6.1034891024216194</v>
      </c>
      <c r="J17" s="194">
        <f>+SUM(J18:J24)</f>
        <v>214355299.44999999</v>
      </c>
      <c r="K17" s="288">
        <f t="shared" ref="K17:K69" si="5">+J17/$J$11*100</f>
        <v>4.6406291149791086</v>
      </c>
      <c r="L17" s="196">
        <f t="shared" ref="L17:L35" si="6">+D17-J17</f>
        <v>25254884.919999987</v>
      </c>
      <c r="M17" s="181">
        <f t="shared" si="0"/>
        <v>11.781787053923949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289">
        <v>22647536.539999999</v>
      </c>
      <c r="E18" s="290">
        <f t="shared" si="1"/>
        <v>0.47294692686797807</v>
      </c>
      <c r="F18" s="289">
        <v>20694009.662863024</v>
      </c>
      <c r="G18" s="290">
        <f t="shared" si="2"/>
        <v>0.43215156126765697</v>
      </c>
      <c r="H18" s="201">
        <f t="shared" si="3"/>
        <v>1953526.8771369755</v>
      </c>
      <c r="I18" s="182">
        <f t="shared" si="4"/>
        <v>9.4400597514107147</v>
      </c>
      <c r="J18" s="199">
        <v>22395536.670000002</v>
      </c>
      <c r="K18" s="290">
        <f t="shared" si="5"/>
        <v>0.48484632655712162</v>
      </c>
      <c r="L18" s="201">
        <f t="shared" si="6"/>
        <v>251999.86999999732</v>
      </c>
      <c r="M18" s="182">
        <f t="shared" si="0"/>
        <v>1.1252236269808407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99">
        <v>25365057.68</v>
      </c>
      <c r="E19" s="290">
        <f t="shared" si="1"/>
        <v>0.52969673140375062</v>
      </c>
      <c r="F19" s="199">
        <v>25676965.732726377</v>
      </c>
      <c r="G19" s="290">
        <f t="shared" si="2"/>
        <v>0.53621028552659189</v>
      </c>
      <c r="H19" s="201">
        <f t="shared" si="3"/>
        <v>-311908.0527263768</v>
      </c>
      <c r="I19" s="182">
        <f t="shared" si="4"/>
        <v>-1.214738750571442</v>
      </c>
      <c r="J19" s="199">
        <v>24379771.07</v>
      </c>
      <c r="K19" s="290">
        <f t="shared" si="5"/>
        <v>0.52780349137277827</v>
      </c>
      <c r="L19" s="201">
        <f t="shared" si="6"/>
        <v>985286.6099999994</v>
      </c>
      <c r="M19" s="182">
        <f t="shared" si="0"/>
        <v>4.0414104265828144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99">
        <v>434164.1</v>
      </c>
      <c r="E20" s="290">
        <f t="shared" si="1"/>
        <v>9.0666186359269919E-3</v>
      </c>
      <c r="F20" s="199">
        <v>426055.10431525658</v>
      </c>
      <c r="G20" s="290">
        <f t="shared" si="2"/>
        <v>8.8972790442980541E-3</v>
      </c>
      <c r="H20" s="201">
        <f t="shared" si="3"/>
        <v>8108.9956847433932</v>
      </c>
      <c r="I20" s="182">
        <f t="shared" si="4"/>
        <v>1.9032739198785009</v>
      </c>
      <c r="J20" s="199">
        <v>413357.33</v>
      </c>
      <c r="K20" s="290">
        <f t="shared" si="5"/>
        <v>8.9488716416617955E-3</v>
      </c>
      <c r="L20" s="201">
        <f t="shared" si="6"/>
        <v>20806.76999999996</v>
      </c>
      <c r="M20" s="182">
        <f t="shared" si="0"/>
        <v>5.0336037345702636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289">
        <v>139303806.75999999</v>
      </c>
      <c r="E21" s="290">
        <f t="shared" si="1"/>
        <v>2.9090716860877919</v>
      </c>
      <c r="F21" s="289">
        <v>128682290.18944499</v>
      </c>
      <c r="G21" s="290">
        <f t="shared" si="2"/>
        <v>2.6872632959412979</v>
      </c>
      <c r="H21" s="201">
        <f t="shared" si="3"/>
        <v>10621516.570555001</v>
      </c>
      <c r="I21" s="182">
        <f t="shared" si="4"/>
        <v>8.2540624315265774</v>
      </c>
      <c r="J21" s="199">
        <v>119707174.40000001</v>
      </c>
      <c r="K21" s="290">
        <f t="shared" si="5"/>
        <v>2.5915692321014916</v>
      </c>
      <c r="L21" s="201">
        <f t="shared" si="6"/>
        <v>19596632.359999985</v>
      </c>
      <c r="M21" s="182">
        <f t="shared" si="0"/>
        <v>16.37047441661106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99">
        <v>41642431.079999998</v>
      </c>
      <c r="E22" s="290">
        <f t="shared" si="1"/>
        <v>0.86961598546548058</v>
      </c>
      <c r="F22" s="199">
        <v>43025030.125671566</v>
      </c>
      <c r="G22" s="290">
        <f t="shared" si="2"/>
        <v>0.89848870495910205</v>
      </c>
      <c r="H22" s="201">
        <f>+D22-F22</f>
        <v>-1382599.0456715673</v>
      </c>
      <c r="I22" s="182">
        <f t="shared" si="4"/>
        <v>-3.2134760664504824</v>
      </c>
      <c r="J22" s="199">
        <v>40332229.780000001</v>
      </c>
      <c r="K22" s="290">
        <f t="shared" si="5"/>
        <v>0.87316208308977938</v>
      </c>
      <c r="L22" s="201">
        <f t="shared" si="6"/>
        <v>1310201.299999997</v>
      </c>
      <c r="M22" s="182">
        <f t="shared" si="0"/>
        <v>3.2485218574493473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99">
        <v>5620966.7400000002</v>
      </c>
      <c r="E23" s="290">
        <f t="shared" si="1"/>
        <v>0.11738225660944744</v>
      </c>
      <c r="F23" s="199">
        <v>5259138.1560700489</v>
      </c>
      <c r="G23" s="290">
        <f t="shared" si="2"/>
        <v>0.10982621551330345</v>
      </c>
      <c r="H23" s="201">
        <f t="shared" si="3"/>
        <v>361828.5839299513</v>
      </c>
      <c r="I23" s="182">
        <f t="shared" si="4"/>
        <v>6.8799976952940796</v>
      </c>
      <c r="J23" s="199">
        <v>5125725.6899999995</v>
      </c>
      <c r="K23" s="290">
        <f t="shared" si="5"/>
        <v>0.11096806066116774</v>
      </c>
      <c r="L23" s="201">
        <f t="shared" si="6"/>
        <v>495241.05000000075</v>
      </c>
      <c r="M23" s="182">
        <f t="shared" si="0"/>
        <v>9.6618718977917268</v>
      </c>
      <c r="BM23" s="114"/>
      <c r="BN23" s="114"/>
      <c r="BO23" s="81"/>
    </row>
    <row r="24" spans="2:69" ht="15" customHeight="1">
      <c r="B24" s="80">
        <v>7118</v>
      </c>
      <c r="C24" s="97" t="s">
        <v>457</v>
      </c>
      <c r="D24" s="199">
        <v>4596221.47</v>
      </c>
      <c r="E24" s="290">
        <f t="shared" si="1"/>
        <v>9.5982572568182767E-2</v>
      </c>
      <c r="F24" s="199">
        <v>2063377.229985714</v>
      </c>
      <c r="G24" s="290">
        <f t="shared" si="2"/>
        <v>4.3089362861498434E-2</v>
      </c>
      <c r="H24" s="201">
        <f t="shared" si="3"/>
        <v>2532844.2400142858</v>
      </c>
      <c r="I24" s="182">
        <f t="shared" si="4"/>
        <v>122.75235973365</v>
      </c>
      <c r="J24" s="199">
        <v>2001504.51</v>
      </c>
      <c r="K24" s="290">
        <f t="shared" si="5"/>
        <v>4.3331049555108143E-2</v>
      </c>
      <c r="L24" s="201">
        <f t="shared" si="6"/>
        <v>2594716.96</v>
      </c>
      <c r="M24" s="182">
        <f t="shared" si="0"/>
        <v>129.6383269203825</v>
      </c>
      <c r="BM24" s="114"/>
      <c r="BN24" s="114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94">
        <f>+SUM(D26:D29)</f>
        <v>99458750.039999992</v>
      </c>
      <c r="E25" s="288">
        <f t="shared" si="1"/>
        <v>2.0769901440922189</v>
      </c>
      <c r="F25" s="194">
        <f>+SUM(F26:F29)</f>
        <v>95761144.378518417</v>
      </c>
      <c r="G25" s="288">
        <f t="shared" si="2"/>
        <v>1.9997733028133151</v>
      </c>
      <c r="H25" s="196">
        <f t="shared" si="3"/>
        <v>3697605.6614815742</v>
      </c>
      <c r="I25" s="181">
        <f t="shared" si="4"/>
        <v>3.8612797345715961</v>
      </c>
      <c r="J25" s="194">
        <f>+SUM(J26:J29)</f>
        <v>94564051.030000016</v>
      </c>
      <c r="K25" s="288">
        <f t="shared" si="5"/>
        <v>2.0472397443224875</v>
      </c>
      <c r="L25" s="196">
        <f t="shared" si="6"/>
        <v>4894699.0099999756</v>
      </c>
      <c r="M25" s="181">
        <f t="shared" si="0"/>
        <v>5.1760673920866083</v>
      </c>
      <c r="BM25" s="114"/>
      <c r="BN25" s="114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99">
        <v>58213308.560000002</v>
      </c>
      <c r="E26" s="290">
        <f t="shared" si="1"/>
        <v>1.2156644647704966</v>
      </c>
      <c r="F26" s="199">
        <v>58374352.174240939</v>
      </c>
      <c r="G26" s="290">
        <f t="shared" si="2"/>
        <v>1.2190275273407873</v>
      </c>
      <c r="H26" s="201">
        <f t="shared" si="3"/>
        <v>-161043.61424093693</v>
      </c>
      <c r="I26" s="182">
        <f t="shared" si="4"/>
        <v>-0.27588077339211736</v>
      </c>
      <c r="J26" s="199">
        <v>57521922.370000005</v>
      </c>
      <c r="K26" s="290">
        <f t="shared" si="5"/>
        <v>1.2453058468099847</v>
      </c>
      <c r="L26" s="201">
        <f t="shared" si="6"/>
        <v>691386.18999999762</v>
      </c>
      <c r="M26" s="182">
        <f t="shared" si="0"/>
        <v>1.2019525104755218</v>
      </c>
      <c r="BM26" s="114"/>
      <c r="BN26" s="114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99">
        <v>35862791.879999995</v>
      </c>
      <c r="E27" s="290">
        <f t="shared" si="1"/>
        <v>0.74892018293446927</v>
      </c>
      <c r="F27" s="199">
        <v>32630828.856189087</v>
      </c>
      <c r="G27" s="290">
        <f t="shared" si="2"/>
        <v>0.68142732439938791</v>
      </c>
      <c r="H27" s="201">
        <f t="shared" si="3"/>
        <v>3231963.0238109082</v>
      </c>
      <c r="I27" s="182">
        <f t="shared" si="4"/>
        <v>9.9046304893291222</v>
      </c>
      <c r="J27" s="199">
        <v>32351215.270000003</v>
      </c>
      <c r="K27" s="290">
        <f t="shared" si="5"/>
        <v>0.70037919226689194</v>
      </c>
      <c r="L27" s="201">
        <f t="shared" si="6"/>
        <v>3511576.609999992</v>
      </c>
      <c r="M27" s="182">
        <f t="shared" si="0"/>
        <v>10.854543115900668</v>
      </c>
      <c r="BM27" s="114"/>
      <c r="BN27" s="114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99">
        <v>2755965.16</v>
      </c>
      <c r="E28" s="290">
        <f t="shared" si="1"/>
        <v>5.7552628325606654E-2</v>
      </c>
      <c r="F28" s="199">
        <v>2348831.4321440454</v>
      </c>
      <c r="G28" s="290">
        <f t="shared" si="2"/>
        <v>4.9050483066951624E-2</v>
      </c>
      <c r="H28" s="201">
        <f t="shared" si="3"/>
        <v>407133.72785595478</v>
      </c>
      <c r="I28" s="182">
        <f t="shared" si="4"/>
        <v>17.333458769508951</v>
      </c>
      <c r="J28" s="199">
        <v>2442978.66</v>
      </c>
      <c r="K28" s="290">
        <f t="shared" si="5"/>
        <v>5.2888628953692278E-2</v>
      </c>
      <c r="L28" s="201">
        <f t="shared" si="6"/>
        <v>312986.5</v>
      </c>
      <c r="M28" s="182">
        <f t="shared" si="0"/>
        <v>12.811675563305982</v>
      </c>
      <c r="BM28" s="114"/>
      <c r="BN28" s="114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289">
        <v>2626684.4400000004</v>
      </c>
      <c r="E29" s="290">
        <f t="shared" si="1"/>
        <v>5.4852868061646416E-2</v>
      </c>
      <c r="F29" s="289">
        <v>2407131.9159443555</v>
      </c>
      <c r="G29" s="290">
        <f t="shared" si="2"/>
        <v>5.0267968006188768E-2</v>
      </c>
      <c r="H29" s="201">
        <f t="shared" si="3"/>
        <v>219552.52405564487</v>
      </c>
      <c r="I29" s="182">
        <f t="shared" si="4"/>
        <v>9.1209178276177312</v>
      </c>
      <c r="J29" s="199">
        <v>2247934.73</v>
      </c>
      <c r="K29" s="290">
        <f t="shared" si="5"/>
        <v>4.8666076291918339E-2</v>
      </c>
      <c r="L29" s="201">
        <f t="shared" si="6"/>
        <v>378749.71000000043</v>
      </c>
      <c r="M29" s="182">
        <f t="shared" si="0"/>
        <v>16.848785907587299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94">
        <v>2958769.5</v>
      </c>
      <c r="E30" s="288">
        <f t="shared" si="1"/>
        <v>6.1787777220899634E-2</v>
      </c>
      <c r="F30" s="194">
        <v>2504331.6821555821</v>
      </c>
      <c r="G30" s="288">
        <f t="shared" si="2"/>
        <v>5.2297783948452206E-2</v>
      </c>
      <c r="H30" s="196">
        <f t="shared" si="3"/>
        <v>454437.81784441788</v>
      </c>
      <c r="I30" s="181">
        <f t="shared" si="4"/>
        <v>18.146071508118467</v>
      </c>
      <c r="J30" s="194">
        <v>2919465.41</v>
      </c>
      <c r="K30" s="288">
        <f t="shared" si="5"/>
        <v>6.3204204498711877E-2</v>
      </c>
      <c r="L30" s="196">
        <f t="shared" si="6"/>
        <v>39304.089999999851</v>
      </c>
      <c r="M30" s="181">
        <f t="shared" si="0"/>
        <v>1.3462769541770143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94">
        <v>6264918.6100000003</v>
      </c>
      <c r="E31" s="288">
        <f t="shared" si="1"/>
        <v>0.13082985862256194</v>
      </c>
      <c r="F31" s="194">
        <v>6224184.362922621</v>
      </c>
      <c r="G31" s="288">
        <f t="shared" si="2"/>
        <v>0.12997920818031619</v>
      </c>
      <c r="H31" s="196">
        <f t="shared" si="3"/>
        <v>40734.247077379376</v>
      </c>
      <c r="I31" s="181">
        <f t="shared" si="4"/>
        <v>0.65445116503993006</v>
      </c>
      <c r="J31" s="194">
        <v>5661610.0899999999</v>
      </c>
      <c r="K31" s="288">
        <f t="shared" si="5"/>
        <v>0.12256955012881296</v>
      </c>
      <c r="L31" s="196">
        <f t="shared" si="6"/>
        <v>603308.52000000048</v>
      </c>
      <c r="M31" s="181">
        <f t="shared" si="0"/>
        <v>10.656129800701279</v>
      </c>
      <c r="BM31" s="114"/>
      <c r="BN31" s="114"/>
      <c r="BO31" s="114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94">
        <v>6960916.9500000002</v>
      </c>
      <c r="E32" s="288">
        <f t="shared" si="1"/>
        <v>0.14536434344067159</v>
      </c>
      <c r="F32" s="194">
        <v>6330000.6885295436</v>
      </c>
      <c r="G32" s="288">
        <f t="shared" si="2"/>
        <v>0.13218896313180353</v>
      </c>
      <c r="H32" s="196">
        <f t="shared" si="3"/>
        <v>630916.26147045661</v>
      </c>
      <c r="I32" s="181">
        <f t="shared" si="4"/>
        <v>9.9670804556739796</v>
      </c>
      <c r="J32" s="194">
        <v>6026729.54</v>
      </c>
      <c r="K32" s="288">
        <f t="shared" si="5"/>
        <v>0.13047410837609058</v>
      </c>
      <c r="L32" s="196">
        <f t="shared" si="6"/>
        <v>934187.41000000015</v>
      </c>
      <c r="M32" s="181">
        <f t="shared" si="0"/>
        <v>15.500735578056151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94">
        <v>704669.9</v>
      </c>
      <c r="E33" s="288">
        <f t="shared" si="1"/>
        <v>1.4715572401119325E-2</v>
      </c>
      <c r="F33" s="194">
        <v>317496.67937915423</v>
      </c>
      <c r="G33" s="288">
        <f t="shared" si="2"/>
        <v>6.6302610236635799E-3</v>
      </c>
      <c r="H33" s="196">
        <f t="shared" si="3"/>
        <v>387173.22062084579</v>
      </c>
      <c r="I33" s="181">
        <f t="shared" si="4"/>
        <v>121.94559684149766</v>
      </c>
      <c r="J33" s="194">
        <v>446514.32</v>
      </c>
      <c r="K33" s="288">
        <f t="shared" si="5"/>
        <v>9.6666952436621854E-3</v>
      </c>
      <c r="L33" s="196">
        <f t="shared" si="6"/>
        <v>258155.58000000002</v>
      </c>
      <c r="M33" s="181">
        <f t="shared" si="0"/>
        <v>57.815744856738291</v>
      </c>
      <c r="BL33" s="100"/>
      <c r="BM33" s="100"/>
      <c r="BN33" s="99"/>
      <c r="BO33" s="116"/>
      <c r="BP33" s="116"/>
      <c r="BQ33" s="116"/>
      <c r="BR33" s="115"/>
    </row>
    <row r="34" spans="1:70" ht="13.5" customHeight="1" thickBot="1">
      <c r="B34" s="80">
        <v>74</v>
      </c>
      <c r="C34" s="93" t="s">
        <v>122</v>
      </c>
      <c r="D34" s="194">
        <v>15389032.76</v>
      </c>
      <c r="E34" s="288">
        <f t="shared" si="1"/>
        <v>0.32136809840036756</v>
      </c>
      <c r="F34" s="194">
        <v>17694500.716186255</v>
      </c>
      <c r="G34" s="288">
        <f t="shared" si="2"/>
        <v>0.36951302502164007</v>
      </c>
      <c r="H34" s="196">
        <f t="shared" si="3"/>
        <v>-2305467.9561862554</v>
      </c>
      <c r="I34" s="181">
        <f t="shared" si="4"/>
        <v>-13.02929081280773</v>
      </c>
      <c r="J34" s="194">
        <v>3504226.01</v>
      </c>
      <c r="K34" s="288">
        <f t="shared" si="5"/>
        <v>7.5863826502998416E-2</v>
      </c>
      <c r="L34" s="196">
        <f t="shared" si="6"/>
        <v>11884806.75</v>
      </c>
      <c r="M34" s="181">
        <f t="shared" si="0"/>
        <v>339.15639904744614</v>
      </c>
      <c r="BM34" s="130"/>
      <c r="BN34" s="130"/>
      <c r="BO34" s="116"/>
      <c r="BP34" s="116"/>
      <c r="BQ34" s="116"/>
      <c r="BR34" s="115"/>
    </row>
    <row r="35" spans="1:70" ht="15" customHeight="1" thickTop="1" thickBot="1">
      <c r="B35" s="102"/>
      <c r="C35" s="90" t="s">
        <v>456</v>
      </c>
      <c r="D35" s="291">
        <f>+D37+D47+D53+SUM(D56:D61)</f>
        <v>442702602.97999996</v>
      </c>
      <c r="E35" s="180">
        <f t="shared" si="1"/>
        <v>9.2449275984630148</v>
      </c>
      <c r="F35" s="291">
        <f>+F37+F47+F53+SUM(F56:F61)</f>
        <v>519110999.9425</v>
      </c>
      <c r="G35" s="292">
        <f t="shared" si="2"/>
        <v>10.840558826013865</v>
      </c>
      <c r="H35" s="291">
        <f t="shared" si="3"/>
        <v>-76408396.962500036</v>
      </c>
      <c r="I35" s="180">
        <f t="shared" si="4"/>
        <v>-14.719086471094528</v>
      </c>
      <c r="J35" s="291">
        <f>+J37+J47+J53+SUM(J56:J60)</f>
        <v>397526770.12000006</v>
      </c>
      <c r="K35" s="180">
        <f t="shared" si="5"/>
        <v>8.6061520668528519</v>
      </c>
      <c r="L35" s="291">
        <f t="shared" si="6"/>
        <v>45175832.859999895</v>
      </c>
      <c r="M35" s="180">
        <f t="shared" si="0"/>
        <v>11.364224061278392</v>
      </c>
      <c r="BM35" s="81"/>
      <c r="BN35" s="81"/>
      <c r="BO35" s="116"/>
      <c r="BP35" s="116"/>
      <c r="BQ35" s="116"/>
      <c r="BR35" s="115"/>
    </row>
    <row r="36" spans="1:70" ht="13.5" customHeight="1" thickTop="1" thickBot="1">
      <c r="C36" s="166" t="s">
        <v>445</v>
      </c>
      <c r="D36" s="291">
        <f>+D35-D56</f>
        <v>397421074.91999996</v>
      </c>
      <c r="E36" s="180">
        <f t="shared" si="1"/>
        <v>8.2993166044355338</v>
      </c>
      <c r="F36" s="291">
        <f>+F35-F56</f>
        <v>438879749.97250003</v>
      </c>
      <c r="G36" s="292">
        <f t="shared" si="2"/>
        <v>9.1650952255878551</v>
      </c>
      <c r="H36" s="291">
        <f t="shared" si="3"/>
        <v>-41458675.052500069</v>
      </c>
      <c r="I36" s="180">
        <f t="shared" si="4"/>
        <v>-9.4464770942605156</v>
      </c>
      <c r="J36" s="293">
        <f>+J35-J56</f>
        <v>381701294.69000006</v>
      </c>
      <c r="K36" s="180">
        <f t="shared" si="5"/>
        <v>8.2635425665172892</v>
      </c>
      <c r="L36" s="291">
        <f t="shared" ref="L36:L75" si="7">+D36-J36</f>
        <v>15719780.2299999</v>
      </c>
      <c r="M36" s="180">
        <f t="shared" si="0"/>
        <v>4.1183460597813166</v>
      </c>
      <c r="N36" s="163"/>
      <c r="O36" s="163"/>
      <c r="BM36" s="130"/>
      <c r="BN36" s="130"/>
      <c r="BO36" s="116"/>
      <c r="BP36" s="116"/>
      <c r="BQ36" s="116"/>
      <c r="BR36" s="115"/>
    </row>
    <row r="37" spans="1:70" ht="13.5" customHeight="1" thickTop="1">
      <c r="A37" s="80">
        <v>41</v>
      </c>
      <c r="B37" s="80">
        <v>41</v>
      </c>
      <c r="C37" s="93" t="s">
        <v>62</v>
      </c>
      <c r="D37" s="205">
        <f>+SUM(D38:D46)</f>
        <v>195530171.10999995</v>
      </c>
      <c r="E37" s="288">
        <f t="shared" si="1"/>
        <v>4.0832429334252174</v>
      </c>
      <c r="F37" s="205">
        <f>+SUM(F38:F46)</f>
        <v>230214634.85750005</v>
      </c>
      <c r="G37" s="294">
        <f t="shared" si="2"/>
        <v>4.8075561721066711</v>
      </c>
      <c r="H37" s="206">
        <f t="shared" si="3"/>
        <v>-34684463.747500092</v>
      </c>
      <c r="I37" s="181">
        <f t="shared" si="4"/>
        <v>-15.066141980491082</v>
      </c>
      <c r="J37" s="205">
        <f>+SUM(J38:J46)</f>
        <v>199286095.99000001</v>
      </c>
      <c r="K37" s="288">
        <f t="shared" si="5"/>
        <v>4.3143923272931959</v>
      </c>
      <c r="L37" s="206">
        <f t="shared" si="7"/>
        <v>-3755924.8800000548</v>
      </c>
      <c r="M37" s="181">
        <f t="shared" si="0"/>
        <v>-1.8846898783086914</v>
      </c>
      <c r="BM37" s="130"/>
      <c r="BN37" s="130"/>
      <c r="BO37" s="116"/>
      <c r="BP37" s="116"/>
      <c r="BQ37" s="116"/>
      <c r="BR37" s="115"/>
    </row>
    <row r="38" spans="1:70" ht="13.5" customHeight="1">
      <c r="B38" s="80">
        <v>411</v>
      </c>
      <c r="C38" s="93" t="s">
        <v>63</v>
      </c>
      <c r="D38" s="295">
        <v>116678359.77</v>
      </c>
      <c r="E38" s="288">
        <f t="shared" si="1"/>
        <v>2.4365860537526625</v>
      </c>
      <c r="F38" s="194">
        <v>117601359.02500004</v>
      </c>
      <c r="G38" s="294">
        <f t="shared" si="2"/>
        <v>2.455860982855115</v>
      </c>
      <c r="H38" s="196">
        <f>+D38-F38</f>
        <v>-922999.25500003994</v>
      </c>
      <c r="I38" s="181">
        <f t="shared" si="4"/>
        <v>-0.78485424203628895</v>
      </c>
      <c r="J38" s="194">
        <v>111990659.06</v>
      </c>
      <c r="K38" s="288">
        <f t="shared" si="5"/>
        <v>2.4245125470329718</v>
      </c>
      <c r="L38" s="196">
        <f t="shared" si="7"/>
        <v>4687700.7099999934</v>
      </c>
      <c r="M38" s="181">
        <f t="shared" si="0"/>
        <v>4.1857961631322382</v>
      </c>
      <c r="BM38" s="130"/>
      <c r="BN38" s="130"/>
      <c r="BO38" s="116"/>
      <c r="BP38" s="116"/>
      <c r="BQ38" s="116"/>
      <c r="BR38" s="115"/>
    </row>
    <row r="39" spans="1:70" ht="13.5" customHeight="1">
      <c r="B39" s="80">
        <v>412</v>
      </c>
      <c r="C39" s="93" t="s">
        <v>74</v>
      </c>
      <c r="D39" s="194">
        <v>2210178.4900000002</v>
      </c>
      <c r="E39" s="288">
        <f t="shared" si="1"/>
        <v>4.6155003341268847E-2</v>
      </c>
      <c r="F39" s="194">
        <v>3865781.5924999998</v>
      </c>
      <c r="G39" s="294">
        <f t="shared" si="2"/>
        <v>8.0728847523284464E-2</v>
      </c>
      <c r="H39" s="196">
        <f t="shared" si="3"/>
        <v>-1655603.1024999996</v>
      </c>
      <c r="I39" s="181">
        <f t="shared" si="4"/>
        <v>-42.827124680608804</v>
      </c>
      <c r="J39" s="194">
        <v>2145535.88</v>
      </c>
      <c r="K39" s="288">
        <f t="shared" si="5"/>
        <v>4.6449219111948208E-2</v>
      </c>
      <c r="L39" s="196">
        <f t="shared" si="7"/>
        <v>64642.610000000335</v>
      </c>
      <c r="M39" s="181">
        <f t="shared" si="0"/>
        <v>3.0128887893499297</v>
      </c>
      <c r="BM39" s="130"/>
      <c r="BN39" s="130"/>
      <c r="BO39" s="116"/>
      <c r="BP39" s="116"/>
      <c r="BQ39" s="116"/>
      <c r="BR39" s="115"/>
    </row>
    <row r="40" spans="1:70" ht="13.5" customHeight="1">
      <c r="B40" s="80">
        <v>413</v>
      </c>
      <c r="C40" s="93" t="s">
        <v>76</v>
      </c>
      <c r="D40" s="194">
        <f>5945987.41+11848441.09</f>
        <v>17794428.5</v>
      </c>
      <c r="E40" s="288">
        <f t="shared" si="1"/>
        <v>0.37159980996533432</v>
      </c>
      <c r="F40" s="194">
        <v>26415865</v>
      </c>
      <c r="G40" s="294">
        <f t="shared" si="2"/>
        <v>0.55164066741845208</v>
      </c>
      <c r="H40" s="196">
        <f t="shared" si="3"/>
        <v>-8621436.5</v>
      </c>
      <c r="I40" s="181">
        <f t="shared" si="4"/>
        <v>-32.637343126942838</v>
      </c>
      <c r="J40" s="194">
        <v>16190377.030000001</v>
      </c>
      <c r="K40" s="288">
        <f t="shared" si="5"/>
        <v>0.35050934229611835</v>
      </c>
      <c r="L40" s="196">
        <f t="shared" si="7"/>
        <v>1604051.4699999988</v>
      </c>
      <c r="M40" s="181">
        <f t="shared" si="0"/>
        <v>9.9074374057365588</v>
      </c>
      <c r="BM40" s="130"/>
      <c r="BN40" s="130"/>
      <c r="BO40" s="116"/>
      <c r="BP40" s="116"/>
      <c r="BQ40" s="116"/>
      <c r="BR40" s="115"/>
    </row>
    <row r="41" spans="1:70" ht="13.5" customHeight="1">
      <c r="B41" s="80">
        <v>415</v>
      </c>
      <c r="C41" s="93" t="s">
        <v>430</v>
      </c>
      <c r="D41" s="194">
        <v>3196939.1399999997</v>
      </c>
      <c r="E41" s="288">
        <f t="shared" si="1"/>
        <v>6.6761457210875827E-2</v>
      </c>
      <c r="F41" s="194">
        <v>5782696.5550000006</v>
      </c>
      <c r="G41" s="294">
        <f t="shared" si="2"/>
        <v>0.12075964906235644</v>
      </c>
      <c r="H41" s="196">
        <f t="shared" si="3"/>
        <v>-2585757.415000001</v>
      </c>
      <c r="I41" s="181">
        <f t="shared" si="4"/>
        <v>-44.715426279185088</v>
      </c>
      <c r="J41" s="194">
        <v>3289849.31</v>
      </c>
      <c r="K41" s="288">
        <f t="shared" si="5"/>
        <v>7.1222734082397002E-2</v>
      </c>
      <c r="L41" s="196">
        <f t="shared" si="7"/>
        <v>-92910.170000000391</v>
      </c>
      <c r="M41" s="181">
        <f t="shared" si="0"/>
        <v>-2.8241466780130509</v>
      </c>
      <c r="BM41" s="130"/>
      <c r="BN41" s="130"/>
      <c r="BO41" s="116"/>
      <c r="BP41" s="116"/>
      <c r="BQ41" s="116"/>
      <c r="BR41" s="115"/>
    </row>
    <row r="42" spans="1:70" ht="13.5" customHeight="1">
      <c r="B42" s="80">
        <v>416</v>
      </c>
      <c r="C42" s="93" t="s">
        <v>79</v>
      </c>
      <c r="D42" s="194">
        <v>35801164.229999997</v>
      </c>
      <c r="E42" s="288">
        <f t="shared" si="1"/>
        <v>0.74763321701541152</v>
      </c>
      <c r="F42" s="194">
        <v>37068944.060000002</v>
      </c>
      <c r="G42" s="294">
        <f t="shared" si="2"/>
        <v>0.77410817483189243</v>
      </c>
      <c r="H42" s="196">
        <f t="shared" si="3"/>
        <v>-1267779.8300000057</v>
      </c>
      <c r="I42" s="181">
        <f t="shared" si="4"/>
        <v>-3.4200591955032991</v>
      </c>
      <c r="J42" s="194">
        <v>44889555.490000002</v>
      </c>
      <c r="K42" s="288">
        <f t="shared" si="5"/>
        <v>0.97182471671970727</v>
      </c>
      <c r="L42" s="196">
        <f t="shared" si="7"/>
        <v>-9088391.2600000054</v>
      </c>
      <c r="M42" s="181">
        <f t="shared" si="0"/>
        <v>-20.246115517950756</v>
      </c>
      <c r="BM42" s="130"/>
      <c r="BN42" s="130"/>
      <c r="BO42" s="116"/>
      <c r="BP42" s="116"/>
      <c r="BQ42" s="116"/>
      <c r="BR42" s="115"/>
    </row>
    <row r="43" spans="1:70" ht="13.5" customHeight="1">
      <c r="B43" s="80">
        <v>417</v>
      </c>
      <c r="C43" s="93" t="s">
        <v>81</v>
      </c>
      <c r="D43" s="194">
        <v>1803630.6400000001</v>
      </c>
      <c r="E43" s="288">
        <f t="shared" si="1"/>
        <v>3.7665092929039808E-2</v>
      </c>
      <c r="F43" s="194">
        <v>2407468.25</v>
      </c>
      <c r="G43" s="294">
        <f t="shared" si="2"/>
        <v>5.0274991646827881E-2</v>
      </c>
      <c r="H43" s="196">
        <f t="shared" si="3"/>
        <v>-603837.60999999987</v>
      </c>
      <c r="I43" s="181">
        <f t="shared" si="4"/>
        <v>-25.081851442900643</v>
      </c>
      <c r="J43" s="194">
        <v>1824016.55</v>
      </c>
      <c r="K43" s="288">
        <f t="shared" si="5"/>
        <v>3.9488570284254509E-2</v>
      </c>
      <c r="L43" s="196">
        <f t="shared" si="7"/>
        <v>-20385.909999999916</v>
      </c>
      <c r="M43" s="181">
        <f t="shared" si="0"/>
        <v>-1.1176384337082936</v>
      </c>
      <c r="BM43" s="130"/>
      <c r="BN43" s="130"/>
      <c r="BO43" s="116"/>
      <c r="BP43" s="116"/>
      <c r="BQ43" s="116"/>
      <c r="BR43" s="115"/>
    </row>
    <row r="44" spans="1:70" ht="13.5" customHeight="1">
      <c r="B44" s="80">
        <v>418</v>
      </c>
      <c r="C44" s="93" t="s">
        <v>83</v>
      </c>
      <c r="D44" s="194">
        <v>5474896.2599999998</v>
      </c>
      <c r="E44" s="288">
        <f t="shared" si="1"/>
        <v>0.11433187695777472</v>
      </c>
      <c r="F44" s="194">
        <v>9304431.9499999993</v>
      </c>
      <c r="G44" s="294">
        <f t="shared" si="2"/>
        <v>0.19430380382575282</v>
      </c>
      <c r="H44" s="196">
        <f t="shared" si="3"/>
        <v>-3829535.6899999995</v>
      </c>
      <c r="I44" s="181">
        <f t="shared" si="4"/>
        <v>-41.158189028401672</v>
      </c>
      <c r="J44" s="194">
        <v>5912287.0999999996</v>
      </c>
      <c r="K44" s="288">
        <f t="shared" si="5"/>
        <v>0.12799651663744019</v>
      </c>
      <c r="L44" s="196">
        <f t="shared" si="7"/>
        <v>-437390.83999999985</v>
      </c>
      <c r="M44" s="181">
        <f t="shared" si="0"/>
        <v>-7.3979972995560388</v>
      </c>
      <c r="BM44" s="130"/>
      <c r="BN44" s="130"/>
      <c r="BO44" s="116"/>
      <c r="BP44" s="116"/>
      <c r="BQ44" s="116"/>
      <c r="BR44" s="115"/>
    </row>
    <row r="45" spans="1:70" ht="13.5" customHeight="1">
      <c r="B45" s="80">
        <v>419</v>
      </c>
      <c r="C45" s="93" t="s">
        <v>85</v>
      </c>
      <c r="D45" s="194">
        <v>6411826.8700000001</v>
      </c>
      <c r="E45" s="288">
        <f t="shared" si="1"/>
        <v>0.13389773357557533</v>
      </c>
      <c r="F45" s="194">
        <v>12640907.772500003</v>
      </c>
      <c r="G45" s="294">
        <f t="shared" si="2"/>
        <v>0.26397919585056179</v>
      </c>
      <c r="H45" s="196">
        <f t="shared" si="3"/>
        <v>-6229080.9025000026</v>
      </c>
      <c r="I45" s="181">
        <f t="shared" si="4"/>
        <v>-49.277164382539219</v>
      </c>
      <c r="J45" s="194">
        <v>6125654.8399999999</v>
      </c>
      <c r="K45" s="288">
        <f>+J44/$J$11*100</f>
        <v>0.12799651663744019</v>
      </c>
      <c r="L45" s="196">
        <f t="shared" si="7"/>
        <v>286172.03000000026</v>
      </c>
      <c r="M45" s="181">
        <f t="shared" si="0"/>
        <v>4.6716969446486161</v>
      </c>
      <c r="BM45" s="130"/>
      <c r="BN45" s="130"/>
      <c r="BO45" s="116"/>
      <c r="BP45" s="116"/>
      <c r="BQ45" s="116"/>
      <c r="BR45" s="115"/>
    </row>
    <row r="46" spans="1:70" ht="13.5" customHeight="1">
      <c r="B46" s="80">
        <v>441</v>
      </c>
      <c r="C46" s="93" t="s">
        <v>129</v>
      </c>
      <c r="D46" s="295">
        <v>6158747.21</v>
      </c>
      <c r="E46" s="296">
        <f t="shared" si="1"/>
        <v>0.12861268867727518</v>
      </c>
      <c r="F46" s="194">
        <v>15127180.652500004</v>
      </c>
      <c r="G46" s="294">
        <f t="shared" si="2"/>
        <v>0.3158998590924279</v>
      </c>
      <c r="H46" s="196">
        <f t="shared" si="3"/>
        <v>-8968433.4425000027</v>
      </c>
      <c r="I46" s="183">
        <f t="shared" si="4"/>
        <v>-59.286880011033844</v>
      </c>
      <c r="J46" s="194">
        <v>6918160.7300000004</v>
      </c>
      <c r="K46" s="296">
        <f>+J45/$J$11*100</f>
        <v>0.13261576584183066</v>
      </c>
      <c r="L46" s="196">
        <f t="shared" si="7"/>
        <v>-759413.52000000048</v>
      </c>
      <c r="M46" s="183">
        <f t="shared" si="0"/>
        <v>-10.977101423892478</v>
      </c>
      <c r="BM46" s="130"/>
      <c r="BN46" s="130"/>
      <c r="BO46" s="116"/>
      <c r="BP46" s="116"/>
      <c r="BQ46" s="116"/>
      <c r="BR46" s="115"/>
    </row>
    <row r="47" spans="1:70" ht="13.5" customHeight="1">
      <c r="A47" s="80">
        <v>42</v>
      </c>
      <c r="B47" s="80">
        <v>42</v>
      </c>
      <c r="C47" s="93" t="s">
        <v>86</v>
      </c>
      <c r="D47" s="194">
        <f>+SUM(D48:D52)</f>
        <v>134587564.07000002</v>
      </c>
      <c r="E47" s="288">
        <f t="shared" si="1"/>
        <v>2.8105827187486954</v>
      </c>
      <c r="F47" s="194">
        <f>+SUM(F48:F52)</f>
        <v>138617149.52999997</v>
      </c>
      <c r="G47" s="294">
        <f t="shared" si="2"/>
        <v>2.8947322710186687</v>
      </c>
      <c r="H47" s="206">
        <f t="shared" si="3"/>
        <v>-4029585.4599999487</v>
      </c>
      <c r="I47" s="181">
        <f t="shared" si="4"/>
        <v>-2.9069891233969258</v>
      </c>
      <c r="J47" s="194">
        <f>+SUM(J48:J52)</f>
        <v>132970966.74000001</v>
      </c>
      <c r="K47" s="288">
        <f t="shared" si="5"/>
        <v>2.8787202429044623</v>
      </c>
      <c r="L47" s="206">
        <f t="shared" si="7"/>
        <v>1616597.3300000131</v>
      </c>
      <c r="M47" s="181">
        <f t="shared" si="0"/>
        <v>1.2157521071204798</v>
      </c>
      <c r="BM47" s="130"/>
      <c r="BN47" s="130"/>
      <c r="BO47" s="116"/>
      <c r="BP47" s="116"/>
      <c r="BQ47" s="116"/>
      <c r="BR47" s="115"/>
    </row>
    <row r="48" spans="1:70" ht="13.5" customHeight="1">
      <c r="B48" s="80">
        <v>421</v>
      </c>
      <c r="C48" s="97" t="s">
        <v>88</v>
      </c>
      <c r="D48" s="199">
        <v>19447785.66</v>
      </c>
      <c r="E48" s="290">
        <f t="shared" si="1"/>
        <v>0.40612675228668083</v>
      </c>
      <c r="F48" s="199">
        <v>20246525.000000007</v>
      </c>
      <c r="G48" s="297">
        <f t="shared" si="2"/>
        <v>0.42280677024600105</v>
      </c>
      <c r="H48" s="201">
        <f t="shared" si="3"/>
        <v>-798739.3400000073</v>
      </c>
      <c r="I48" s="182">
        <f t="shared" si="4"/>
        <v>-3.9450687957563417</v>
      </c>
      <c r="J48" s="298">
        <v>19346967.939999998</v>
      </c>
      <c r="K48" s="290">
        <f t="shared" si="5"/>
        <v>0.41884713342426005</v>
      </c>
      <c r="L48" s="201">
        <f t="shared" si="7"/>
        <v>100817.72000000253</v>
      </c>
      <c r="M48" s="182">
        <f t="shared" si="0"/>
        <v>0.5211034634091618</v>
      </c>
      <c r="BM48" s="130"/>
      <c r="BN48" s="130"/>
      <c r="BO48" s="116"/>
      <c r="BP48" s="116"/>
      <c r="BQ48" s="116"/>
      <c r="BR48" s="115"/>
    </row>
    <row r="49" spans="1:70" ht="13.5" customHeight="1">
      <c r="B49" s="80">
        <v>422</v>
      </c>
      <c r="C49" s="97" t="s">
        <v>90</v>
      </c>
      <c r="D49" s="199">
        <v>2353459.4900000002</v>
      </c>
      <c r="E49" s="290">
        <f t="shared" si="1"/>
        <v>4.9147130476548472E-2</v>
      </c>
      <c r="F49" s="199">
        <v>3708095.540000001</v>
      </c>
      <c r="G49" s="297">
        <f t="shared" si="2"/>
        <v>7.7435900680783556E-2</v>
      </c>
      <c r="H49" s="201">
        <f t="shared" si="3"/>
        <v>-1354636.0500000007</v>
      </c>
      <c r="I49" s="182">
        <f t="shared" si="4"/>
        <v>-36.531854030923924</v>
      </c>
      <c r="J49" s="298">
        <v>2533074.92</v>
      </c>
      <c r="K49" s="290">
        <f t="shared" si="5"/>
        <v>5.483914442207357E-2</v>
      </c>
      <c r="L49" s="201">
        <f t="shared" si="7"/>
        <v>-179615.4299999997</v>
      </c>
      <c r="M49" s="182">
        <f t="shared" si="0"/>
        <v>-7.0908060626963021</v>
      </c>
      <c r="BM49" s="130"/>
      <c r="BN49" s="130"/>
      <c r="BO49" s="116"/>
      <c r="BP49" s="116"/>
      <c r="BQ49" s="116"/>
      <c r="BR49" s="115"/>
    </row>
    <row r="50" spans="1:70" ht="13.5" customHeight="1">
      <c r="B50" s="80">
        <v>423</v>
      </c>
      <c r="C50" s="97" t="s">
        <v>92</v>
      </c>
      <c r="D50" s="199">
        <v>105274997.91</v>
      </c>
      <c r="E50" s="290">
        <f t="shared" si="1"/>
        <v>2.1984504429269514</v>
      </c>
      <c r="F50" s="199">
        <v>107256253.67999998</v>
      </c>
      <c r="G50" s="297">
        <f t="shared" si="2"/>
        <v>2.2398248690640266</v>
      </c>
      <c r="H50" s="201">
        <f t="shared" si="3"/>
        <v>-1981255.7699999809</v>
      </c>
      <c r="I50" s="182">
        <f t="shared" si="4"/>
        <v>-1.8472170172110225</v>
      </c>
      <c r="J50" s="298">
        <v>103543189.69</v>
      </c>
      <c r="K50" s="290">
        <f t="shared" si="5"/>
        <v>2.2416312634495896</v>
      </c>
      <c r="L50" s="201">
        <f t="shared" si="7"/>
        <v>1731808.2199999988</v>
      </c>
      <c r="M50" s="182">
        <f t="shared" si="0"/>
        <v>1.6725467171572461</v>
      </c>
      <c r="BM50" s="130"/>
      <c r="BN50" s="130"/>
      <c r="BO50" s="116"/>
      <c r="BP50" s="116"/>
      <c r="BQ50" s="116"/>
      <c r="BR50" s="115"/>
    </row>
    <row r="51" spans="1:70" ht="13.5" customHeight="1">
      <c r="B51" s="80">
        <v>424</v>
      </c>
      <c r="C51" s="97" t="s">
        <v>94</v>
      </c>
      <c r="D51" s="199">
        <v>4862177.43</v>
      </c>
      <c r="E51" s="290">
        <f t="shared" si="1"/>
        <v>0.1015365123418118</v>
      </c>
      <c r="F51" s="199">
        <v>4750025.0599999987</v>
      </c>
      <c r="G51" s="297">
        <f t="shared" si="2"/>
        <v>9.9194442216931841E-2</v>
      </c>
      <c r="H51" s="201">
        <f t="shared" si="3"/>
        <v>112152.37000000104</v>
      </c>
      <c r="I51" s="182">
        <f t="shared" si="4"/>
        <v>2.3610900697016604</v>
      </c>
      <c r="J51" s="298">
        <v>5337014.82</v>
      </c>
      <c r="K51" s="290">
        <f t="shared" si="5"/>
        <v>0.11554230954081966</v>
      </c>
      <c r="L51" s="201">
        <f t="shared" si="7"/>
        <v>-474837.3900000006</v>
      </c>
      <c r="M51" s="182">
        <f t="shared" si="0"/>
        <v>-8.8970596113128408</v>
      </c>
      <c r="BM51" s="130"/>
      <c r="BN51" s="130"/>
      <c r="BO51" s="116"/>
      <c r="BP51" s="116"/>
      <c r="BQ51" s="116"/>
      <c r="BR51" s="115"/>
    </row>
    <row r="52" spans="1:70" ht="13.5" customHeight="1">
      <c r="B52" s="80">
        <v>425</v>
      </c>
      <c r="C52" s="97" t="s">
        <v>431</v>
      </c>
      <c r="D52" s="199">
        <v>2649143.58</v>
      </c>
      <c r="E52" s="290">
        <f t="shared" si="1"/>
        <v>5.5321880716702167E-2</v>
      </c>
      <c r="F52" s="199">
        <v>2656250.25</v>
      </c>
      <c r="G52" s="297">
        <f t="shared" si="2"/>
        <v>5.5470288810925958E-2</v>
      </c>
      <c r="H52" s="201">
        <f t="shared" si="3"/>
        <v>-7106.6699999999255</v>
      </c>
      <c r="I52" s="182">
        <f t="shared" si="4"/>
        <v>-0.26754519834868518</v>
      </c>
      <c r="J52" s="298">
        <v>2210719.37</v>
      </c>
      <c r="K52" s="290">
        <f t="shared" si="5"/>
        <v>4.7860392067718818E-2</v>
      </c>
      <c r="L52" s="201">
        <f t="shared" si="7"/>
        <v>438424.20999999996</v>
      </c>
      <c r="M52" s="182">
        <f t="shared" si="0"/>
        <v>19.831744180176059</v>
      </c>
      <c r="BM52" s="130"/>
      <c r="BN52" s="130"/>
      <c r="BO52" s="116"/>
      <c r="BP52" s="116"/>
      <c r="BQ52" s="116"/>
      <c r="BR52" s="115"/>
    </row>
    <row r="53" spans="1:70" ht="13.5" customHeight="1" thickBot="1">
      <c r="A53" s="80">
        <v>43</v>
      </c>
      <c r="B53" s="80">
        <v>431</v>
      </c>
      <c r="C53" s="93" t="s">
        <v>432</v>
      </c>
      <c r="D53" s="194">
        <v>51066057.32</v>
      </c>
      <c r="E53" s="288">
        <f t="shared" si="1"/>
        <v>1.0664089153406007</v>
      </c>
      <c r="F53" s="194">
        <v>60332882.034999996</v>
      </c>
      <c r="G53" s="294">
        <f t="shared" si="2"/>
        <v>1.2599273698993443</v>
      </c>
      <c r="H53" s="206">
        <f t="shared" si="3"/>
        <v>-9266824.7149999961</v>
      </c>
      <c r="I53" s="181">
        <f t="shared" si="4"/>
        <v>-15.359492870942532</v>
      </c>
      <c r="J53" s="194">
        <v>40480863.600000001</v>
      </c>
      <c r="K53" s="288">
        <f t="shared" si="5"/>
        <v>0.87637989218678958</v>
      </c>
      <c r="L53" s="206">
        <f t="shared" si="7"/>
        <v>10585193.719999999</v>
      </c>
      <c r="M53" s="181">
        <f t="shared" si="0"/>
        <v>26.148636117535801</v>
      </c>
      <c r="BM53" s="130"/>
      <c r="BN53" s="130"/>
      <c r="BO53" s="116"/>
      <c r="BP53" s="116"/>
      <c r="BQ53" s="116"/>
      <c r="BR53" s="115"/>
    </row>
    <row r="54" spans="1:70" ht="13.5" hidden="1" customHeight="1">
      <c r="C54" s="164" t="s">
        <v>432</v>
      </c>
      <c r="D54" s="299">
        <v>203620929.09</v>
      </c>
      <c r="E54" s="288">
        <f t="shared" si="1"/>
        <v>4.2522016683373014</v>
      </c>
      <c r="F54" s="300">
        <v>200961211.56999999</v>
      </c>
      <c r="G54" s="294">
        <f t="shared" si="2"/>
        <v>4.1966589727686587</v>
      </c>
      <c r="H54" s="301">
        <f t="shared" si="3"/>
        <v>2659717.5200000107</v>
      </c>
      <c r="I54" s="184">
        <f t="shared" si="4"/>
        <v>1.3234979522769947</v>
      </c>
      <c r="J54" s="300">
        <v>164834834.72999999</v>
      </c>
      <c r="K54" s="288">
        <f t="shared" si="5"/>
        <v>3.5685487374163798</v>
      </c>
      <c r="L54" s="301">
        <f t="shared" si="7"/>
        <v>38786094.360000014</v>
      </c>
      <c r="M54" s="184">
        <f t="shared" si="0"/>
        <v>23.530277701028297</v>
      </c>
      <c r="BM54" s="130"/>
      <c r="BN54" s="130"/>
      <c r="BO54" s="116"/>
      <c r="BP54" s="116"/>
      <c r="BQ54" s="116"/>
      <c r="BR54" s="115"/>
    </row>
    <row r="55" spans="1:70" ht="13.5" hidden="1" customHeight="1" thickBot="1">
      <c r="C55" s="164" t="s">
        <v>459</v>
      </c>
      <c r="D55" s="302">
        <v>5108691.13</v>
      </c>
      <c r="E55" s="288">
        <f t="shared" si="1"/>
        <v>0.10668444075512676</v>
      </c>
      <c r="F55" s="300">
        <v>5723027.120000001</v>
      </c>
      <c r="G55" s="294">
        <f t="shared" si="2"/>
        <v>0.11951357641064196</v>
      </c>
      <c r="H55" s="301">
        <f t="shared" si="3"/>
        <v>-614335.99000000115</v>
      </c>
      <c r="I55" s="184">
        <f t="shared" si="4"/>
        <v>-10.734458829543357</v>
      </c>
      <c r="J55" s="300">
        <v>2046290.03</v>
      </c>
      <c r="K55" s="288">
        <f t="shared" si="5"/>
        <v>4.430062198263731E-2</v>
      </c>
      <c r="L55" s="301">
        <f t="shared" si="7"/>
        <v>3062401.0999999996</v>
      </c>
      <c r="M55" s="184">
        <f t="shared" si="0"/>
        <v>149.65625864873124</v>
      </c>
      <c r="BM55" s="130"/>
      <c r="BN55" s="130"/>
      <c r="BO55" s="116"/>
      <c r="BP55" s="116"/>
      <c r="BQ55" s="116"/>
      <c r="BR55" s="115"/>
    </row>
    <row r="56" spans="1:70" ht="13.5" customHeight="1" thickTop="1" thickBot="1">
      <c r="B56" s="80">
        <v>44</v>
      </c>
      <c r="C56" s="90" t="s">
        <v>130</v>
      </c>
      <c r="D56" s="303">
        <v>45281528.060000002</v>
      </c>
      <c r="E56" s="180">
        <f t="shared" si="1"/>
        <v>0.94561099402748205</v>
      </c>
      <c r="F56" s="293">
        <v>80231249.969999984</v>
      </c>
      <c r="G56" s="292">
        <f t="shared" si="2"/>
        <v>1.6754636004260113</v>
      </c>
      <c r="H56" s="293">
        <f t="shared" si="3"/>
        <v>-34949721.909999982</v>
      </c>
      <c r="I56" s="180">
        <f t="shared" si="4"/>
        <v>-43.561233214076012</v>
      </c>
      <c r="J56" s="293">
        <v>15825475.43</v>
      </c>
      <c r="K56" s="180">
        <f t="shared" si="5"/>
        <v>0.3426095003355632</v>
      </c>
      <c r="L56" s="293">
        <f>+D56-J56</f>
        <v>29456052.630000003</v>
      </c>
      <c r="M56" s="180">
        <f t="shared" si="0"/>
        <v>186.13060163842425</v>
      </c>
      <c r="BM56" s="130"/>
      <c r="BN56" s="130"/>
      <c r="BO56" s="116"/>
      <c r="BP56" s="116"/>
      <c r="BQ56" s="116"/>
      <c r="BR56" s="115"/>
    </row>
    <row r="57" spans="1:70" ht="13.5" customHeight="1" thickTop="1">
      <c r="B57" s="80">
        <v>451</v>
      </c>
      <c r="C57" s="93" t="s">
        <v>110</v>
      </c>
      <c r="D57" s="194">
        <v>302323.98</v>
      </c>
      <c r="E57" s="288">
        <f t="shared" si="1"/>
        <v>6.3134106001754165E-3</v>
      </c>
      <c r="F57" s="194">
        <v>570000.25</v>
      </c>
      <c r="G57" s="294">
        <f t="shared" si="2"/>
        <v>1.1903275487616421E-2</v>
      </c>
      <c r="H57" s="196">
        <f t="shared" si="3"/>
        <v>-267676.27</v>
      </c>
      <c r="I57" s="181">
        <f t="shared" si="4"/>
        <v>-46.960728525996267</v>
      </c>
      <c r="J57" s="194">
        <v>385906.62</v>
      </c>
      <c r="K57" s="288">
        <f t="shared" si="5"/>
        <v>8.3545846593492245E-3</v>
      </c>
      <c r="L57" s="194">
        <f t="shared" si="7"/>
        <v>-83582.640000000014</v>
      </c>
      <c r="M57" s="181">
        <f t="shared" si="0"/>
        <v>-21.658773306350639</v>
      </c>
      <c r="BM57" s="130"/>
      <c r="BN57" s="130"/>
      <c r="BO57" s="116"/>
      <c r="BP57" s="116"/>
      <c r="BQ57" s="116"/>
      <c r="BR57" s="115"/>
    </row>
    <row r="58" spans="1:70" ht="13.5" customHeight="1" thickBot="1">
      <c r="B58" s="80">
        <v>47</v>
      </c>
      <c r="C58" s="93" t="s">
        <v>117</v>
      </c>
      <c r="D58" s="194">
        <v>2231659.2000000002</v>
      </c>
      <c r="E58" s="288">
        <f t="shared" si="1"/>
        <v>4.6603583510838244E-2</v>
      </c>
      <c r="F58" s="194">
        <v>5144750</v>
      </c>
      <c r="G58" s="294">
        <f t="shared" si="2"/>
        <v>0.10743745562377313</v>
      </c>
      <c r="H58" s="196">
        <f t="shared" si="3"/>
        <v>-2913090.8</v>
      </c>
      <c r="I58" s="181">
        <f t="shared" si="4"/>
        <v>-56.622591962680396</v>
      </c>
      <c r="J58" s="194">
        <v>2634909.08</v>
      </c>
      <c r="K58" s="288">
        <f t="shared" si="5"/>
        <v>5.704377649325626E-2</v>
      </c>
      <c r="L58" s="194">
        <f t="shared" si="7"/>
        <v>-403249.87999999989</v>
      </c>
      <c r="M58" s="181">
        <f t="shared" si="0"/>
        <v>-15.304128824057941</v>
      </c>
      <c r="BM58" s="130"/>
      <c r="BN58" s="130"/>
      <c r="BO58" s="116"/>
      <c r="BP58" s="116"/>
      <c r="BQ58" s="116"/>
      <c r="BR58" s="115"/>
    </row>
    <row r="59" spans="1:70" ht="13.5" customHeight="1" thickTop="1" thickBot="1">
      <c r="B59" s="80">
        <v>462</v>
      </c>
      <c r="C59" s="119" t="s">
        <v>112</v>
      </c>
      <c r="D59" s="208">
        <v>9434699.4100000001</v>
      </c>
      <c r="E59" s="304">
        <f t="shared" si="1"/>
        <v>0.19702417011235018</v>
      </c>
      <c r="F59" s="208">
        <v>0</v>
      </c>
      <c r="G59" s="305">
        <f t="shared" si="2"/>
        <v>0</v>
      </c>
      <c r="H59" s="210">
        <f t="shared" si="3"/>
        <v>9434699.4100000001</v>
      </c>
      <c r="I59" s="185" t="str">
        <f t="shared" si="4"/>
        <v>...</v>
      </c>
      <c r="J59" s="208">
        <v>0</v>
      </c>
      <c r="K59" s="304">
        <f t="shared" si="5"/>
        <v>0</v>
      </c>
      <c r="L59" s="208">
        <f t="shared" si="7"/>
        <v>9434699.4100000001</v>
      </c>
      <c r="M59" s="185" t="str">
        <f t="shared" ref="M59:M74" si="8">+IF(ISNUMBER(D59/J59*100-100),D59/J59*100-100,"...")</f>
        <v>...</v>
      </c>
      <c r="BM59" s="130"/>
      <c r="BN59" s="130"/>
      <c r="BO59" s="116"/>
      <c r="BP59" s="116"/>
      <c r="BQ59" s="116"/>
      <c r="BR59" s="115"/>
    </row>
    <row r="60" spans="1:70" ht="13.5" customHeight="1" thickTop="1" thickBot="1">
      <c r="B60" s="167" t="s">
        <v>447</v>
      </c>
      <c r="C60" s="162" t="s">
        <v>446</v>
      </c>
      <c r="D60" s="208">
        <v>4268599.83</v>
      </c>
      <c r="E60" s="306">
        <f t="shared" si="1"/>
        <v>8.9140872697656928E-2</v>
      </c>
      <c r="F60" s="212">
        <v>4000333.3000000003</v>
      </c>
      <c r="G60" s="307">
        <f t="shared" si="2"/>
        <v>8.3538681451781324E-2</v>
      </c>
      <c r="H60" s="214">
        <f>+D60-F60</f>
        <v>268266.5299999998</v>
      </c>
      <c r="I60" s="186">
        <f>+IF(ISNUMBER(D60/F60*100-100),D60/F60*100-100,"...")</f>
        <v>6.7061044638455485</v>
      </c>
      <c r="J60" s="212">
        <v>5942552.6600000001</v>
      </c>
      <c r="K60" s="306">
        <f>+J60/$J$11*100</f>
        <v>0.12865174298023424</v>
      </c>
      <c r="L60" s="214">
        <f>+D60-J60</f>
        <v>-1673952.83</v>
      </c>
      <c r="M60" s="185">
        <f t="shared" si="8"/>
        <v>-28.168918742068001</v>
      </c>
      <c r="BM60" s="130"/>
      <c r="BN60" s="130"/>
      <c r="BO60" s="116"/>
      <c r="BP60" s="116"/>
      <c r="BQ60" s="116"/>
      <c r="BR60" s="115"/>
    </row>
    <row r="61" spans="1:70" ht="13.5" customHeight="1" thickTop="1" thickBot="1">
      <c r="B61" s="80">
        <v>990</v>
      </c>
      <c r="C61" s="156" t="s">
        <v>151</v>
      </c>
      <c r="D61" s="194">
        <v>0</v>
      </c>
      <c r="E61" s="288">
        <f t="shared" si="1"/>
        <v>0</v>
      </c>
      <c r="F61" s="194">
        <v>0</v>
      </c>
      <c r="G61" s="294">
        <f t="shared" si="2"/>
        <v>0</v>
      </c>
      <c r="H61" s="196">
        <f t="shared" si="3"/>
        <v>0</v>
      </c>
      <c r="I61" s="181" t="str">
        <f t="shared" si="4"/>
        <v>...</v>
      </c>
      <c r="J61" s="194">
        <v>0</v>
      </c>
      <c r="K61" s="288">
        <f t="shared" si="5"/>
        <v>0</v>
      </c>
      <c r="L61" s="194">
        <f t="shared" si="7"/>
        <v>0</v>
      </c>
      <c r="M61" s="185" t="str">
        <f t="shared" si="8"/>
        <v>...</v>
      </c>
      <c r="BM61" s="130"/>
      <c r="BN61" s="130"/>
      <c r="BO61" s="116"/>
      <c r="BP61" s="116"/>
      <c r="BQ61" s="116"/>
      <c r="BR61" s="115"/>
    </row>
    <row r="62" spans="1:70" ht="13.5" customHeight="1" thickTop="1" thickBot="1">
      <c r="C62" s="90" t="s">
        <v>443</v>
      </c>
      <c r="D62" s="291">
        <f>+D16-D35</f>
        <v>-71355360.849999964</v>
      </c>
      <c r="E62" s="180">
        <f>+D62/$D$11*100</f>
        <v>-1.4901090266466184</v>
      </c>
      <c r="F62" s="291">
        <f>+F16-F35</f>
        <v>-164452475.23373145</v>
      </c>
      <c r="G62" s="292">
        <f t="shared" si="2"/>
        <v>-3.4342495767809269</v>
      </c>
      <c r="H62" s="291">
        <f t="shared" si="3"/>
        <v>93097114.383731484</v>
      </c>
      <c r="I62" s="180">
        <f t="shared" si="4"/>
        <v>-56.610345482131116</v>
      </c>
      <c r="J62" s="291">
        <f>+J16-J35</f>
        <v>-70048874.270000041</v>
      </c>
      <c r="K62" s="180">
        <f t="shared" si="5"/>
        <v>-1.5165048228009794</v>
      </c>
      <c r="L62" s="291">
        <f>+D62-J62</f>
        <v>-1306486.5799999237</v>
      </c>
      <c r="M62" s="180">
        <f t="shared" si="8"/>
        <v>1.8651071749763446</v>
      </c>
      <c r="BM62" s="130"/>
      <c r="BN62" s="130"/>
      <c r="BO62" s="116"/>
      <c r="BP62" s="116"/>
      <c r="BQ62" s="116"/>
      <c r="BR62" s="115"/>
    </row>
    <row r="63" spans="1:70" ht="13.5" customHeight="1" thickTop="1" thickBot="1">
      <c r="C63" s="90" t="s">
        <v>469</v>
      </c>
      <c r="D63" s="291">
        <f>D62-D61</f>
        <v>-71355360.849999964</v>
      </c>
      <c r="E63" s="180">
        <f>+D63/$D$11*100</f>
        <v>-1.4901090266466184</v>
      </c>
      <c r="F63" s="291">
        <f>F62-F61</f>
        <v>-164452475.23373145</v>
      </c>
      <c r="G63" s="292">
        <f t="shared" si="2"/>
        <v>-3.4342495767809269</v>
      </c>
      <c r="H63" s="291">
        <f t="shared" si="3"/>
        <v>93097114.383731484</v>
      </c>
      <c r="I63" s="180">
        <f t="shared" si="4"/>
        <v>-56.610345482131116</v>
      </c>
      <c r="J63" s="291">
        <f>J62-J61</f>
        <v>-70048874.270000041</v>
      </c>
      <c r="K63" s="180">
        <f t="shared" si="5"/>
        <v>-1.5165048228009794</v>
      </c>
      <c r="L63" s="291">
        <f>+D63-J63</f>
        <v>-1306486.5799999237</v>
      </c>
      <c r="M63" s="180">
        <f t="shared" si="8"/>
        <v>1.8651071749763446</v>
      </c>
      <c r="BM63" s="130"/>
      <c r="BN63" s="130"/>
      <c r="BO63" s="116"/>
      <c r="BP63" s="116"/>
      <c r="BQ63" s="116"/>
      <c r="BR63" s="115"/>
    </row>
    <row r="64" spans="1:70" ht="13.5" customHeight="1" thickTop="1" thickBot="1">
      <c r="C64" s="90" t="s">
        <v>468</v>
      </c>
      <c r="D64" s="291">
        <f>+D62+D42</f>
        <v>-35554196.619999968</v>
      </c>
      <c r="E64" s="180">
        <f t="shared" si="1"/>
        <v>-0.74247580963120674</v>
      </c>
      <c r="F64" s="291">
        <f>+F62+F42</f>
        <v>-127383531.17373145</v>
      </c>
      <c r="G64" s="292">
        <f t="shared" si="2"/>
        <v>-2.6601414019490339</v>
      </c>
      <c r="H64" s="291">
        <f t="shared" si="3"/>
        <v>91829334.553731471</v>
      </c>
      <c r="I64" s="180">
        <f t="shared" si="4"/>
        <v>-72.088859295704765</v>
      </c>
      <c r="J64" s="291">
        <f>+J63+J42</f>
        <v>-25159318.780000038</v>
      </c>
      <c r="K64" s="180">
        <f t="shared" si="5"/>
        <v>-0.54468010608127204</v>
      </c>
      <c r="L64" s="291">
        <f t="shared" si="7"/>
        <v>-10394877.839999929</v>
      </c>
      <c r="M64" s="180">
        <f t="shared" si="8"/>
        <v>41.316213411402686</v>
      </c>
      <c r="BM64" s="130"/>
      <c r="BN64" s="130"/>
      <c r="BO64" s="116"/>
      <c r="BP64" s="116"/>
      <c r="BQ64" s="116"/>
      <c r="BR64" s="115"/>
    </row>
    <row r="65" spans="2:70" ht="13.5" customHeight="1" thickTop="1" thickBot="1">
      <c r="C65" s="90" t="s">
        <v>449</v>
      </c>
      <c r="D65" s="291">
        <f>+SUM(D66:D67)</f>
        <v>104670374.99000001</v>
      </c>
      <c r="E65" s="180">
        <f t="shared" si="1"/>
        <v>2.1858241446351756</v>
      </c>
      <c r="F65" s="291">
        <f>+SUM(F66:F68)</f>
        <v>22701982.300000001</v>
      </c>
      <c r="G65" s="292">
        <f t="shared" si="2"/>
        <v>0.4740839138787955</v>
      </c>
      <c r="H65" s="291">
        <f t="shared" si="3"/>
        <v>81968392.690000013</v>
      </c>
      <c r="I65" s="180">
        <f t="shared" si="4"/>
        <v>361.06271076601104</v>
      </c>
      <c r="J65" s="291">
        <f>+SUM(J66:J67)</f>
        <v>99755161.230000004</v>
      </c>
      <c r="K65" s="180">
        <f t="shared" si="5"/>
        <v>2.1596233298694552</v>
      </c>
      <c r="L65" s="291">
        <f t="shared" si="7"/>
        <v>4915213.7600000054</v>
      </c>
      <c r="M65" s="180">
        <f t="shared" si="8"/>
        <v>4.9272776459829117</v>
      </c>
      <c r="BM65" s="130"/>
      <c r="BN65" s="130"/>
      <c r="BO65" s="116"/>
      <c r="BP65" s="116"/>
      <c r="BQ65" s="116"/>
      <c r="BR65" s="115"/>
    </row>
    <row r="66" spans="2:70" ht="13.5" customHeight="1" thickTop="1">
      <c r="B66" s="80">
        <v>4611</v>
      </c>
      <c r="C66" s="97" t="s">
        <v>450</v>
      </c>
      <c r="D66" s="199">
        <v>83982554.640000001</v>
      </c>
      <c r="E66" s="290">
        <f t="shared" si="1"/>
        <v>1.7538018343565969</v>
      </c>
      <c r="F66" s="199">
        <v>2732590.5599999996</v>
      </c>
      <c r="G66" s="297">
        <f t="shared" si="2"/>
        <v>5.7064498183185056E-2</v>
      </c>
      <c r="H66" s="201">
        <f t="shared" si="3"/>
        <v>81249964.079999998</v>
      </c>
      <c r="I66" s="182">
        <f t="shared" si="4"/>
        <v>2973.3676632477282</v>
      </c>
      <c r="J66" s="199">
        <v>82570523.680000007</v>
      </c>
      <c r="K66" s="290">
        <f t="shared" si="5"/>
        <v>1.7875890039185125</v>
      </c>
      <c r="L66" s="201">
        <f t="shared" si="7"/>
        <v>1412030.9599999934</v>
      </c>
      <c r="M66" s="182">
        <f t="shared" si="8"/>
        <v>1.7100908375878703</v>
      </c>
      <c r="BM66" s="130"/>
      <c r="BN66" s="130"/>
      <c r="BO66" s="116"/>
      <c r="BP66" s="116"/>
      <c r="BQ66" s="116"/>
      <c r="BR66" s="115"/>
    </row>
    <row r="67" spans="2:70" ht="13.5" customHeight="1">
      <c r="B67" s="80">
        <v>4612</v>
      </c>
      <c r="C67" s="97" t="s">
        <v>451</v>
      </c>
      <c r="D67" s="199">
        <v>20687820.350000001</v>
      </c>
      <c r="E67" s="290">
        <f t="shared" si="1"/>
        <v>0.43202231027857829</v>
      </c>
      <c r="F67" s="199">
        <v>19969391.740000002</v>
      </c>
      <c r="G67" s="297">
        <f t="shared" si="2"/>
        <v>0.41701941569561046</v>
      </c>
      <c r="H67" s="201">
        <f t="shared" si="3"/>
        <v>718428.6099999994</v>
      </c>
      <c r="I67" s="182">
        <f t="shared" si="4"/>
        <v>3.5976489387052197</v>
      </c>
      <c r="J67" s="199">
        <v>17184637.550000001</v>
      </c>
      <c r="K67" s="290">
        <f t="shared" si="5"/>
        <v>0.37203432595094282</v>
      </c>
      <c r="L67" s="201">
        <f t="shared" si="7"/>
        <v>3503182.8000000007</v>
      </c>
      <c r="M67" s="182">
        <f t="shared" si="8"/>
        <v>20.385549534037168</v>
      </c>
      <c r="BM67" s="130"/>
      <c r="BN67" s="130"/>
      <c r="BO67" s="116"/>
      <c r="BP67" s="116"/>
      <c r="BQ67" s="116"/>
      <c r="BR67" s="115"/>
    </row>
    <row r="68" spans="2:70" ht="13.5" customHeight="1" thickBot="1">
      <c r="B68" s="80" t="s">
        <v>448</v>
      </c>
      <c r="C68" s="97" t="s">
        <v>446</v>
      </c>
      <c r="D68" s="199">
        <v>0</v>
      </c>
      <c r="E68" s="290">
        <f t="shared" si="1"/>
        <v>0</v>
      </c>
      <c r="F68" s="308">
        <v>0</v>
      </c>
      <c r="G68" s="297">
        <f t="shared" si="2"/>
        <v>0</v>
      </c>
      <c r="H68" s="201">
        <f t="shared" si="3"/>
        <v>0</v>
      </c>
      <c r="I68" s="182" t="str">
        <f t="shared" si="4"/>
        <v>...</v>
      </c>
      <c r="J68" s="199">
        <v>0</v>
      </c>
      <c r="K68" s="290">
        <f t="shared" si="5"/>
        <v>0</v>
      </c>
      <c r="L68" s="201">
        <f t="shared" si="7"/>
        <v>0</v>
      </c>
      <c r="M68" s="182" t="str">
        <f t="shared" si="8"/>
        <v>...</v>
      </c>
      <c r="BM68" s="130"/>
      <c r="BN68" s="130"/>
      <c r="BO68" s="116"/>
      <c r="BP68" s="116"/>
      <c r="BQ68" s="116"/>
      <c r="BR68" s="115"/>
    </row>
    <row r="69" spans="2:70" ht="13.5" customHeight="1" thickTop="1" thickBot="1">
      <c r="C69" s="90" t="s">
        <v>465</v>
      </c>
      <c r="D69" s="291">
        <v>0</v>
      </c>
      <c r="E69" s="180">
        <f t="shared" si="1"/>
        <v>0</v>
      </c>
      <c r="F69" s="291">
        <v>80000.009999999995</v>
      </c>
      <c r="G69" s="292">
        <f t="shared" si="2"/>
        <v>1.6706346322515975E-3</v>
      </c>
      <c r="H69" s="291">
        <f t="shared" si="3"/>
        <v>-80000.009999999995</v>
      </c>
      <c r="I69" s="180">
        <f t="shared" si="4"/>
        <v>-100</v>
      </c>
      <c r="J69" s="291">
        <v>0</v>
      </c>
      <c r="K69" s="180">
        <f t="shared" si="5"/>
        <v>0</v>
      </c>
      <c r="L69" s="291">
        <f t="shared" si="7"/>
        <v>0</v>
      </c>
      <c r="M69" s="180" t="str">
        <f t="shared" si="8"/>
        <v>...</v>
      </c>
      <c r="BM69" s="130"/>
      <c r="BN69" s="130"/>
      <c r="BO69" s="116"/>
      <c r="BP69" s="116"/>
      <c r="BQ69" s="116"/>
      <c r="BR69" s="115"/>
    </row>
    <row r="70" spans="2:70" ht="13.5" customHeight="1" thickTop="1" thickBot="1">
      <c r="C70" s="90" t="s">
        <v>140</v>
      </c>
      <c r="D70" s="291">
        <f>+D62-D65-D69</f>
        <v>-176025735.83999997</v>
      </c>
      <c r="E70" s="180">
        <f t="shared" si="1"/>
        <v>-3.6759331712817938</v>
      </c>
      <c r="F70" s="291">
        <f>+F62-F65-F69</f>
        <v>-187234457.54373145</v>
      </c>
      <c r="G70" s="292">
        <f t="shared" si="2"/>
        <v>-3.9100041252919735</v>
      </c>
      <c r="H70" s="291">
        <f>+D70-F70</f>
        <v>11208721.703731477</v>
      </c>
      <c r="I70" s="180">
        <f t="shared" ref="I70:I74" si="9">+IF(ISNUMBER(D70/F70*100-100),D70/F70*100-100,"...")</f>
        <v>-5.986463095936017</v>
      </c>
      <c r="J70" s="291">
        <f>+J63-J65-J69</f>
        <v>-169804035.50000006</v>
      </c>
      <c r="K70" s="180">
        <f t="shared" ref="K70:K75" si="10">+J70/$J$11*100</f>
        <v>-3.6761281526704348</v>
      </c>
      <c r="L70" s="291">
        <f t="shared" si="7"/>
        <v>-6221700.3399999142</v>
      </c>
      <c r="M70" s="180">
        <f t="shared" si="8"/>
        <v>3.6640473953870867</v>
      </c>
      <c r="BM70" s="130"/>
      <c r="BN70" s="130"/>
      <c r="BO70" s="116"/>
      <c r="BP70" s="116"/>
      <c r="BQ70" s="116"/>
      <c r="BR70" s="115"/>
    </row>
    <row r="71" spans="2:70" ht="13.5" customHeight="1" thickTop="1" thickBot="1">
      <c r="C71" s="90" t="s">
        <v>120</v>
      </c>
      <c r="D71" s="291">
        <f>+SUM(D72:D75)</f>
        <v>176025735.83999997</v>
      </c>
      <c r="E71" s="180">
        <f t="shared" si="1"/>
        <v>3.6759331712817938</v>
      </c>
      <c r="F71" s="291">
        <f>+SUM(F72:F75)</f>
        <v>187234457.54373145</v>
      </c>
      <c r="G71" s="292">
        <f t="shared" si="2"/>
        <v>3.9100041252919735</v>
      </c>
      <c r="H71" s="291">
        <f t="shared" ref="H71:H75" si="11">+D71-F71</f>
        <v>-11208721.703731477</v>
      </c>
      <c r="I71" s="180">
        <f t="shared" si="9"/>
        <v>-5.986463095936017</v>
      </c>
      <c r="J71" s="291">
        <f>+SUM(J72:J75)+J61</f>
        <v>169804035.50000006</v>
      </c>
      <c r="K71" s="180">
        <f t="shared" si="10"/>
        <v>3.6761281526704348</v>
      </c>
      <c r="L71" s="291">
        <f>+SUM(L72:L75)</f>
        <v>6221700.3399999142</v>
      </c>
      <c r="M71" s="180">
        <f t="shared" si="8"/>
        <v>3.6640473953870867</v>
      </c>
      <c r="BM71" s="130"/>
      <c r="BN71" s="130"/>
      <c r="BO71" s="116"/>
      <c r="BP71" s="116"/>
      <c r="BQ71" s="116"/>
      <c r="BR71" s="115"/>
    </row>
    <row r="72" spans="2:70" ht="13.5" customHeight="1" thickTop="1">
      <c r="B72" s="80">
        <v>7511</v>
      </c>
      <c r="C72" s="97" t="s">
        <v>452</v>
      </c>
      <c r="D72" s="199">
        <v>72000000</v>
      </c>
      <c r="E72" s="290">
        <f t="shared" si="1"/>
        <v>1.5035709810800653</v>
      </c>
      <c r="F72" s="199">
        <v>95000000</v>
      </c>
      <c r="G72" s="297">
        <f t="shared" si="2"/>
        <v>1.983878377813975</v>
      </c>
      <c r="H72" s="201">
        <f t="shared" si="11"/>
        <v>-23000000</v>
      </c>
      <c r="I72" s="182">
        <f t="shared" si="9"/>
        <v>-24.210526315789465</v>
      </c>
      <c r="J72" s="199">
        <v>136600000</v>
      </c>
      <c r="K72" s="290">
        <f t="shared" si="10"/>
        <v>2.9572860513952937</v>
      </c>
      <c r="L72" s="201">
        <f t="shared" si="7"/>
        <v>-64600000</v>
      </c>
      <c r="M72" s="182">
        <f t="shared" si="8"/>
        <v>-47.291361639824302</v>
      </c>
      <c r="BM72" s="130"/>
      <c r="BN72" s="130"/>
      <c r="BO72" s="116"/>
      <c r="BP72" s="116"/>
      <c r="BQ72" s="116"/>
      <c r="BR72" s="115"/>
    </row>
    <row r="73" spans="2:70" ht="13.5" customHeight="1">
      <c r="B73" s="80">
        <v>7512</v>
      </c>
      <c r="C73" s="97" t="s">
        <v>453</v>
      </c>
      <c r="D73" s="199">
        <v>43628378.950000003</v>
      </c>
      <c r="E73" s="290">
        <f t="shared" si="1"/>
        <v>0.91108839639978301</v>
      </c>
      <c r="F73" s="199">
        <v>36422181.240000002</v>
      </c>
      <c r="G73" s="297">
        <f t="shared" si="2"/>
        <v>0.76060187194587148</v>
      </c>
      <c r="H73" s="201">
        <f t="shared" si="11"/>
        <v>7206197.7100000009</v>
      </c>
      <c r="I73" s="182">
        <f t="shared" si="9"/>
        <v>19.785189861407645</v>
      </c>
      <c r="J73" s="199">
        <v>5684487.2600000007</v>
      </c>
      <c r="K73" s="290">
        <f t="shared" si="10"/>
        <v>0.12306482345045572</v>
      </c>
      <c r="L73" s="201">
        <f t="shared" si="7"/>
        <v>37943891.690000005</v>
      </c>
      <c r="M73" s="182">
        <f t="shared" si="8"/>
        <v>667.4989309413985</v>
      </c>
      <c r="BM73" s="130"/>
      <c r="BN73" s="130"/>
      <c r="BO73" s="116"/>
      <c r="BP73" s="116"/>
      <c r="BQ73" s="116"/>
      <c r="BR73" s="115"/>
    </row>
    <row r="74" spans="2:70" ht="13.5" customHeight="1" thickBot="1">
      <c r="B74" s="80">
        <v>72</v>
      </c>
      <c r="C74" s="103" t="s">
        <v>401</v>
      </c>
      <c r="D74" s="199">
        <v>384537.58999999997</v>
      </c>
      <c r="E74" s="309">
        <f t="shared" si="1"/>
        <v>8.030271686923109E-3</v>
      </c>
      <c r="F74" s="199">
        <v>1500000</v>
      </c>
      <c r="G74" s="310">
        <f t="shared" si="2"/>
        <v>3.1324395439168026E-2</v>
      </c>
      <c r="H74" s="201">
        <f t="shared" si="11"/>
        <v>-1115462.4100000001</v>
      </c>
      <c r="I74" s="182">
        <f t="shared" si="9"/>
        <v>-74.364160666666663</v>
      </c>
      <c r="J74" s="199">
        <v>2752975.0500000003</v>
      </c>
      <c r="K74" s="309">
        <f t="shared" si="10"/>
        <v>5.9599814899006308E-2</v>
      </c>
      <c r="L74" s="201">
        <f t="shared" si="7"/>
        <v>-2368437.4600000004</v>
      </c>
      <c r="M74" s="182">
        <f t="shared" si="8"/>
        <v>-86.031926079388185</v>
      </c>
      <c r="BM74" s="130"/>
      <c r="BN74" s="130"/>
      <c r="BO74" s="116"/>
      <c r="BP74" s="116"/>
      <c r="BQ74" s="116"/>
      <c r="BR74" s="115"/>
    </row>
    <row r="75" spans="2:70" ht="13.5" customHeight="1" thickTop="1" thickBot="1">
      <c r="C75" s="119" t="s">
        <v>454</v>
      </c>
      <c r="D75" s="208">
        <f>-D70-SUM(D72:D74)</f>
        <v>60012819.299999967</v>
      </c>
      <c r="E75" s="304">
        <f t="shared" si="1"/>
        <v>1.2532435221150224</v>
      </c>
      <c r="F75" s="208">
        <f>-F70-SUM(F72:F74)</f>
        <v>54312276.303731441</v>
      </c>
      <c r="G75" s="305">
        <f t="shared" si="2"/>
        <v>1.1341994800929591</v>
      </c>
      <c r="H75" s="218">
        <f t="shared" si="11"/>
        <v>5700542.9962685257</v>
      </c>
      <c r="I75" s="185" t="s">
        <v>467</v>
      </c>
      <c r="J75" s="208">
        <f>-J70-SUM(J72:J74)-J61</f>
        <v>24766573.190000057</v>
      </c>
      <c r="K75" s="304">
        <f t="shared" si="10"/>
        <v>0.53617746292567936</v>
      </c>
      <c r="L75" s="214">
        <f t="shared" si="7"/>
        <v>35246246.10999991</v>
      </c>
      <c r="M75" s="185" t="s">
        <v>467</v>
      </c>
      <c r="BM75" s="130"/>
      <c r="BN75" s="130"/>
      <c r="BO75" s="116"/>
      <c r="BP75" s="116"/>
      <c r="BQ75" s="116"/>
      <c r="BR75" s="115"/>
    </row>
    <row r="76" spans="2:70" s="150" customFormat="1" ht="13.5" thickTop="1">
      <c r="C76" s="151" t="str">
        <f>IF([1]MasterSheet!$A$1=1,[1]MasterSheet!C151,[1]MasterSheet!B151)</f>
        <v>Izvor: Ministarstvo finansija Crne Gore</v>
      </c>
      <c r="D76" s="187"/>
      <c r="E76" s="187"/>
      <c r="F76" s="311"/>
      <c r="G76" s="187"/>
      <c r="H76" s="187"/>
      <c r="I76" s="187"/>
      <c r="J76" s="311"/>
      <c r="K76" s="187"/>
      <c r="L76" s="187"/>
      <c r="M76" s="187"/>
    </row>
    <row r="77" spans="2:70" s="150" customFormat="1">
      <c r="C77" s="152"/>
      <c r="D77" s="312"/>
      <c r="E77" s="188"/>
      <c r="F77" s="313"/>
      <c r="G77" s="188"/>
      <c r="H77" s="188"/>
      <c r="I77" s="188"/>
      <c r="J77" s="313"/>
      <c r="K77" s="314"/>
      <c r="L77" s="188"/>
      <c r="M77" s="188"/>
    </row>
    <row r="78" spans="2:70" s="150" customFormat="1">
      <c r="D78" s="189"/>
      <c r="E78" s="189"/>
      <c r="F78" s="188"/>
      <c r="G78" s="188"/>
      <c r="H78" s="188"/>
      <c r="I78" s="188"/>
      <c r="J78" s="188"/>
      <c r="K78" s="188"/>
      <c r="L78" s="188"/>
      <c r="M78" s="188"/>
    </row>
    <row r="79" spans="2:70" s="150" customFormat="1">
      <c r="C79" s="153"/>
      <c r="D79" s="189"/>
      <c r="E79" s="189"/>
      <c r="F79" s="189"/>
      <c r="G79" s="189"/>
      <c r="H79" s="189"/>
      <c r="I79" s="189"/>
      <c r="J79" s="189"/>
      <c r="K79" s="189"/>
      <c r="L79" s="189"/>
      <c r="M79" s="189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zoomScaleNormal="100" workbookViewId="0">
      <selection activeCell="D15" sqref="D15:M15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167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22" t="str">
        <f>+'Cental Budget'!C11</f>
        <v>BDP (u mil. €)</v>
      </c>
      <c r="D11" s="238">
        <f>+'Cental Budget'!D11:G11</f>
        <v>4788600000</v>
      </c>
      <c r="E11" s="239"/>
      <c r="F11" s="239"/>
      <c r="G11" s="240"/>
      <c r="H11" s="241"/>
      <c r="I11" s="242"/>
      <c r="J11" s="236">
        <f>+'Cental Budget'!J11:K11</f>
        <v>4619100000</v>
      </c>
      <c r="K11" s="237" t="e">
        <f>+'Cental Budget'!#REF!</f>
        <v>#REF!</v>
      </c>
      <c r="L11" s="241"/>
      <c r="M11" s="245"/>
      <c r="N11" s="160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253"/>
      <c r="E13" s="253"/>
      <c r="F13" s="191"/>
      <c r="G13" s="191"/>
      <c r="H13" s="191"/>
      <c r="I13" s="191"/>
      <c r="J13" s="253"/>
      <c r="K13" s="253"/>
      <c r="L13" s="191"/>
      <c r="M13" s="191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232" t="s">
        <v>258</v>
      </c>
      <c r="D14" s="234" t="s">
        <v>470</v>
      </c>
      <c r="E14" s="235"/>
      <c r="F14" s="234" t="s">
        <v>471</v>
      </c>
      <c r="G14" s="235"/>
      <c r="H14" s="234" t="str">
        <f>+'Cental Budget'!H14:I14</f>
        <v>Odstupanje</v>
      </c>
      <c r="I14" s="235"/>
      <c r="J14" s="234" t="s">
        <v>464</v>
      </c>
      <c r="K14" s="235"/>
      <c r="L14" s="234" t="str">
        <f>+H14</f>
        <v>Odstupanje</v>
      </c>
      <c r="M14" s="235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233"/>
      <c r="D15" s="123" t="str">
        <f>IF(MasterSheet!$A$1=1,MasterSheet!C71,MasterSheet!C70)</f>
        <v>mil. €</v>
      </c>
      <c r="E15" s="128" t="str">
        <f>IF(MasterSheet!$A$1=1,MasterSheet!D71,MasterSheet!D70)</f>
        <v>% BDP</v>
      </c>
      <c r="F15" s="123" t="str">
        <f>IF(MasterSheet!$A$1=1,MasterSheet!E71,MasterSheet!E70)</f>
        <v>mil. €</v>
      </c>
      <c r="G15" s="128" t="str">
        <f>IF(MasterSheet!$A$1=1,MasterSheet!F71,MasterSheet!F70)</f>
        <v>% BDP</v>
      </c>
      <c r="H15" s="123" t="str">
        <f>IF(MasterSheet!$A$1=1,MasterSheet!G71,MasterSheet!G70)</f>
        <v>mil. €</v>
      </c>
      <c r="I15" s="128" t="s">
        <v>439</v>
      </c>
      <c r="J15" s="123" t="str">
        <f>IF(MasterSheet!$A$1=1,MasterSheet!I71,MasterSheet!I70)</f>
        <v>mil. €</v>
      </c>
      <c r="K15" s="128" t="str">
        <f>IF(MasterSheet!$A$1=1,MasterSheet!J71,MasterSheet!J70)</f>
        <v>% BDP</v>
      </c>
      <c r="L15" s="123" t="str">
        <f>IF(MasterSheet!$A$1=1,MasterSheet!K71,MasterSheet!K70)</f>
        <v>mil. €</v>
      </c>
      <c r="M15" s="12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24" t="str">
        <f>IF(MasterSheet!$A$1=1,MasterSheet!C72,MasterSheet!B72)</f>
        <v>Izvorni prihodi</v>
      </c>
      <c r="D16" s="315">
        <f>+D17+D21+D22+D23+D24+D25</f>
        <v>46423656.119999997</v>
      </c>
      <c r="E16" s="316">
        <f>+D16/$D$11*100</f>
        <v>0.96946197468988848</v>
      </c>
      <c r="F16" s="315">
        <f>+F17+F21+F22+F23+F24+F25</f>
        <v>38891616.83099819</v>
      </c>
      <c r="G16" s="316">
        <f t="shared" ref="G16:G60" si="0">+F16/$D$11*100</f>
        <v>0.81217092325519336</v>
      </c>
      <c r="H16" s="315">
        <f>+D16-F16</f>
        <v>7532039.2890018076</v>
      </c>
      <c r="I16" s="316">
        <f>+D16/F16*100-100</f>
        <v>19.366742508371289</v>
      </c>
      <c r="J16" s="315">
        <f>+J17+J21+J22+J23+J24+J25</f>
        <v>38356901.36999999</v>
      </c>
      <c r="K16" s="316">
        <f>+J16/$J$11*100</f>
        <v>0.83039772618042451</v>
      </c>
      <c r="L16" s="315">
        <f>+D16-J16</f>
        <v>8066754.7500000075</v>
      </c>
      <c r="M16" s="316">
        <f>+D16/J16*100-100</f>
        <v>21.030777935334584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317">
        <f>+SUM(D18:D20)</f>
        <v>28979029.139999997</v>
      </c>
      <c r="E17" s="318">
        <f t="shared" ref="E17:E60" si="1">+D17/$D$11*100</f>
        <v>0.60516704548302214</v>
      </c>
      <c r="F17" s="317">
        <f>+SUM(F18:F20)</f>
        <v>24468011.234940924</v>
      </c>
      <c r="G17" s="318">
        <f t="shared" si="0"/>
        <v>0.51096377302219698</v>
      </c>
      <c r="H17" s="319">
        <f t="shared" ref="H17:H59" si="2">+D17-F17</f>
        <v>4511017.9050590731</v>
      </c>
      <c r="I17" s="320">
        <f t="shared" ref="I17:I60" si="3">+D17/F17*100-100</f>
        <v>18.436389707951534</v>
      </c>
      <c r="J17" s="317">
        <f>+J18+J19+J20</f>
        <v>23069846.409999996</v>
      </c>
      <c r="K17" s="318">
        <f t="shared" ref="K17:K60" si="4">+J17/$J$11*100</f>
        <v>0.49944461929813161</v>
      </c>
      <c r="L17" s="319">
        <f t="shared" ref="L17:L60" si="5">+D17-J17</f>
        <v>5909182.7300000004</v>
      </c>
      <c r="M17" s="320">
        <f t="shared" ref="M17:M60" si="6">+D17/J17*100-100</f>
        <v>25.614313268416765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321">
        <v>10926485.91</v>
      </c>
      <c r="E18" s="322">
        <f t="shared" si="1"/>
        <v>0.22817704360355845</v>
      </c>
      <c r="F18" s="321">
        <v>6682366.2580335187</v>
      </c>
      <c r="G18" s="322">
        <f t="shared" si="0"/>
        <v>0.1395473887573303</v>
      </c>
      <c r="H18" s="323">
        <f>+D18-F18</f>
        <v>4244119.6519664815</v>
      </c>
      <c r="I18" s="165">
        <f>+D18/F18*100-100</f>
        <v>63.512227377004592</v>
      </c>
      <c r="J18" s="321">
        <v>6281831.9899999993</v>
      </c>
      <c r="K18" s="322">
        <f t="shared" si="4"/>
        <v>0.13599688229308737</v>
      </c>
      <c r="L18" s="323">
        <f>+D18-J18</f>
        <v>4644653.9200000009</v>
      </c>
      <c r="M18" s="165">
        <f>+D18/J18*100-100</f>
        <v>73.937888300638889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321">
        <v>4036598.9399999995</v>
      </c>
      <c r="E19" s="322">
        <f t="shared" si="1"/>
        <v>8.4296014283924303E-2</v>
      </c>
      <c r="F19" s="321">
        <v>4987107.6819190532</v>
      </c>
      <c r="G19" s="322">
        <f t="shared" si="0"/>
        <v>0.10414542208409666</v>
      </c>
      <c r="H19" s="323">
        <f>+D19-F19</f>
        <v>-950508.74191905372</v>
      </c>
      <c r="I19" s="165">
        <f>+D19/F19*100-100</f>
        <v>-19.059318597935217</v>
      </c>
      <c r="J19" s="321">
        <v>3624874.5599999996</v>
      </c>
      <c r="K19" s="322">
        <f t="shared" si="4"/>
        <v>7.8475775800480596E-2</v>
      </c>
      <c r="L19" s="323">
        <f>+D19-J19</f>
        <v>411724.37999999989</v>
      </c>
      <c r="M19" s="165">
        <f>+D19/J19*100-100</f>
        <v>11.358306975455719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</row>
    <row r="20" spans="1:82" ht="15" customHeight="1">
      <c r="B20" s="80">
        <v>7117</v>
      </c>
      <c r="C20" s="97" t="s">
        <v>11</v>
      </c>
      <c r="D20" s="321">
        <v>14015944.289999997</v>
      </c>
      <c r="E20" s="322">
        <f t="shared" si="1"/>
        <v>0.29269398759553938</v>
      </c>
      <c r="F20" s="321">
        <v>12798537.294988353</v>
      </c>
      <c r="G20" s="322">
        <f t="shared" si="0"/>
        <v>0.26727096218077001</v>
      </c>
      <c r="H20" s="323">
        <f>+D20-F20</f>
        <v>1217406.9950116444</v>
      </c>
      <c r="I20" s="165">
        <f>+D20/F20*100-100</f>
        <v>9.5120791302327774</v>
      </c>
      <c r="J20" s="321">
        <v>13163139.859999999</v>
      </c>
      <c r="K20" s="322">
        <f t="shared" si="4"/>
        <v>0.28497196120456364</v>
      </c>
      <c r="L20" s="323">
        <f>+D20-J20</f>
        <v>852804.42999999784</v>
      </c>
      <c r="M20" s="165">
        <f>+D20/J20*100-100</f>
        <v>6.4787310555856692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205">
        <v>1188013.3</v>
      </c>
      <c r="E21" s="288">
        <f t="shared" si="1"/>
        <v>2.4809198930793971E-2</v>
      </c>
      <c r="F21" s="205">
        <v>1351128.4355832001</v>
      </c>
      <c r="G21" s="288">
        <f t="shared" si="0"/>
        <v>2.8215520936875082E-2</v>
      </c>
      <c r="H21" s="206">
        <f t="shared" si="2"/>
        <v>-163115.13558320003</v>
      </c>
      <c r="I21" s="181">
        <f t="shared" si="3"/>
        <v>-12.072511486503728</v>
      </c>
      <c r="J21" s="205">
        <v>1230103.2100000002</v>
      </c>
      <c r="K21" s="296">
        <f t="shared" si="4"/>
        <v>2.6630798423935405E-2</v>
      </c>
      <c r="L21" s="206">
        <f t="shared" si="5"/>
        <v>-42089.910000000149</v>
      </c>
      <c r="M21" s="181">
        <f t="shared" si="6"/>
        <v>-3.4216567892705712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205">
        <v>13148411.84</v>
      </c>
      <c r="E22" s="288">
        <f t="shared" si="1"/>
        <v>0.27457736791546589</v>
      </c>
      <c r="F22" s="205">
        <v>8475900</v>
      </c>
      <c r="G22" s="288">
        <f>+F22/$D$11*100</f>
        <v>0.17700162886856283</v>
      </c>
      <c r="H22" s="206">
        <f>+D22-F22</f>
        <v>4672511.84</v>
      </c>
      <c r="I22" s="181">
        <f>+D22/F22*100-100</f>
        <v>55.127028870090498</v>
      </c>
      <c r="J22" s="205">
        <v>10093707.689999999</v>
      </c>
      <c r="K22" s="296">
        <f t="shared" si="4"/>
        <v>0.21852109047216989</v>
      </c>
      <c r="L22" s="206">
        <f t="shared" si="5"/>
        <v>3054704.1500000004</v>
      </c>
      <c r="M22" s="181">
        <f t="shared" si="6"/>
        <v>30.263449703683676</v>
      </c>
      <c r="BY22" s="114"/>
      <c r="BZ22" s="114"/>
      <c r="CA22" s="114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324">
        <v>2892009.65</v>
      </c>
      <c r="E23" s="325">
        <f t="shared" si="1"/>
        <v>6.0393635926993275E-2</v>
      </c>
      <c r="F23" s="324">
        <v>4344481.1604740694</v>
      </c>
      <c r="G23" s="325">
        <f t="shared" si="0"/>
        <v>9.072549723247024E-2</v>
      </c>
      <c r="H23" s="326">
        <f t="shared" si="2"/>
        <v>-1452471.5104740695</v>
      </c>
      <c r="I23" s="327">
        <f t="shared" si="3"/>
        <v>-33.432565519873862</v>
      </c>
      <c r="J23" s="324">
        <v>3592258.59</v>
      </c>
      <c r="K23" s="325">
        <f t="shared" si="4"/>
        <v>7.776966486977982E-2</v>
      </c>
      <c r="L23" s="326">
        <f t="shared" si="5"/>
        <v>-700248.94</v>
      </c>
      <c r="M23" s="327">
        <f t="shared" si="6"/>
        <v>-19.493277626207856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324">
        <v>0</v>
      </c>
      <c r="E24" s="325">
        <f t="shared" si="1"/>
        <v>0</v>
      </c>
      <c r="F24" s="324">
        <v>0</v>
      </c>
      <c r="G24" s="325">
        <f t="shared" si="0"/>
        <v>0</v>
      </c>
      <c r="H24" s="326">
        <f t="shared" si="2"/>
        <v>0</v>
      </c>
      <c r="I24" s="165" t="e">
        <f t="shared" si="3"/>
        <v>#DIV/0!</v>
      </c>
      <c r="J24" s="324">
        <v>0</v>
      </c>
      <c r="K24" s="325">
        <f t="shared" si="4"/>
        <v>0</v>
      </c>
      <c r="L24" s="326">
        <f t="shared" si="5"/>
        <v>0</v>
      </c>
      <c r="M24" s="327" t="e">
        <f t="shared" si="6"/>
        <v>#DIV/0!</v>
      </c>
      <c r="BX24" s="100"/>
      <c r="BY24" s="100"/>
      <c r="BZ24" s="99"/>
      <c r="CA24" s="116"/>
      <c r="CB24" s="116"/>
      <c r="CC24" s="116"/>
      <c r="CD24" s="115"/>
    </row>
    <row r="25" spans="1:82" ht="13.5" customHeight="1" thickBot="1">
      <c r="B25" s="80">
        <v>74</v>
      </c>
      <c r="C25" s="93" t="s">
        <v>122</v>
      </c>
      <c r="D25" s="324">
        <v>216192.19000000003</v>
      </c>
      <c r="E25" s="325">
        <f t="shared" si="1"/>
        <v>4.5147264336131655E-3</v>
      </c>
      <c r="F25" s="324">
        <v>252096</v>
      </c>
      <c r="G25" s="325">
        <f t="shared" si="0"/>
        <v>5.2645031950883346E-3</v>
      </c>
      <c r="H25" s="326">
        <f t="shared" si="2"/>
        <v>-35903.809999999969</v>
      </c>
      <c r="I25" s="327">
        <f t="shared" si="3"/>
        <v>-14.242118082000502</v>
      </c>
      <c r="J25" s="324">
        <v>370985.47000000003</v>
      </c>
      <c r="K25" s="325">
        <f t="shared" si="4"/>
        <v>8.03155311640796E-3</v>
      </c>
      <c r="L25" s="326">
        <f t="shared" si="5"/>
        <v>-154793.28</v>
      </c>
      <c r="M25" s="327">
        <f t="shared" si="6"/>
        <v>-41.724890195834355</v>
      </c>
      <c r="BY25" s="117"/>
      <c r="BZ25" s="117"/>
      <c r="CA25" s="116"/>
      <c r="CB25" s="116"/>
      <c r="CC25" s="116"/>
      <c r="CD25" s="115"/>
    </row>
    <row r="26" spans="1:82" ht="15" customHeight="1" thickTop="1" thickBot="1">
      <c r="B26" s="102"/>
      <c r="C26" s="124" t="str">
        <f>IF(MasterSheet!$A$1=1,MasterSheet!C104,MasterSheet!B104)</f>
        <v>Izdaci</v>
      </c>
      <c r="D26" s="328">
        <f>+D28+D37+D39+D40+D41+D42+D43+D44</f>
        <v>45276496.273000002</v>
      </c>
      <c r="E26" s="329">
        <f t="shared" si="1"/>
        <v>0.94550591557031294</v>
      </c>
      <c r="F26" s="328">
        <f>+F28+F37+F39+F40+F41+F42+F43+F44+F45</f>
        <v>31219084.378177293</v>
      </c>
      <c r="G26" s="329">
        <f t="shared" si="0"/>
        <v>0.65194596287385231</v>
      </c>
      <c r="H26" s="328">
        <f t="shared" si="2"/>
        <v>14057411.894822709</v>
      </c>
      <c r="I26" s="329">
        <f t="shared" si="3"/>
        <v>45.028264520945072</v>
      </c>
      <c r="J26" s="328">
        <f>+J28+J37+J39+J40+J41+J42+J43+J44</f>
        <v>29891654.908999998</v>
      </c>
      <c r="K26" s="330">
        <f t="shared" si="4"/>
        <v>0.64713158210473898</v>
      </c>
      <c r="L26" s="328">
        <f t="shared" si="5"/>
        <v>15384841.364000004</v>
      </c>
      <c r="M26" s="329">
        <f t="shared" si="6"/>
        <v>51.46868385452899</v>
      </c>
      <c r="BY26" s="81"/>
      <c r="BZ26" s="81"/>
      <c r="CA26" s="116"/>
      <c r="CB26" s="116"/>
      <c r="CC26" s="116"/>
      <c r="CD26" s="115"/>
    </row>
    <row r="27" spans="1:82" ht="13.5" customHeight="1" thickTop="1" thickBot="1">
      <c r="C27" s="124" t="str">
        <f>IF(MasterSheet!$A$1=1,MasterSheet!C105,MasterSheet!B105)</f>
        <v>Tekuća budžetska potrošnja</v>
      </c>
      <c r="D27" s="328">
        <f>+D26-D40</f>
        <v>39644136.063000001</v>
      </c>
      <c r="E27" s="329">
        <f t="shared" si="1"/>
        <v>0.82788572992106257</v>
      </c>
      <c r="F27" s="328">
        <f>+F26-F40</f>
        <v>26215332.154480591</v>
      </c>
      <c r="G27" s="329">
        <f t="shared" si="0"/>
        <v>0.5474529539840578</v>
      </c>
      <c r="H27" s="328">
        <f t="shared" si="2"/>
        <v>13428803.90851941</v>
      </c>
      <c r="I27" s="329">
        <f t="shared" si="3"/>
        <v>51.225000047249921</v>
      </c>
      <c r="J27" s="328">
        <f>+J26-J40</f>
        <v>23829158.879000001</v>
      </c>
      <c r="K27" s="330">
        <f t="shared" si="4"/>
        <v>0.51588315643740124</v>
      </c>
      <c r="L27" s="328">
        <f t="shared" si="5"/>
        <v>15814977.184</v>
      </c>
      <c r="M27" s="329">
        <f t="shared" si="6"/>
        <v>66.36817213862011</v>
      </c>
      <c r="BY27" s="117"/>
      <c r="BZ27" s="117"/>
      <c r="CA27" s="116"/>
      <c r="CB27" s="116"/>
      <c r="CC27" s="116"/>
      <c r="CD27" s="115"/>
    </row>
    <row r="28" spans="1:82" ht="13.5" customHeight="1" thickTop="1">
      <c r="A28" s="80">
        <v>41</v>
      </c>
      <c r="C28" s="93" t="str">
        <f>+'Cental Budget'!C37</f>
        <v>Tekući izdaci</v>
      </c>
      <c r="D28" s="205">
        <f>+SUM(D29:D36)</f>
        <v>16397672.983000001</v>
      </c>
      <c r="E28" s="288">
        <f t="shared" si="1"/>
        <v>0.34243146186776929</v>
      </c>
      <c r="F28" s="205">
        <f>+SUM(F29:F36)</f>
        <v>15340733.804698044</v>
      </c>
      <c r="G28" s="288">
        <f t="shared" si="0"/>
        <v>0.32035947468358278</v>
      </c>
      <c r="H28" s="206">
        <f t="shared" si="2"/>
        <v>1056939.1783019565</v>
      </c>
      <c r="I28" s="181">
        <f t="shared" si="3"/>
        <v>6.8897563295066959</v>
      </c>
      <c r="J28" s="205">
        <f>+SUM(J29:J36)</f>
        <v>14065436.448999999</v>
      </c>
      <c r="K28" s="296">
        <f t="shared" si="4"/>
        <v>0.3045059957350999</v>
      </c>
      <c r="L28" s="206">
        <f t="shared" si="5"/>
        <v>2332236.5340000018</v>
      </c>
      <c r="M28" s="181">
        <f t="shared" si="6"/>
        <v>16.581330714169312</v>
      </c>
      <c r="BY28" s="117"/>
      <c r="BZ28" s="117"/>
      <c r="CA28" s="116"/>
      <c r="CB28" s="116"/>
      <c r="CC28" s="116"/>
      <c r="CD28" s="115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324">
        <v>9580214.9600000009</v>
      </c>
      <c r="E29" s="325">
        <f t="shared" si="1"/>
        <v>0.20006296119951553</v>
      </c>
      <c r="F29" s="324">
        <v>9149418.7562805191</v>
      </c>
      <c r="G29" s="325">
        <f t="shared" si="0"/>
        <v>0.19106667410684791</v>
      </c>
      <c r="H29" s="326">
        <f t="shared" si="2"/>
        <v>430796.20371948183</v>
      </c>
      <c r="I29" s="327">
        <f t="shared" si="3"/>
        <v>4.7084543313067542</v>
      </c>
      <c r="J29" s="324">
        <v>8316188.7599999998</v>
      </c>
      <c r="K29" s="325">
        <f t="shared" si="4"/>
        <v>0.18003915827758654</v>
      </c>
      <c r="L29" s="326">
        <f t="shared" si="5"/>
        <v>1264026.2000000011</v>
      </c>
      <c r="M29" s="327">
        <f t="shared" si="6"/>
        <v>15.19958524847145</v>
      </c>
      <c r="BY29" s="117"/>
      <c r="BZ29" s="117"/>
      <c r="CA29" s="116"/>
      <c r="CB29" s="116"/>
      <c r="CC29" s="116"/>
      <c r="CD29" s="115"/>
    </row>
    <row r="30" spans="1:82" ht="13.5" customHeight="1">
      <c r="B30" s="80">
        <v>412</v>
      </c>
      <c r="C30" s="93" t="str">
        <f>+'Cental Budget'!C39</f>
        <v>Ostala lična primanja</v>
      </c>
      <c r="D30" s="324">
        <v>749288.4</v>
      </c>
      <c r="E30" s="325">
        <f t="shared" si="1"/>
        <v>1.5647337426387672E-2</v>
      </c>
      <c r="F30" s="324">
        <v>590529.00314311846</v>
      </c>
      <c r="G30" s="325">
        <f t="shared" si="0"/>
        <v>1.2331976008501827E-2</v>
      </c>
      <c r="H30" s="326">
        <f t="shared" si="2"/>
        <v>158759.39685688156</v>
      </c>
      <c r="I30" s="327">
        <f t="shared" si="3"/>
        <v>26.884267497765094</v>
      </c>
      <c r="J30" s="324">
        <v>644963.43999999994</v>
      </c>
      <c r="K30" s="325">
        <f t="shared" si="4"/>
        <v>1.3962967677686127E-2</v>
      </c>
      <c r="L30" s="326">
        <f t="shared" si="5"/>
        <v>104324.96000000008</v>
      </c>
      <c r="M30" s="327">
        <f t="shared" si="6"/>
        <v>16.175329255872256</v>
      </c>
      <c r="BY30" s="117"/>
      <c r="BZ30" s="117"/>
      <c r="CA30" s="116"/>
      <c r="CB30" s="116"/>
      <c r="CC30" s="116"/>
      <c r="CD30" s="115"/>
    </row>
    <row r="31" spans="1:82" ht="13.5" customHeight="1">
      <c r="B31" s="80">
        <v>413</v>
      </c>
      <c r="C31" s="93" t="str">
        <f>+'Cental Budget'!C40</f>
        <v>Rashodi za materijal i usluge</v>
      </c>
      <c r="D31" s="324">
        <v>3210000.51</v>
      </c>
      <c r="E31" s="325">
        <f t="shared" si="1"/>
        <v>6.7034216890114018E-2</v>
      </c>
      <c r="F31" s="324">
        <v>2846134.2696097284</v>
      </c>
      <c r="G31" s="325">
        <f t="shared" si="0"/>
        <v>5.9435623556148523E-2</v>
      </c>
      <c r="H31" s="326">
        <f t="shared" si="2"/>
        <v>363866.24039027141</v>
      </c>
      <c r="I31" s="327">
        <f t="shared" si="3"/>
        <v>12.784577462684709</v>
      </c>
      <c r="J31" s="324">
        <v>2809135.4390000002</v>
      </c>
      <c r="K31" s="325">
        <f t="shared" si="4"/>
        <v>6.0815644584442864E-2</v>
      </c>
      <c r="L31" s="326">
        <f t="shared" si="5"/>
        <v>400865.07099999953</v>
      </c>
      <c r="M31" s="327">
        <f t="shared" si="6"/>
        <v>14.270051398543472</v>
      </c>
      <c r="BY31" s="117"/>
      <c r="BZ31" s="117"/>
      <c r="CA31" s="116"/>
      <c r="CB31" s="116"/>
      <c r="CC31" s="116"/>
      <c r="CD31" s="115"/>
    </row>
    <row r="32" spans="1:82" ht="13.5" customHeight="1">
      <c r="B32" s="80">
        <v>415</v>
      </c>
      <c r="C32" s="93" t="str">
        <f>+'Cental Budget'!C41</f>
        <v>Rashodi za tekuće održavanje</v>
      </c>
      <c r="D32" s="324">
        <v>903493.01299999992</v>
      </c>
      <c r="E32" s="325">
        <f t="shared" si="1"/>
        <v>1.8867581610491582E-2</v>
      </c>
      <c r="F32" s="324">
        <v>748168.36945635907</v>
      </c>
      <c r="G32" s="325">
        <f t="shared" si="0"/>
        <v>1.5623947906619032E-2</v>
      </c>
      <c r="H32" s="326">
        <f t="shared" si="2"/>
        <v>155324.64354364085</v>
      </c>
      <c r="I32" s="327">
        <f t="shared" si="3"/>
        <v>20.760653602143634</v>
      </c>
      <c r="J32" s="324">
        <v>647090.96999999986</v>
      </c>
      <c r="K32" s="325">
        <f t="shared" si="4"/>
        <v>1.4009027083198023E-2</v>
      </c>
      <c r="L32" s="326">
        <f t="shared" si="5"/>
        <v>256402.04300000006</v>
      </c>
      <c r="M32" s="327">
        <f t="shared" si="6"/>
        <v>39.623801735326367</v>
      </c>
      <c r="BY32" s="117"/>
      <c r="BZ32" s="117"/>
      <c r="CA32" s="116"/>
      <c r="CB32" s="116"/>
      <c r="CC32" s="116"/>
      <c r="CD32" s="115"/>
    </row>
    <row r="33" spans="1:82" ht="13.5" customHeight="1">
      <c r="B33" s="80">
        <v>416</v>
      </c>
      <c r="C33" s="93" t="str">
        <f>+'Cental Budget'!C42</f>
        <v>Kamate</v>
      </c>
      <c r="D33" s="324">
        <v>689986.35000000009</v>
      </c>
      <c r="E33" s="325">
        <f t="shared" si="1"/>
        <v>1.4408936850018796E-2</v>
      </c>
      <c r="F33" s="324">
        <v>858879.84594048024</v>
      </c>
      <c r="G33" s="325">
        <f t="shared" si="0"/>
        <v>1.7935927952647542E-2</v>
      </c>
      <c r="H33" s="326">
        <f t="shared" si="2"/>
        <v>-168893.49594048015</v>
      </c>
      <c r="I33" s="327">
        <f t="shared" si="3"/>
        <v>-19.664391560561128</v>
      </c>
      <c r="J33" s="324">
        <v>814808.07</v>
      </c>
      <c r="K33" s="325">
        <f t="shared" si="4"/>
        <v>1.7639974670390333E-2</v>
      </c>
      <c r="L33" s="326">
        <f t="shared" si="5"/>
        <v>-124821.71999999986</v>
      </c>
      <c r="M33" s="327">
        <f t="shared" si="6"/>
        <v>-15.319156080523342</v>
      </c>
      <c r="BY33" s="117"/>
      <c r="BZ33" s="117"/>
      <c r="CA33" s="116"/>
      <c r="CB33" s="116"/>
      <c r="CC33" s="116"/>
      <c r="CD33" s="115"/>
    </row>
    <row r="34" spans="1:82" ht="13.5" customHeight="1">
      <c r="B34" s="80">
        <v>417</v>
      </c>
      <c r="C34" s="93" t="str">
        <f>+'Cental Budget'!C43</f>
        <v>Renta</v>
      </c>
      <c r="D34" s="324">
        <v>174871.49</v>
      </c>
      <c r="E34" s="325">
        <f t="shared" si="1"/>
        <v>3.6518291358643442E-3</v>
      </c>
      <c r="F34" s="324">
        <v>77760.204470783996</v>
      </c>
      <c r="G34" s="325">
        <f t="shared" si="0"/>
        <v>1.6238609295155994E-3</v>
      </c>
      <c r="H34" s="326">
        <f t="shared" si="2"/>
        <v>97111.285529215995</v>
      </c>
      <c r="I34" s="327">
        <f t="shared" si="3"/>
        <v>124.8855840723806</v>
      </c>
      <c r="J34" s="324">
        <v>66951.08</v>
      </c>
      <c r="K34" s="325">
        <f t="shared" si="4"/>
        <v>1.4494399341863132E-3</v>
      </c>
      <c r="L34" s="326">
        <f t="shared" si="5"/>
        <v>107920.40999999999</v>
      </c>
      <c r="M34" s="327">
        <f t="shared" si="6"/>
        <v>161.19293370622245</v>
      </c>
      <c r="BY34" s="117"/>
      <c r="BZ34" s="117"/>
      <c r="CA34" s="116"/>
      <c r="CB34" s="116"/>
      <c r="CC34" s="116"/>
      <c r="CD34" s="115"/>
    </row>
    <row r="35" spans="1:82" ht="13.5" customHeight="1">
      <c r="B35" s="80">
        <v>418</v>
      </c>
      <c r="C35" s="93" t="str">
        <f>+'Cental Budget'!C44</f>
        <v>Subvencije</v>
      </c>
      <c r="D35" s="324">
        <v>87548.09</v>
      </c>
      <c r="E35" s="325">
        <f t="shared" si="1"/>
        <v>1.8282606607359143E-3</v>
      </c>
      <c r="F35" s="324">
        <v>213946.50707458198</v>
      </c>
      <c r="G35" s="325">
        <f t="shared" si="0"/>
        <v>4.4678299936219768E-3</v>
      </c>
      <c r="H35" s="326">
        <f t="shared" si="2"/>
        <v>-126398.41707458199</v>
      </c>
      <c r="I35" s="327">
        <f t="shared" si="3"/>
        <v>-59.079448785073815</v>
      </c>
      <c r="J35" s="324">
        <v>127270.02</v>
      </c>
      <c r="K35" s="325">
        <f t="shared" si="4"/>
        <v>2.7552990842371894E-3</v>
      </c>
      <c r="L35" s="326">
        <f t="shared" si="5"/>
        <v>-39721.930000000008</v>
      </c>
      <c r="M35" s="327">
        <f t="shared" si="6"/>
        <v>-31.210751754419462</v>
      </c>
      <c r="BY35" s="117"/>
      <c r="BZ35" s="117"/>
      <c r="CA35" s="116"/>
      <c r="CB35" s="116"/>
      <c r="CC35" s="116"/>
      <c r="CD35" s="115"/>
    </row>
    <row r="36" spans="1:82" ht="13.5" customHeight="1">
      <c r="B36" s="80">
        <v>419</v>
      </c>
      <c r="C36" s="93" t="str">
        <f>+'Cental Budget'!C45</f>
        <v>Ostali izdaci</v>
      </c>
      <c r="D36" s="324">
        <v>1002270.1700000002</v>
      </c>
      <c r="E36" s="325">
        <f t="shared" si="1"/>
        <v>2.0930338094641444E-2</v>
      </c>
      <c r="F36" s="324">
        <v>855896.848722475</v>
      </c>
      <c r="G36" s="325">
        <f t="shared" si="0"/>
        <v>1.7873634229680385E-2</v>
      </c>
      <c r="H36" s="326">
        <f t="shared" si="2"/>
        <v>146373.32127752516</v>
      </c>
      <c r="I36" s="327">
        <f t="shared" si="3"/>
        <v>17.101747891232961</v>
      </c>
      <c r="J36" s="324">
        <v>639028.67000000004</v>
      </c>
      <c r="K36" s="325">
        <f t="shared" si="4"/>
        <v>1.383448442337252E-2</v>
      </c>
      <c r="L36" s="326">
        <f t="shared" si="5"/>
        <v>363241.50000000012</v>
      </c>
      <c r="M36" s="327">
        <f t="shared" si="6"/>
        <v>56.842754801595987</v>
      </c>
      <c r="BY36" s="117"/>
      <c r="BZ36" s="117"/>
      <c r="CA36" s="116"/>
      <c r="CB36" s="116"/>
      <c r="CC36" s="116"/>
      <c r="CD36" s="115"/>
    </row>
    <row r="37" spans="1:82" ht="13.5" customHeight="1">
      <c r="A37" s="80">
        <v>42</v>
      </c>
      <c r="B37" s="80" t="s">
        <v>427</v>
      </c>
      <c r="C37" s="93" t="str">
        <f>+'Cental Budget'!C47</f>
        <v>Transferi za socijalnu zaštitu</v>
      </c>
      <c r="D37" s="324">
        <f>+D38</f>
        <v>40003.149999999994</v>
      </c>
      <c r="E37" s="325">
        <f t="shared" si="1"/>
        <v>8.3538299294156943E-4</v>
      </c>
      <c r="F37" s="324">
        <f>+F38</f>
        <v>57145.5004034304</v>
      </c>
      <c r="G37" s="325">
        <f t="shared" si="0"/>
        <v>1.1933655014707931E-3</v>
      </c>
      <c r="H37" s="326">
        <f t="shared" si="2"/>
        <v>-17142.350403430406</v>
      </c>
      <c r="I37" s="327">
        <f t="shared" si="3"/>
        <v>-29.997725599409335</v>
      </c>
      <c r="J37" s="324">
        <f>+J38</f>
        <v>76639.5</v>
      </c>
      <c r="K37" s="325">
        <f t="shared" si="4"/>
        <v>1.6591868545820614E-3</v>
      </c>
      <c r="L37" s="326">
        <f t="shared" si="5"/>
        <v>-36636.350000000006</v>
      </c>
      <c r="M37" s="327">
        <f t="shared" si="6"/>
        <v>-47.803482538377736</v>
      </c>
      <c r="BY37" s="117"/>
      <c r="BZ37" s="117"/>
      <c r="CA37" s="116"/>
      <c r="CB37" s="116"/>
      <c r="CC37" s="116"/>
      <c r="CD37" s="115"/>
    </row>
    <row r="38" spans="1:82" ht="13.5" customHeight="1">
      <c r="B38" s="80">
        <v>421</v>
      </c>
      <c r="C38" s="97" t="s">
        <v>88</v>
      </c>
      <c r="D38" s="321">
        <v>40003.149999999994</v>
      </c>
      <c r="E38" s="322">
        <f>+D38/$D$11*100</f>
        <v>8.3538299294156943E-4</v>
      </c>
      <c r="F38" s="321">
        <v>57145.5004034304</v>
      </c>
      <c r="G38" s="322">
        <f t="shared" si="0"/>
        <v>1.1933655014707931E-3</v>
      </c>
      <c r="H38" s="323">
        <f>+D38-F38</f>
        <v>-17142.350403430406</v>
      </c>
      <c r="I38" s="165">
        <f>+D38/F38*100-100</f>
        <v>-29.997725599409335</v>
      </c>
      <c r="J38" s="321">
        <v>76639.5</v>
      </c>
      <c r="K38" s="322">
        <f t="shared" si="4"/>
        <v>1.6591868545820614E-3</v>
      </c>
      <c r="L38" s="323">
        <f>+D38-J38</f>
        <v>-36636.350000000006</v>
      </c>
      <c r="M38" s="165">
        <f>+D38/J38*100-100</f>
        <v>-47.803482538377736</v>
      </c>
      <c r="BY38" s="117"/>
      <c r="BZ38" s="117"/>
      <c r="CA38" s="116"/>
      <c r="CB38" s="116"/>
      <c r="CC38" s="116"/>
      <c r="CD38" s="115"/>
    </row>
    <row r="39" spans="1:82" ht="13.5" customHeight="1" thickBot="1">
      <c r="A39" s="80">
        <v>43</v>
      </c>
      <c r="C39" s="93" t="str">
        <f>+'Cental Budget'!C53</f>
        <v xml:space="preserve">Transferi institucijama, pojedincima, nevladinom i javnom sektoru </v>
      </c>
      <c r="D39" s="205">
        <v>9721577.4699999988</v>
      </c>
      <c r="E39" s="288">
        <f t="shared" si="1"/>
        <v>0.20301502464185769</v>
      </c>
      <c r="F39" s="205">
        <v>9906720.9850522559</v>
      </c>
      <c r="G39" s="288">
        <f t="shared" si="0"/>
        <v>0.20688136376085403</v>
      </c>
      <c r="H39" s="206">
        <f t="shared" si="2"/>
        <v>-185143.51505225711</v>
      </c>
      <c r="I39" s="181">
        <f t="shared" si="3"/>
        <v>-1.8688677649407026</v>
      </c>
      <c r="J39" s="194">
        <v>8972499.9699999988</v>
      </c>
      <c r="K39" s="296">
        <f t="shared" si="4"/>
        <v>0.19424779654045157</v>
      </c>
      <c r="L39" s="206">
        <f t="shared" si="5"/>
        <v>749077.5</v>
      </c>
      <c r="M39" s="181">
        <f t="shared" si="6"/>
        <v>8.3485929507336749</v>
      </c>
      <c r="BY39" s="117"/>
      <c r="BZ39" s="117"/>
      <c r="CA39" s="116"/>
      <c r="CB39" s="116"/>
      <c r="CC39" s="116"/>
      <c r="CD39" s="115"/>
    </row>
    <row r="40" spans="1:82" ht="13.5" customHeight="1" thickTop="1" thickBot="1">
      <c r="B40" s="80">
        <v>44</v>
      </c>
      <c r="C40" s="124" t="str">
        <f>+'Cental Budget'!C56</f>
        <v>Kapitalni budžet</v>
      </c>
      <c r="D40" s="328">
        <v>5632360.21</v>
      </c>
      <c r="E40" s="329">
        <f t="shared" si="1"/>
        <v>0.11762018564925029</v>
      </c>
      <c r="F40" s="331">
        <v>5003752.2236967003</v>
      </c>
      <c r="G40" s="329">
        <f t="shared" si="0"/>
        <v>0.10449300888979451</v>
      </c>
      <c r="H40" s="328">
        <f t="shared" si="2"/>
        <v>628607.98630329967</v>
      </c>
      <c r="I40" s="329">
        <f t="shared" si="3"/>
        <v>12.562732089857434</v>
      </c>
      <c r="J40" s="331">
        <v>6062496.0299999993</v>
      </c>
      <c r="K40" s="330">
        <f t="shared" si="4"/>
        <v>0.13124842566733777</v>
      </c>
      <c r="L40" s="328">
        <f t="shared" si="5"/>
        <v>-430135.81999999937</v>
      </c>
      <c r="M40" s="329">
        <f t="shared" si="6"/>
        <v>-7.095028481198014</v>
      </c>
      <c r="BY40" s="117"/>
      <c r="BZ40" s="117"/>
      <c r="CA40" s="116"/>
      <c r="CB40" s="116"/>
      <c r="CC40" s="116"/>
      <c r="CD40" s="115"/>
    </row>
    <row r="41" spans="1:82" ht="13.5" customHeight="1" thickTop="1">
      <c r="B41" s="80">
        <v>451</v>
      </c>
      <c r="C41" s="93" t="str">
        <f>+'Cental Budget'!C57</f>
        <v>Pozajmice i krediti</v>
      </c>
      <c r="D41" s="324">
        <v>218381.27000000002</v>
      </c>
      <c r="E41" s="325">
        <f t="shared" si="1"/>
        <v>4.560440838658481E-3</v>
      </c>
      <c r="F41" s="324">
        <v>325890</v>
      </c>
      <c r="G41" s="325">
        <f t="shared" si="0"/>
        <v>6.8055381531136449E-3</v>
      </c>
      <c r="H41" s="326">
        <f t="shared" si="2"/>
        <v>-107508.72999999998</v>
      </c>
      <c r="I41" s="327">
        <f t="shared" si="3"/>
        <v>-32.989269385375437</v>
      </c>
      <c r="J41" s="324">
        <v>148566.22</v>
      </c>
      <c r="K41" s="325">
        <f t="shared" si="4"/>
        <v>3.2163456084518633E-3</v>
      </c>
      <c r="L41" s="326">
        <f t="shared" si="5"/>
        <v>69815.050000000017</v>
      </c>
      <c r="M41" s="327">
        <f t="shared" si="6"/>
        <v>46.992546488697116</v>
      </c>
      <c r="BY41" s="117"/>
      <c r="BZ41" s="117"/>
      <c r="CA41" s="116"/>
      <c r="CB41" s="116"/>
      <c r="CC41" s="116"/>
      <c r="CD41" s="115"/>
    </row>
    <row r="42" spans="1:82" ht="13.5" customHeight="1" thickBot="1">
      <c r="B42" s="80">
        <v>47</v>
      </c>
      <c r="C42" s="93" t="str">
        <f>+'Cental Budget'!C58</f>
        <v>Rezerve</v>
      </c>
      <c r="D42" s="332">
        <v>353052.41000000003</v>
      </c>
      <c r="E42" s="333">
        <f t="shared" si="1"/>
        <v>7.3727688677275209E-3</v>
      </c>
      <c r="F42" s="332">
        <v>584841.86432686076</v>
      </c>
      <c r="G42" s="333">
        <f t="shared" si="0"/>
        <v>1.2213211885036561E-2</v>
      </c>
      <c r="H42" s="334">
        <f t="shared" si="2"/>
        <v>-231789.45432686072</v>
      </c>
      <c r="I42" s="335">
        <f t="shared" si="3"/>
        <v>-39.632842391275283</v>
      </c>
      <c r="J42" s="332">
        <v>566016.74</v>
      </c>
      <c r="K42" s="333">
        <f t="shared" si="4"/>
        <v>1.2253831698815786E-2</v>
      </c>
      <c r="L42" s="334">
        <f t="shared" si="5"/>
        <v>-212964.32999999996</v>
      </c>
      <c r="M42" s="335">
        <f t="shared" si="6"/>
        <v>-37.625093915066884</v>
      </c>
      <c r="BY42" s="117"/>
      <c r="BZ42" s="117"/>
      <c r="CA42" s="116"/>
      <c r="CB42" s="116"/>
      <c r="CC42" s="116"/>
      <c r="CD42" s="115"/>
    </row>
    <row r="43" spans="1:82" ht="13.5" customHeight="1" thickTop="1" thickBot="1">
      <c r="B43" s="80">
        <v>462</v>
      </c>
      <c r="C43" s="154" t="s">
        <v>112</v>
      </c>
      <c r="D43" s="336">
        <v>0</v>
      </c>
      <c r="E43" s="337">
        <f t="shared" si="1"/>
        <v>0</v>
      </c>
      <c r="F43" s="336">
        <v>0</v>
      </c>
      <c r="G43" s="337">
        <f t="shared" si="0"/>
        <v>0</v>
      </c>
      <c r="H43" s="338">
        <f t="shared" si="2"/>
        <v>0</v>
      </c>
      <c r="I43" s="335" t="e">
        <f t="shared" si="3"/>
        <v>#DIV/0!</v>
      </c>
      <c r="J43" s="336">
        <v>0</v>
      </c>
      <c r="K43" s="337">
        <f t="shared" si="4"/>
        <v>0</v>
      </c>
      <c r="L43" s="338">
        <f t="shared" si="5"/>
        <v>0</v>
      </c>
      <c r="M43" s="339" t="e">
        <f t="shared" si="6"/>
        <v>#DIV/0!</v>
      </c>
      <c r="BY43" s="117"/>
      <c r="BZ43" s="117"/>
      <c r="CA43" s="116"/>
      <c r="CB43" s="116"/>
      <c r="CC43" s="116"/>
      <c r="CD43" s="115"/>
    </row>
    <row r="44" spans="1:82" ht="13.5" customHeight="1" thickTop="1" thickBot="1">
      <c r="B44" s="80" t="s">
        <v>448</v>
      </c>
      <c r="C44" s="154" t="s">
        <v>446</v>
      </c>
      <c r="D44" s="324">
        <v>12913448.780000003</v>
      </c>
      <c r="E44" s="337">
        <f>+D44/$D$11*100</f>
        <v>0.269670650712108</v>
      </c>
      <c r="F44" s="340">
        <v>0</v>
      </c>
      <c r="G44" s="337">
        <f t="shared" si="0"/>
        <v>0</v>
      </c>
      <c r="H44" s="338">
        <f>+D44-F44</f>
        <v>12913448.780000003</v>
      </c>
      <c r="I44" s="335" t="e">
        <f>+D44/F44*100-100</f>
        <v>#DIV/0!</v>
      </c>
      <c r="J44" s="324">
        <v>0</v>
      </c>
      <c r="K44" s="337">
        <f t="shared" si="4"/>
        <v>0</v>
      </c>
      <c r="L44" s="338">
        <f>+D44-J44</f>
        <v>12913448.780000003</v>
      </c>
      <c r="M44" s="339" t="e">
        <f>+D44/J44*100-100</f>
        <v>#DIV/0!</v>
      </c>
      <c r="BY44" s="117"/>
      <c r="BZ44" s="117"/>
      <c r="CA44" s="116"/>
      <c r="CB44" s="116"/>
      <c r="CC44" s="116"/>
      <c r="CD44" s="115"/>
    </row>
    <row r="45" spans="1:82" ht="13.5" customHeight="1" thickTop="1" thickBot="1">
      <c r="B45" s="80">
        <v>990</v>
      </c>
      <c r="C45" s="155" t="s">
        <v>151</v>
      </c>
      <c r="D45" s="341">
        <v>0</v>
      </c>
      <c r="E45" s="342">
        <f t="shared" si="1"/>
        <v>0</v>
      </c>
      <c r="F45" s="341">
        <v>0</v>
      </c>
      <c r="G45" s="342">
        <f t="shared" si="0"/>
        <v>0</v>
      </c>
      <c r="H45" s="343">
        <f t="shared" si="2"/>
        <v>0</v>
      </c>
      <c r="I45" s="335" t="e">
        <f t="shared" si="3"/>
        <v>#DIV/0!</v>
      </c>
      <c r="J45" s="341">
        <v>0</v>
      </c>
      <c r="K45" s="342">
        <f t="shared" si="4"/>
        <v>0</v>
      </c>
      <c r="L45" s="343">
        <f t="shared" si="5"/>
        <v>0</v>
      </c>
      <c r="M45" s="339" t="e">
        <f t="shared" si="6"/>
        <v>#DIV/0!</v>
      </c>
      <c r="BY45" s="117"/>
      <c r="BZ45" s="117"/>
      <c r="CA45" s="116"/>
      <c r="CB45" s="116"/>
      <c r="CC45" s="116"/>
      <c r="CD45" s="115"/>
    </row>
    <row r="46" spans="1:82" ht="13.5" customHeight="1" thickTop="1" thickBot="1">
      <c r="C46" s="124" t="str">
        <f>+'Cental Budget'!C62</f>
        <v>Suficit / deficit</v>
      </c>
      <c r="D46" s="328">
        <f>+D16-D26</f>
        <v>1147159.8469999954</v>
      </c>
      <c r="E46" s="329">
        <f t="shared" si="1"/>
        <v>2.3956059119575563E-2</v>
      </c>
      <c r="F46" s="328">
        <f>+F16-F26</f>
        <v>7672532.4528208971</v>
      </c>
      <c r="G46" s="329">
        <f t="shared" si="0"/>
        <v>0.16022496038134104</v>
      </c>
      <c r="H46" s="328">
        <f>+D46-F46</f>
        <v>-6525372.6058209017</v>
      </c>
      <c r="I46" s="329">
        <f t="shared" si="3"/>
        <v>-85.048484916108393</v>
      </c>
      <c r="J46" s="328">
        <f>+J16-J26</f>
        <v>8465246.4609999917</v>
      </c>
      <c r="K46" s="330">
        <f t="shared" si="4"/>
        <v>0.18326614407568556</v>
      </c>
      <c r="L46" s="328">
        <f t="shared" si="5"/>
        <v>-7318086.6139999963</v>
      </c>
      <c r="M46" s="329">
        <f t="shared" si="6"/>
        <v>-86.448594824910955</v>
      </c>
      <c r="BY46" s="117"/>
      <c r="BZ46" s="117"/>
      <c r="CA46" s="116"/>
      <c r="CB46" s="116"/>
      <c r="CC46" s="116"/>
      <c r="CD46" s="115"/>
    </row>
    <row r="47" spans="1:82" ht="13.5" customHeight="1" thickTop="1" thickBot="1">
      <c r="C47" s="124" t="s">
        <v>469</v>
      </c>
      <c r="D47" s="328">
        <f>D46-D45</f>
        <v>1147159.8469999954</v>
      </c>
      <c r="E47" s="329">
        <f t="shared" si="1"/>
        <v>2.3956059119575563E-2</v>
      </c>
      <c r="F47" s="328">
        <f>F46-F45</f>
        <v>7672532.4528208971</v>
      </c>
      <c r="G47" s="329">
        <f t="shared" si="0"/>
        <v>0.16022496038134104</v>
      </c>
      <c r="H47" s="328">
        <f>+D47-F47</f>
        <v>-6525372.6058209017</v>
      </c>
      <c r="I47" s="329">
        <f t="shared" si="3"/>
        <v>-85.048484916108393</v>
      </c>
      <c r="J47" s="328">
        <f>J46-J45</f>
        <v>8465246.4609999917</v>
      </c>
      <c r="K47" s="330">
        <f t="shared" si="4"/>
        <v>0.18326614407568556</v>
      </c>
      <c r="L47" s="328">
        <f t="shared" ref="L47" si="7">+D47-J47</f>
        <v>-7318086.6139999963</v>
      </c>
      <c r="M47" s="329">
        <f t="shared" ref="M47" si="8">+D47/J47*100-100</f>
        <v>-86.448594824910955</v>
      </c>
      <c r="BY47" s="117"/>
      <c r="BZ47" s="117"/>
      <c r="CA47" s="116"/>
      <c r="CB47" s="116"/>
      <c r="CC47" s="116"/>
      <c r="CD47" s="115"/>
    </row>
    <row r="48" spans="1:82" ht="13.5" customHeight="1" thickTop="1" thickBot="1">
      <c r="C48" s="124" t="str">
        <f>+'Cental Budget'!C64</f>
        <v>Primarni suficit/deficit</v>
      </c>
      <c r="D48" s="328">
        <f>+D46+D33</f>
        <v>1837146.1969999955</v>
      </c>
      <c r="E48" s="329">
        <f t="shared" si="1"/>
        <v>3.8364995969594362E-2</v>
      </c>
      <c r="F48" s="328">
        <f>+F46+F33</f>
        <v>8531412.2987613771</v>
      </c>
      <c r="G48" s="329">
        <f t="shared" si="0"/>
        <v>0.17816088833398858</v>
      </c>
      <c r="H48" s="328">
        <f t="shared" si="2"/>
        <v>-6694266.1017613821</v>
      </c>
      <c r="I48" s="329">
        <f t="shared" si="3"/>
        <v>-78.466095264593889</v>
      </c>
      <c r="J48" s="328">
        <f>+J47+J33</f>
        <v>9280054.530999992</v>
      </c>
      <c r="K48" s="330">
        <f t="shared" si="4"/>
        <v>0.20090611874607592</v>
      </c>
      <c r="L48" s="328">
        <f t="shared" si="5"/>
        <v>-7442908.333999997</v>
      </c>
      <c r="M48" s="329">
        <f t="shared" si="6"/>
        <v>-80.203282309785848</v>
      </c>
      <c r="BY48" s="117"/>
      <c r="BZ48" s="117"/>
      <c r="CA48" s="116"/>
      <c r="CB48" s="116"/>
      <c r="CC48" s="116"/>
      <c r="CD48" s="115"/>
    </row>
    <row r="49" spans="2:82" ht="13.5" customHeight="1" thickTop="1" thickBot="1">
      <c r="C49" s="124" t="str">
        <f>+'Cental Budget'!C65</f>
        <v>Otplata dugova</v>
      </c>
      <c r="D49" s="328">
        <f>+SUM(D50:D51)</f>
        <v>3162983.2800000003</v>
      </c>
      <c r="E49" s="329">
        <f t="shared" si="1"/>
        <v>6.6052359353464485E-2</v>
      </c>
      <c r="F49" s="328">
        <f>+SUM(F50:F52)</f>
        <v>18528300</v>
      </c>
      <c r="G49" s="329">
        <f t="shared" si="0"/>
        <v>0.3869251973436913</v>
      </c>
      <c r="H49" s="328">
        <f t="shared" si="2"/>
        <v>-15365316.719999999</v>
      </c>
      <c r="I49" s="329">
        <f t="shared" si="3"/>
        <v>-82.928907239196263</v>
      </c>
      <c r="J49" s="328">
        <f>+SUM(J50:J51)</f>
        <v>2689826.4200000004</v>
      </c>
      <c r="K49" s="330">
        <f t="shared" si="4"/>
        <v>5.8232695113766761E-2</v>
      </c>
      <c r="L49" s="328">
        <f t="shared" si="5"/>
        <v>473156.85999999987</v>
      </c>
      <c r="M49" s="329">
        <f t="shared" si="6"/>
        <v>17.590609434195372</v>
      </c>
      <c r="BY49" s="117"/>
      <c r="BZ49" s="117"/>
      <c r="CA49" s="116"/>
      <c r="CB49" s="116"/>
      <c r="CC49" s="116"/>
      <c r="CD49" s="115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344">
        <v>2222361.23</v>
      </c>
      <c r="E50" s="345">
        <f t="shared" si="1"/>
        <v>4.6409414651463893E-2</v>
      </c>
      <c r="F50" s="344">
        <v>945100</v>
      </c>
      <c r="G50" s="345">
        <f t="shared" si="0"/>
        <v>1.9736457419705131E-2</v>
      </c>
      <c r="H50" s="346">
        <f t="shared" si="2"/>
        <v>1277261.23</v>
      </c>
      <c r="I50" s="347">
        <f t="shared" si="3"/>
        <v>135.14561739498467</v>
      </c>
      <c r="J50" s="344">
        <v>1962602.6200000003</v>
      </c>
      <c r="K50" s="345">
        <f t="shared" si="4"/>
        <v>4.2488853239808631E-2</v>
      </c>
      <c r="L50" s="346">
        <f t="shared" si="5"/>
        <v>259758.60999999964</v>
      </c>
      <c r="M50" s="347">
        <f t="shared" si="6"/>
        <v>13.235415430149573</v>
      </c>
      <c r="BY50" s="117"/>
      <c r="BZ50" s="117"/>
      <c r="CA50" s="116"/>
      <c r="CB50" s="116"/>
      <c r="CC50" s="116"/>
      <c r="CD50" s="115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340">
        <v>940622.05</v>
      </c>
      <c r="E51" s="322">
        <f t="shared" si="1"/>
        <v>1.9642944702000585E-2</v>
      </c>
      <c r="F51" s="340">
        <v>727200</v>
      </c>
      <c r="G51" s="322">
        <f t="shared" si="0"/>
        <v>1.5186066908908656E-2</v>
      </c>
      <c r="H51" s="323">
        <f t="shared" si="2"/>
        <v>213422.05000000005</v>
      </c>
      <c r="I51" s="165">
        <f t="shared" si="3"/>
        <v>29.348466721672168</v>
      </c>
      <c r="J51" s="340">
        <v>727223.8</v>
      </c>
      <c r="K51" s="322">
        <f t="shared" si="4"/>
        <v>1.5743841873958133E-2</v>
      </c>
      <c r="L51" s="323">
        <f t="shared" si="5"/>
        <v>213398.25</v>
      </c>
      <c r="M51" s="165">
        <f t="shared" si="6"/>
        <v>29.344233508309259</v>
      </c>
      <c r="BY51" s="117"/>
      <c r="BZ51" s="117"/>
      <c r="CA51" s="116"/>
      <c r="CB51" s="116"/>
      <c r="CC51" s="116"/>
      <c r="CD51" s="115"/>
    </row>
    <row r="52" spans="2:82" ht="13.5" customHeight="1" thickBot="1">
      <c r="B52" s="80" t="s">
        <v>448</v>
      </c>
      <c r="C52" s="97" t="s">
        <v>446</v>
      </c>
      <c r="D52" s="340">
        <v>0</v>
      </c>
      <c r="E52" s="322">
        <f>+D52/$D$11*100</f>
        <v>0</v>
      </c>
      <c r="F52" s="340">
        <v>16856000</v>
      </c>
      <c r="G52" s="322">
        <f t="shared" si="0"/>
        <v>0.35200267301507748</v>
      </c>
      <c r="H52" s="323">
        <f>+D52-F52</f>
        <v>-16856000</v>
      </c>
      <c r="I52" s="165">
        <f>+D52/F52*100-100</f>
        <v>-100</v>
      </c>
      <c r="J52" s="340">
        <v>12642662.110200001</v>
      </c>
      <c r="K52" s="322">
        <f t="shared" si="4"/>
        <v>0.27370401398973826</v>
      </c>
      <c r="L52" s="323">
        <f>+D52-J52</f>
        <v>-12642662.110200001</v>
      </c>
      <c r="M52" s="165">
        <f>+D52/J52*100-100</f>
        <v>-100</v>
      </c>
      <c r="BY52" s="117"/>
      <c r="BZ52" s="117"/>
      <c r="CA52" s="116"/>
      <c r="CB52" s="116"/>
      <c r="CC52" s="116"/>
      <c r="CD52" s="115"/>
    </row>
    <row r="53" spans="2:82" ht="13.5" customHeight="1" thickTop="1" thickBot="1">
      <c r="C53" s="124" t="s">
        <v>466</v>
      </c>
      <c r="D53" s="328">
        <v>0</v>
      </c>
      <c r="E53" s="329">
        <f t="shared" si="1"/>
        <v>0</v>
      </c>
      <c r="F53" s="328">
        <v>0</v>
      </c>
      <c r="G53" s="329">
        <f t="shared" si="0"/>
        <v>0</v>
      </c>
      <c r="H53" s="328">
        <f t="shared" si="2"/>
        <v>0</v>
      </c>
      <c r="I53" s="329" t="e">
        <f t="shared" si="3"/>
        <v>#DIV/0!</v>
      </c>
      <c r="J53" s="328">
        <v>0</v>
      </c>
      <c r="K53" s="330">
        <f t="shared" si="4"/>
        <v>0</v>
      </c>
      <c r="L53" s="328">
        <f t="shared" si="5"/>
        <v>0</v>
      </c>
      <c r="M53" s="329" t="e">
        <f t="shared" si="6"/>
        <v>#DIV/0!</v>
      </c>
      <c r="BY53" s="117"/>
      <c r="BZ53" s="117"/>
      <c r="CA53" s="116"/>
      <c r="CB53" s="116"/>
      <c r="CC53" s="116"/>
      <c r="CD53" s="115"/>
    </row>
    <row r="54" spans="2:82" ht="13.5" customHeight="1" thickTop="1" thickBot="1">
      <c r="C54" s="124" t="str">
        <f>+'Cental Budget'!C70</f>
        <v>Nedostajuća sredstva</v>
      </c>
      <c r="D54" s="328">
        <f>+D46-D49-D53</f>
        <v>-2015823.4330000049</v>
      </c>
      <c r="E54" s="329">
        <f t="shared" si="1"/>
        <v>-4.2096300233888925E-2</v>
      </c>
      <c r="F54" s="328">
        <f>+F46-F49-F53</f>
        <v>-10855767.547179103</v>
      </c>
      <c r="G54" s="329">
        <f t="shared" si="0"/>
        <v>-0.2267002369623502</v>
      </c>
      <c r="H54" s="328">
        <f t="shared" si="2"/>
        <v>8839944.1141790971</v>
      </c>
      <c r="I54" s="329">
        <f t="shared" si="3"/>
        <v>-81.430853007498115</v>
      </c>
      <c r="J54" s="328">
        <f>+J47-J49-J53</f>
        <v>5775420.0409999918</v>
      </c>
      <c r="K54" s="330">
        <f t="shared" si="4"/>
        <v>0.12503344896191881</v>
      </c>
      <c r="L54" s="328">
        <f t="shared" si="5"/>
        <v>-7791243.4739999967</v>
      </c>
      <c r="M54" s="329">
        <f t="shared" si="6"/>
        <v>-134.90349478807732</v>
      </c>
      <c r="BY54" s="117"/>
      <c r="BZ54" s="117"/>
      <c r="CA54" s="116"/>
      <c r="CB54" s="116"/>
      <c r="CC54" s="116"/>
      <c r="CD54" s="115"/>
    </row>
    <row r="55" spans="2:82" ht="13.5" customHeight="1" thickTop="1" thickBot="1">
      <c r="C55" s="124" t="str">
        <f>+'Cental Budget'!C71</f>
        <v>Finansiranje</v>
      </c>
      <c r="D55" s="328">
        <f>+SUM(D56:D60)</f>
        <v>2015823.4330000049</v>
      </c>
      <c r="E55" s="329">
        <f t="shared" si="1"/>
        <v>4.2096300233888925E-2</v>
      </c>
      <c r="F55" s="328">
        <f>+SUM(F56:F60)</f>
        <v>10855767.547179103</v>
      </c>
      <c r="G55" s="329">
        <f t="shared" si="0"/>
        <v>0.2267002369623502</v>
      </c>
      <c r="H55" s="328">
        <f t="shared" si="2"/>
        <v>-8839944.1141790971</v>
      </c>
      <c r="I55" s="329">
        <f t="shared" si="3"/>
        <v>-81.430853007498115</v>
      </c>
      <c r="J55" s="328">
        <f>+SUM(J56:J60)+J45</f>
        <v>-5775420.0409999937</v>
      </c>
      <c r="K55" s="330">
        <f t="shared" si="4"/>
        <v>-0.12503344896191887</v>
      </c>
      <c r="L55" s="328">
        <f t="shared" si="5"/>
        <v>7791243.4739999985</v>
      </c>
      <c r="M55" s="329">
        <f t="shared" si="6"/>
        <v>-134.9034947880773</v>
      </c>
      <c r="BY55" s="117"/>
      <c r="BZ55" s="117"/>
      <c r="CA55" s="116"/>
      <c r="CB55" s="116"/>
      <c r="CC55" s="116"/>
      <c r="CD55" s="115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344">
        <v>1111158.47</v>
      </c>
      <c r="E56" s="345">
        <f t="shared" si="1"/>
        <v>2.3204244873240611E-2</v>
      </c>
      <c r="F56" s="344">
        <v>1840000</v>
      </c>
      <c r="G56" s="345">
        <f t="shared" si="0"/>
        <v>3.8424591738712779E-2</v>
      </c>
      <c r="H56" s="346">
        <f t="shared" si="2"/>
        <v>-728841.53</v>
      </c>
      <c r="I56" s="347">
        <f t="shared" si="3"/>
        <v>-39.610952717391299</v>
      </c>
      <c r="J56" s="344">
        <v>2299603.1700000004</v>
      </c>
      <c r="K56" s="345">
        <f t="shared" si="4"/>
        <v>4.9784658699746714E-2</v>
      </c>
      <c r="L56" s="346">
        <f t="shared" si="5"/>
        <v>-1188444.7000000004</v>
      </c>
      <c r="M56" s="347">
        <f t="shared" si="6"/>
        <v>-51.680425366607935</v>
      </c>
      <c r="BY56" s="117"/>
      <c r="BZ56" s="117"/>
      <c r="CA56" s="116"/>
      <c r="CB56" s="116"/>
      <c r="CC56" s="116"/>
      <c r="CD56" s="115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340">
        <v>0</v>
      </c>
      <c r="E57" s="322">
        <f t="shared" si="1"/>
        <v>0</v>
      </c>
      <c r="F57" s="340">
        <v>466799.99999999994</v>
      </c>
      <c r="G57" s="322">
        <f t="shared" si="0"/>
        <v>9.7481518606690881E-3</v>
      </c>
      <c r="H57" s="323">
        <f t="shared" si="2"/>
        <v>-466799.99999999994</v>
      </c>
      <c r="I57" s="165">
        <f t="shared" si="3"/>
        <v>-100</v>
      </c>
      <c r="J57" s="340">
        <v>311250</v>
      </c>
      <c r="K57" s="322">
        <f t="shared" si="4"/>
        <v>6.7383256478534782E-3</v>
      </c>
      <c r="L57" s="323">
        <f t="shared" si="5"/>
        <v>-311250</v>
      </c>
      <c r="M57" s="165">
        <f t="shared" si="6"/>
        <v>-100</v>
      </c>
      <c r="BY57" s="117"/>
      <c r="BZ57" s="117"/>
      <c r="CA57" s="116"/>
      <c r="CB57" s="116"/>
      <c r="CC57" s="116"/>
      <c r="CD57" s="115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340">
        <v>733545.2300000001</v>
      </c>
      <c r="E58" s="322">
        <f t="shared" si="1"/>
        <v>1.5318573904690309E-2</v>
      </c>
      <c r="F58" s="340">
        <v>776500</v>
      </c>
      <c r="G58" s="322">
        <f t="shared" si="0"/>
        <v>1.6215595372342646E-2</v>
      </c>
      <c r="H58" s="323">
        <f t="shared" si="2"/>
        <v>-42954.769999999902</v>
      </c>
      <c r="I58" s="165">
        <f t="shared" si="3"/>
        <v>-5.5318441725692082</v>
      </c>
      <c r="J58" s="340">
        <v>776655.85</v>
      </c>
      <c r="K58" s="322">
        <f t="shared" si="4"/>
        <v>1.6814008140113874E-2</v>
      </c>
      <c r="L58" s="323">
        <f t="shared" si="5"/>
        <v>-43110.619999999879</v>
      </c>
      <c r="M58" s="165">
        <f t="shared" si="6"/>
        <v>-5.5508009113688956</v>
      </c>
      <c r="BY58" s="117"/>
      <c r="BZ58" s="117"/>
      <c r="CA58" s="116"/>
      <c r="CB58" s="116"/>
      <c r="CC58" s="116"/>
      <c r="CD58" s="115"/>
    </row>
    <row r="59" spans="2:82" ht="13.5" customHeight="1" thickTop="1" thickBot="1">
      <c r="C59" s="119" t="str">
        <f>+'Cental Budget'!C75</f>
        <v>Povećanje / smanjenje depozita</v>
      </c>
      <c r="D59" s="217">
        <f>-D54-SUM(D56:D58)-D60</f>
        <v>-1351440.5869999952</v>
      </c>
      <c r="E59" s="304">
        <f t="shared" si="1"/>
        <v>-2.8222039573152804E-2</v>
      </c>
      <c r="F59" s="217">
        <f>-F54-SUM(F56:F58)-F60</f>
        <v>5804467.5471791029</v>
      </c>
      <c r="G59" s="304">
        <f t="shared" si="0"/>
        <v>0.12121429117443727</v>
      </c>
      <c r="H59" s="218">
        <f t="shared" si="2"/>
        <v>-7155908.1341790985</v>
      </c>
      <c r="I59" s="185">
        <f t="shared" si="3"/>
        <v>-123.28276583537414</v>
      </c>
      <c r="J59" s="217">
        <f>-J54-SUM(J56:J58)-J60-J45</f>
        <v>-10343836.280999994</v>
      </c>
      <c r="K59" s="348">
        <f t="shared" si="4"/>
        <v>-0.22393618412677782</v>
      </c>
      <c r="L59" s="218">
        <f t="shared" si="5"/>
        <v>8992395.6939999983</v>
      </c>
      <c r="M59" s="185">
        <f t="shared" si="6"/>
        <v>-86.934822339731156</v>
      </c>
      <c r="BY59" s="117"/>
      <c r="BZ59" s="117"/>
      <c r="CA59" s="116"/>
      <c r="CB59" s="116"/>
      <c r="CC59" s="116"/>
      <c r="CD59" s="115"/>
    </row>
    <row r="60" spans="2:82" ht="13.5" customHeight="1" thickTop="1" thickBot="1">
      <c r="B60" s="80">
        <v>999</v>
      </c>
      <c r="C60" s="124" t="s">
        <v>455</v>
      </c>
      <c r="D60" s="331">
        <v>1522560.3199999998</v>
      </c>
      <c r="E60" s="329">
        <f t="shared" si="1"/>
        <v>3.1795521029110804E-2</v>
      </c>
      <c r="F60" s="331">
        <v>1968000</v>
      </c>
      <c r="G60" s="329">
        <f t="shared" si="0"/>
        <v>4.1097606816188445E-2</v>
      </c>
      <c r="H60" s="328">
        <f>+D60-F60</f>
        <v>-445439.68000000017</v>
      </c>
      <c r="I60" s="329">
        <f t="shared" si="3"/>
        <v>-22.634130081300825</v>
      </c>
      <c r="J60" s="331">
        <v>1180907.22</v>
      </c>
      <c r="K60" s="330">
        <f t="shared" si="4"/>
        <v>2.5565742677144898E-2</v>
      </c>
      <c r="L60" s="328">
        <f t="shared" si="5"/>
        <v>341653.09999999986</v>
      </c>
      <c r="M60" s="329">
        <f t="shared" si="6"/>
        <v>28.931409192332637</v>
      </c>
      <c r="N60" s="161"/>
      <c r="BY60" s="117"/>
      <c r="BZ60" s="117"/>
      <c r="CA60" s="116"/>
      <c r="CB60" s="116"/>
      <c r="CC60" s="116"/>
      <c r="CD60" s="115"/>
    </row>
    <row r="61" spans="2:82" ht="13.5" thickTop="1">
      <c r="C61" s="106" t="str">
        <f>IF(MasterSheet!$A$1=1,MasterSheet!C151,MasterSheet!B151)</f>
        <v>Izvor: Ministarstvo finansija Crne Gore</v>
      </c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O61" s="81"/>
    </row>
    <row r="62" spans="2:82">
      <c r="C62" s="105"/>
      <c r="D62" s="349"/>
      <c r="E62" s="349"/>
      <c r="F62" s="349"/>
      <c r="G62" s="349"/>
      <c r="H62" s="349"/>
      <c r="I62" s="349"/>
      <c r="J62" s="349"/>
      <c r="K62" s="350"/>
      <c r="L62" s="349"/>
      <c r="M62" s="349"/>
      <c r="O62" s="81"/>
    </row>
    <row r="63" spans="2:82">
      <c r="D63" s="351"/>
      <c r="E63" s="352"/>
      <c r="F63" s="352"/>
      <c r="G63" s="352"/>
      <c r="H63" s="352"/>
      <c r="I63" s="352"/>
      <c r="J63" s="352"/>
      <c r="K63" s="352"/>
      <c r="L63" s="352"/>
      <c r="M63" s="352"/>
    </row>
    <row r="64" spans="2:82">
      <c r="D64" s="351"/>
      <c r="E64" s="352"/>
      <c r="F64" s="352"/>
      <c r="G64" s="352"/>
      <c r="H64" s="352"/>
      <c r="I64" s="352"/>
      <c r="J64" s="352"/>
      <c r="K64" s="352"/>
      <c r="L64" s="352"/>
      <c r="M64" s="352"/>
    </row>
    <row r="65" spans="3:13">
      <c r="C65" s="110"/>
      <c r="D65" s="352"/>
      <c r="E65" s="352"/>
      <c r="F65" s="352"/>
      <c r="G65" s="352"/>
      <c r="H65" s="352"/>
      <c r="I65" s="352"/>
      <c r="J65" s="352"/>
      <c r="K65" s="352"/>
      <c r="L65" s="352"/>
      <c r="M65" s="352"/>
    </row>
    <row r="66" spans="3:13" ht="15">
      <c r="E66" s="352"/>
      <c r="F66" s="352"/>
      <c r="G66" s="352"/>
      <c r="H66" s="352"/>
      <c r="I66" s="352"/>
      <c r="J66" s="352"/>
      <c r="K66" s="353"/>
      <c r="L66" s="352"/>
      <c r="M66" s="352"/>
    </row>
    <row r="67" spans="3:13">
      <c r="E67" s="352"/>
      <c r="F67" s="352"/>
      <c r="G67" s="352"/>
      <c r="H67" s="352"/>
      <c r="I67" s="352"/>
      <c r="J67" s="352"/>
      <c r="K67" s="352"/>
      <c r="L67" s="352"/>
      <c r="M67" s="352"/>
    </row>
    <row r="68" spans="3:13">
      <c r="E68" s="352"/>
      <c r="F68" s="352"/>
      <c r="G68" s="352"/>
      <c r="H68" s="352"/>
      <c r="I68" s="352"/>
      <c r="J68" s="352"/>
      <c r="K68" s="352"/>
      <c r="L68" s="352"/>
      <c r="M68" s="352"/>
    </row>
    <row r="69" spans="3:13">
      <c r="E69" s="352"/>
      <c r="F69" s="352"/>
      <c r="G69" s="352"/>
      <c r="H69" s="352"/>
      <c r="I69" s="352"/>
      <c r="J69" s="352"/>
      <c r="K69" s="352"/>
      <c r="L69" s="352"/>
      <c r="M69" s="352"/>
    </row>
    <row r="70" spans="3:13">
      <c r="E70" s="352"/>
      <c r="F70" s="352"/>
      <c r="G70" s="352"/>
      <c r="H70" s="352"/>
      <c r="I70" s="352"/>
      <c r="J70" s="352"/>
      <c r="K70" s="352"/>
      <c r="L70" s="352"/>
      <c r="M70" s="352"/>
    </row>
    <row r="71" spans="3:13">
      <c r="E71" s="352"/>
      <c r="F71" s="352"/>
      <c r="G71" s="352"/>
      <c r="H71" s="352"/>
      <c r="I71" s="352"/>
      <c r="J71" s="352"/>
      <c r="K71" s="352"/>
      <c r="L71" s="352"/>
      <c r="M71" s="352"/>
    </row>
    <row r="72" spans="3:13">
      <c r="E72" s="352"/>
      <c r="F72" s="352"/>
      <c r="G72" s="352"/>
      <c r="H72" s="352"/>
      <c r="I72" s="352"/>
      <c r="J72" s="352"/>
      <c r="K72" s="352"/>
      <c r="L72" s="352"/>
      <c r="M72" s="352"/>
    </row>
    <row r="73" spans="3:13">
      <c r="E73" s="352"/>
      <c r="F73" s="352"/>
      <c r="G73" s="352"/>
      <c r="H73" s="352"/>
      <c r="I73" s="352"/>
      <c r="J73" s="352"/>
      <c r="K73" s="352"/>
      <c r="L73" s="352"/>
      <c r="M73" s="352"/>
    </row>
    <row r="74" spans="3:13">
      <c r="E74" s="352"/>
      <c r="F74" s="352"/>
      <c r="G74" s="352"/>
      <c r="H74" s="352"/>
      <c r="I74" s="352"/>
      <c r="J74" s="352"/>
      <c r="K74" s="352"/>
      <c r="L74" s="352"/>
      <c r="M74" s="352"/>
    </row>
    <row r="75" spans="3:13">
      <c r="E75" s="352"/>
      <c r="F75" s="352"/>
      <c r="G75" s="352"/>
      <c r="H75" s="352"/>
      <c r="I75" s="352"/>
      <c r="J75" s="352"/>
      <c r="K75" s="352"/>
      <c r="L75" s="352"/>
      <c r="M75" s="352"/>
    </row>
    <row r="76" spans="3:13">
      <c r="E76" s="352"/>
      <c r="F76" s="352"/>
      <c r="G76" s="352"/>
      <c r="H76" s="352"/>
      <c r="I76" s="352"/>
      <c r="J76" s="352"/>
      <c r="K76" s="352"/>
      <c r="L76" s="352"/>
      <c r="M76" s="352"/>
    </row>
    <row r="77" spans="3:13">
      <c r="E77" s="352"/>
      <c r="F77" s="352"/>
      <c r="G77" s="352"/>
      <c r="H77" s="352"/>
      <c r="I77" s="352"/>
      <c r="J77" s="352"/>
      <c r="K77" s="352"/>
      <c r="L77" s="352"/>
      <c r="M77" s="352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J81"/>
  <sheetViews>
    <sheetView topLeftCell="B49" zoomScaleNormal="100" workbookViewId="0">
      <selection activeCell="J11" sqref="J11:K11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167" customWidth="1"/>
    <col min="14" max="14" width="15.42578125" style="80" customWidth="1"/>
    <col min="15" max="54" width="9.140625" style="80" customWidth="1"/>
    <col min="55" max="55" width="9.140625" style="80"/>
    <col min="56" max="56" width="15.42578125" style="80" customWidth="1"/>
    <col min="57" max="57" width="12.7109375" style="80" customWidth="1"/>
    <col min="58" max="58" width="11.85546875" style="80" customWidth="1"/>
    <col min="59" max="16384" width="9.140625" style="80"/>
  </cols>
  <sheetData>
    <row r="1" spans="2:54" s="111" customFormat="1" ht="15" customHeight="1">
      <c r="C1" s="109"/>
      <c r="D1" s="190">
        <v>3</v>
      </c>
      <c r="E1" s="190">
        <v>4</v>
      </c>
      <c r="F1" s="190">
        <v>5</v>
      </c>
      <c r="G1" s="190">
        <v>6</v>
      </c>
      <c r="H1" s="190">
        <v>7</v>
      </c>
      <c r="I1" s="190">
        <v>8</v>
      </c>
      <c r="J1" s="190">
        <v>9</v>
      </c>
      <c r="K1" s="190">
        <v>10</v>
      </c>
      <c r="L1" s="190">
        <v>11</v>
      </c>
      <c r="M1" s="190">
        <v>12</v>
      </c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2:54" ht="15" hidden="1" customHeight="1">
      <c r="C2" s="81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2:54" ht="15" hidden="1" customHeight="1">
      <c r="C3" s="81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</row>
    <row r="4" spans="2:54" ht="15" hidden="1" customHeight="1">
      <c r="C4" s="81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</row>
    <row r="5" spans="2:54" ht="15" hidden="1" customHeight="1">
      <c r="C5" s="81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</row>
    <row r="6" spans="2:54" ht="15" hidden="1" customHeight="1">
      <c r="C6" s="81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</row>
    <row r="7" spans="2:54" ht="15" hidden="1" customHeight="1">
      <c r="C7" s="81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</row>
    <row r="8" spans="2:54" ht="15" hidden="1" customHeight="1">
      <c r="C8" s="81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</row>
    <row r="9" spans="2:54" ht="15" hidden="1" customHeight="1">
      <c r="C9" s="81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</row>
    <row r="10" spans="2:54" ht="15" customHeight="1" thickBot="1">
      <c r="C10" s="81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</row>
    <row r="11" spans="2:54" ht="18.75" customHeight="1" thickTop="1" thickBot="1">
      <c r="C11" s="136" t="str">
        <f>IF(MasterSheet!$A$1=1,MasterSheet!B67,MasterSheet!B66)</f>
        <v>BDP (u mil. €)</v>
      </c>
      <c r="D11" s="246">
        <f>+'Cental Budget'!D11:G11</f>
        <v>4788600000</v>
      </c>
      <c r="E11" s="247"/>
      <c r="F11" s="247"/>
      <c r="G11" s="248"/>
      <c r="H11" s="241"/>
      <c r="I11" s="242"/>
      <c r="J11" s="243">
        <f>+'Cental Budget'!J11:K11</f>
        <v>4619100000</v>
      </c>
      <c r="K11" s="244"/>
      <c r="L11" s="241"/>
      <c r="M11" s="245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</row>
    <row r="12" spans="2:54" ht="19.5" hidden="1" customHeight="1" thickTop="1">
      <c r="C12" s="13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</row>
    <row r="13" spans="2:54" ht="27" customHeight="1" thickTop="1" thickBot="1">
      <c r="B13" s="85"/>
      <c r="C13" s="138"/>
      <c r="D13" s="253"/>
      <c r="E13" s="253"/>
      <c r="F13" s="191"/>
      <c r="G13" s="191"/>
      <c r="H13" s="191"/>
      <c r="I13" s="191"/>
      <c r="J13" s="254"/>
      <c r="K13" s="254"/>
      <c r="L13" s="191"/>
      <c r="M13" s="19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</row>
    <row r="14" spans="2:54" ht="15.75" customHeight="1" thickTop="1">
      <c r="B14" s="87"/>
      <c r="C14" s="249" t="s">
        <v>234</v>
      </c>
      <c r="D14" s="251" t="s">
        <v>470</v>
      </c>
      <c r="E14" s="252"/>
      <c r="F14" s="251" t="s">
        <v>471</v>
      </c>
      <c r="G14" s="252"/>
      <c r="H14" s="251" t="str">
        <f>+'Cental Budget'!H14:I14</f>
        <v>Odstupanje</v>
      </c>
      <c r="I14" s="252"/>
      <c r="J14" s="251" t="s">
        <v>464</v>
      </c>
      <c r="K14" s="252"/>
      <c r="L14" s="251" t="str">
        <f>+H14</f>
        <v>Odstupanje</v>
      </c>
      <c r="M14" s="2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</row>
    <row r="15" spans="2:54" ht="15" customHeight="1" thickBot="1">
      <c r="C15" s="250" t="str">
        <f>IF(MasterSheet!$A$1=1,MasterSheet!B71,MasterSheet!B70)</f>
        <v>Budžet Crne Gore</v>
      </c>
      <c r="D15" s="354" t="str">
        <f>IF(MasterSheet!$A$1=1,MasterSheet!C71,MasterSheet!C70)</f>
        <v>mil. €</v>
      </c>
      <c r="E15" s="355" t="str">
        <f>IF(MasterSheet!$A$1=1,MasterSheet!D71,MasterSheet!D70)</f>
        <v>% BDP</v>
      </c>
      <c r="F15" s="356" t="str">
        <f>IF(MasterSheet!$A$1=1,MasterSheet!E71,MasterSheet!E70)</f>
        <v>mil. €</v>
      </c>
      <c r="G15" s="357" t="str">
        <f>IF(MasterSheet!$A$1=1,MasterSheet!F71,MasterSheet!F70)</f>
        <v>% BDP</v>
      </c>
      <c r="H15" s="358" t="str">
        <f>IF(MasterSheet!$A$1=1,MasterSheet!G71,MasterSheet!G70)</f>
        <v>mil. €</v>
      </c>
      <c r="I15" s="357" t="s">
        <v>439</v>
      </c>
      <c r="J15" s="354" t="str">
        <f>IF(MasterSheet!$A$1=1,MasterSheet!I71,MasterSheet!I70)</f>
        <v>mil. €</v>
      </c>
      <c r="K15" s="356" t="str">
        <f>IF(MasterSheet!$A$1=1,MasterSheet!J71,MasterSheet!J70)</f>
        <v>% BDP</v>
      </c>
      <c r="L15" s="354" t="str">
        <f>IF(MasterSheet!$A$1=1,MasterSheet!K71,MasterSheet!K70)</f>
        <v>mil. €</v>
      </c>
      <c r="M15" s="355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2:54" ht="15" customHeight="1" thickTop="1" thickBot="1">
      <c r="C16" s="139" t="str">
        <f>IF(MasterSheet!$A$1=1,MasterSheet!C72,MasterSheet!B72)</f>
        <v>Izvorni prihodi</v>
      </c>
      <c r="D16" s="192">
        <f>D17+D26+D31+D32+D33+D34+D35</f>
        <v>417770898.24999994</v>
      </c>
      <c r="E16" s="193">
        <f t="shared" ref="E16:E75" si="0">D16/D$11*100</f>
        <v>8.724280546506284</v>
      </c>
      <c r="F16" s="192">
        <f>F17+F26+F31+F32+F33+F34+F35</f>
        <v>393550141.53976679</v>
      </c>
      <c r="G16" s="193">
        <f>F16/D$11*100</f>
        <v>8.2184801724881336</v>
      </c>
      <c r="H16" s="192">
        <f>+D16-F16</f>
        <v>24220756.710233152</v>
      </c>
      <c r="I16" s="193">
        <f>+D16/F16*100-100</f>
        <v>6.1544271374085469</v>
      </c>
      <c r="J16" s="192">
        <f>J17+J26+J31+J32+J33+J34+J35</f>
        <v>365834797.22000003</v>
      </c>
      <c r="K16" s="193">
        <f t="shared" ref="K16:K75" si="1">J16/J$11*100</f>
        <v>7.920044970232297</v>
      </c>
      <c r="L16" s="192">
        <f>+D16-J16</f>
        <v>51936101.029999912</v>
      </c>
      <c r="M16" s="193">
        <f>+D16/J16*100-100</f>
        <v>14.196599510124614</v>
      </c>
      <c r="N16" s="169"/>
      <c r="O16" s="169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</row>
    <row r="17" spans="2:59" ht="15" customHeight="1" thickTop="1">
      <c r="B17" s="80">
        <v>711</v>
      </c>
      <c r="C17" s="93" t="str">
        <f>IF(MasterSheet!$A$1=1,MasterSheet!C73,MasterSheet!B73)</f>
        <v>Porezi</v>
      </c>
      <c r="D17" s="194">
        <f>SUM(D18:D25)</f>
        <v>268589213.50999999</v>
      </c>
      <c r="E17" s="195">
        <f t="shared" si="0"/>
        <v>5.6089298231215796</v>
      </c>
      <c r="F17" s="194">
        <f>SUM(F18:F25)</f>
        <v>250294877.4360179</v>
      </c>
      <c r="G17" s="195">
        <f t="shared" ref="G17:G75" si="2">F17/D$11*100</f>
        <v>5.226890478135946</v>
      </c>
      <c r="H17" s="196">
        <f t="shared" ref="H17:H75" si="3">+D17-F17</f>
        <v>18294336.07398209</v>
      </c>
      <c r="I17" s="197">
        <f t="shared" ref="I17:I75" si="4">+D17/F17*100-100</f>
        <v>7.3091132592829808</v>
      </c>
      <c r="J17" s="194">
        <f>SUM(J18:J25)</f>
        <v>237425145.86000001</v>
      </c>
      <c r="K17" s="195">
        <f t="shared" si="1"/>
        <v>5.14007373427724</v>
      </c>
      <c r="L17" s="196">
        <f t="shared" ref="L17:L75" si="5">+D17-J17</f>
        <v>31164067.649999976</v>
      </c>
      <c r="M17" s="198">
        <f t="shared" ref="M17:M74" si="6">+D17/J17*100-100</f>
        <v>13.125849638679867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</row>
    <row r="18" spans="2:59" ht="15" customHeight="1">
      <c r="B18" s="80">
        <v>7111</v>
      </c>
      <c r="C18" s="97" t="str">
        <f>IF(MasterSheet!$A$1=1,MasterSheet!C74,MasterSheet!B74)</f>
        <v>Porez na dohodak fizičkih lica</v>
      </c>
      <c r="D18" s="199">
        <f>'Cental Budget'!D18+'Local Government'!D18</f>
        <v>33574022.450000003</v>
      </c>
      <c r="E18" s="200">
        <f t="shared" si="0"/>
        <v>0.70112397047153663</v>
      </c>
      <c r="F18" s="199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27376375.920896541</v>
      </c>
      <c r="G18" s="200">
        <f t="shared" si="2"/>
        <v>0.57169895002498727</v>
      </c>
      <c r="H18" s="201">
        <f t="shared" si="3"/>
        <v>6197646.5291034617</v>
      </c>
      <c r="I18" s="202">
        <f t="shared" si="4"/>
        <v>22.638666808972204</v>
      </c>
      <c r="J18" s="199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28677368.66</v>
      </c>
      <c r="K18" s="200">
        <f t="shared" si="1"/>
        <v>0.62084320885020894</v>
      </c>
      <c r="L18" s="201">
        <f t="shared" si="5"/>
        <v>4896653.7900000028</v>
      </c>
      <c r="M18" s="202">
        <f t="shared" si="6"/>
        <v>17.074975908894999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</row>
    <row r="19" spans="2:59" ht="15" customHeight="1">
      <c r="B19" s="80">
        <v>7112</v>
      </c>
      <c r="C19" s="97" t="str">
        <f>IF(MasterSheet!$A$1=1,MasterSheet!C75,MasterSheet!B75)</f>
        <v>Porez na dobit pravnih lica</v>
      </c>
      <c r="D19" s="199">
        <f>'Cental Budget'!D19</f>
        <v>25365057.68</v>
      </c>
      <c r="E19" s="200">
        <f t="shared" si="0"/>
        <v>0.52969673140375062</v>
      </c>
      <c r="F19" s="199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25676965.732726377</v>
      </c>
      <c r="G19" s="200">
        <f t="shared" si="2"/>
        <v>0.53621028552659189</v>
      </c>
      <c r="H19" s="201">
        <f t="shared" si="3"/>
        <v>-311908.0527263768</v>
      </c>
      <c r="I19" s="202">
        <f t="shared" si="4"/>
        <v>-1.214738750571442</v>
      </c>
      <c r="J19" s="199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24379771.07</v>
      </c>
      <c r="K19" s="200">
        <f t="shared" si="1"/>
        <v>0.52780349137277827</v>
      </c>
      <c r="L19" s="201">
        <f t="shared" si="5"/>
        <v>985286.6099999994</v>
      </c>
      <c r="M19" s="202">
        <f t="shared" si="6"/>
        <v>4.0414104265828144</v>
      </c>
      <c r="N19" s="107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D19" s="81"/>
    </row>
    <row r="20" spans="2:59" ht="15" customHeight="1">
      <c r="B20" s="80">
        <v>7113</v>
      </c>
      <c r="C20" s="97" t="str">
        <f>IF(MasterSheet!$A$1=1,MasterSheet!C76,MasterSheet!B76)</f>
        <v>Porez na promet nepokretnosti</v>
      </c>
      <c r="D20" s="199">
        <f>'Cental Budget'!D20+'Local Government'!D19</f>
        <v>4470763.0399999991</v>
      </c>
      <c r="E20" s="200">
        <f t="shared" si="0"/>
        <v>9.3362632919851293E-2</v>
      </c>
      <c r="F20" s="199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5413162.7862343099</v>
      </c>
      <c r="G20" s="200">
        <f t="shared" si="2"/>
        <v>0.11304270112839473</v>
      </c>
      <c r="H20" s="201">
        <f t="shared" si="3"/>
        <v>-942399.74623431079</v>
      </c>
      <c r="I20" s="202">
        <f t="shared" si="4"/>
        <v>-17.409410790875086</v>
      </c>
      <c r="J20" s="199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4038231.8899999997</v>
      </c>
      <c r="K20" s="200">
        <f t="shared" si="1"/>
        <v>8.74246474421424E-2</v>
      </c>
      <c r="L20" s="201">
        <f t="shared" si="5"/>
        <v>432531.14999999944</v>
      </c>
      <c r="M20" s="202">
        <f t="shared" si="6"/>
        <v>10.710904221996003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</row>
    <row r="21" spans="2:59" ht="15" customHeight="1">
      <c r="B21" s="80">
        <v>7114</v>
      </c>
      <c r="C21" s="97" t="str">
        <f>IF(MasterSheet!$A$1=1,MasterSheet!C77,MasterSheet!B77)</f>
        <v>Porez na dodatu vrijednost</v>
      </c>
      <c r="D21" s="199">
        <f>'Cental Budget'!D21</f>
        <v>139303806.75999999</v>
      </c>
      <c r="E21" s="200">
        <f t="shared" si="0"/>
        <v>2.9090716860877919</v>
      </c>
      <c r="F21" s="199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128682290.18944499</v>
      </c>
      <c r="G21" s="200">
        <f t="shared" si="2"/>
        <v>2.6872632959412979</v>
      </c>
      <c r="H21" s="201">
        <f t="shared" si="3"/>
        <v>10621516.570555001</v>
      </c>
      <c r="I21" s="202">
        <f t="shared" si="4"/>
        <v>8.2540624315265774</v>
      </c>
      <c r="J21" s="199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119707174.40000001</v>
      </c>
      <c r="K21" s="200">
        <f t="shared" si="1"/>
        <v>2.5915692321014916</v>
      </c>
      <c r="L21" s="201">
        <f t="shared" si="5"/>
        <v>19596632.359999985</v>
      </c>
      <c r="M21" s="202">
        <f t="shared" si="6"/>
        <v>16.37047441661106</v>
      </c>
    </row>
    <row r="22" spans="2:59" ht="15" customHeight="1">
      <c r="B22" s="80">
        <v>7115</v>
      </c>
      <c r="C22" s="97" t="str">
        <f>IF(MasterSheet!$A$1=1,MasterSheet!C78,MasterSheet!B78)</f>
        <v>Akcize</v>
      </c>
      <c r="D22" s="199">
        <f>'Cental Budget'!D22</f>
        <v>41642431.079999998</v>
      </c>
      <c r="E22" s="200">
        <f t="shared" si="0"/>
        <v>0.86961598546548058</v>
      </c>
      <c r="F22" s="199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43025030.125671566</v>
      </c>
      <c r="G22" s="200">
        <f t="shared" si="2"/>
        <v>0.89848870495910205</v>
      </c>
      <c r="H22" s="201">
        <f t="shared" si="3"/>
        <v>-1382599.0456715673</v>
      </c>
      <c r="I22" s="202">
        <f t="shared" si="4"/>
        <v>-3.2134760664504824</v>
      </c>
      <c r="J22" s="199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40332229.780000001</v>
      </c>
      <c r="K22" s="200">
        <f t="shared" si="1"/>
        <v>0.87316208308977938</v>
      </c>
      <c r="L22" s="201">
        <f t="shared" si="5"/>
        <v>1310201.299999997</v>
      </c>
      <c r="M22" s="202">
        <f t="shared" si="6"/>
        <v>3.2485218574493473</v>
      </c>
    </row>
    <row r="23" spans="2:5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99">
        <f>'Cental Budget'!D23</f>
        <v>5620966.7400000002</v>
      </c>
      <c r="E23" s="200">
        <f t="shared" si="0"/>
        <v>0.11738225660944744</v>
      </c>
      <c r="F23" s="199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5259138.1560700489</v>
      </c>
      <c r="G23" s="200">
        <f t="shared" si="2"/>
        <v>0.10982621551330345</v>
      </c>
      <c r="H23" s="201">
        <f t="shared" si="3"/>
        <v>361828.5839299513</v>
      </c>
      <c r="I23" s="202">
        <f t="shared" si="4"/>
        <v>6.8799976952940796</v>
      </c>
      <c r="J23" s="199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5125725.6899999995</v>
      </c>
      <c r="K23" s="200">
        <f t="shared" si="1"/>
        <v>0.11096806066116774</v>
      </c>
      <c r="L23" s="201">
        <f t="shared" si="5"/>
        <v>495241.05000000075</v>
      </c>
      <c r="M23" s="202">
        <f t="shared" si="6"/>
        <v>9.6618718977917268</v>
      </c>
      <c r="BE23" s="114"/>
      <c r="BF23" s="114"/>
      <c r="BG23" s="81"/>
    </row>
    <row r="24" spans="2:59" ht="15" customHeight="1">
      <c r="B24" s="80">
        <v>7117</v>
      </c>
      <c r="C24" s="97" t="s">
        <v>11</v>
      </c>
      <c r="D24" s="199">
        <f>'Local Government'!D20</f>
        <v>14015944.289999997</v>
      </c>
      <c r="E24" s="200">
        <f t="shared" si="0"/>
        <v>0.29269398759553938</v>
      </c>
      <c r="F24" s="199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12798537.294988353</v>
      </c>
      <c r="G24" s="200">
        <f t="shared" si="2"/>
        <v>0.26727096218077001</v>
      </c>
      <c r="H24" s="201">
        <f t="shared" si="3"/>
        <v>1217406.9950116444</v>
      </c>
      <c r="I24" s="202">
        <f t="shared" si="4"/>
        <v>9.5120791302327774</v>
      </c>
      <c r="J24" s="199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13163139.859999999</v>
      </c>
      <c r="K24" s="200">
        <f t="shared" si="1"/>
        <v>0.28497196120456364</v>
      </c>
      <c r="L24" s="201">
        <f t="shared" si="5"/>
        <v>852804.42999999784</v>
      </c>
      <c r="M24" s="202">
        <f t="shared" si="6"/>
        <v>6.4787310555856692</v>
      </c>
      <c r="BE24" s="114"/>
      <c r="BF24" s="114"/>
      <c r="BG24" s="81"/>
    </row>
    <row r="25" spans="2:59" ht="15" customHeight="1">
      <c r="B25" s="80">
        <v>7118</v>
      </c>
      <c r="C25" s="97" t="s">
        <v>457</v>
      </c>
      <c r="D25" s="199">
        <f>'Cental Budget'!D24</f>
        <v>4596221.47</v>
      </c>
      <c r="E25" s="200">
        <f t="shared" si="0"/>
        <v>9.5982572568182767E-2</v>
      </c>
      <c r="F25" s="199">
        <f>+IF(ISNUMBER(VLOOKUP($B25,'Cental Budget'!$B$16:$K$77,'Public Expenditure'!F$1,FALSE)),VLOOKUP($B25,'Cental Budget'!$B$16:$K$77,'Public Expenditure'!F$1,FALSE),0)+IF(ISNUMBER(VLOOKUP('Public Expenditure'!$B25,'Local Government'!$B$16:$M$60,'Public Expenditure'!F$1,FALSE)),VLOOKUP('Public Expenditure'!$B25,'Local Government'!$B$16:$M$60,'Public Expenditure'!F$1,FALSE),0)</f>
        <v>2063377.229985714</v>
      </c>
      <c r="G25" s="200">
        <f t="shared" si="2"/>
        <v>4.3089362861498434E-2</v>
      </c>
      <c r="H25" s="201">
        <f t="shared" si="3"/>
        <v>2532844.2400142858</v>
      </c>
      <c r="I25" s="202">
        <f t="shared" si="4"/>
        <v>122.75235973365</v>
      </c>
      <c r="J25" s="199">
        <f>+IF(ISNUMBER(VLOOKUP($B25,'Cental Budget'!$B$16:$K$77,'Public Expenditure'!J$1,FALSE)),VLOOKUP($B25,'Cental Budget'!$B$16:$K$77,'Public Expenditure'!J$1,FALSE),0)+IF(ISNUMBER(VLOOKUP('Public Expenditure'!$B25,'Local Government'!$B$16:$M$60,'Public Expenditure'!J$1,FALSE)),VLOOKUP('Public Expenditure'!$B25,'Local Government'!$B$16:$M$60,'Public Expenditure'!J$1,FALSE),0)</f>
        <v>2001504.51</v>
      </c>
      <c r="K25" s="200">
        <f t="shared" si="1"/>
        <v>4.3331049555108143E-2</v>
      </c>
      <c r="L25" s="201">
        <f t="shared" si="5"/>
        <v>2594716.96</v>
      </c>
      <c r="M25" s="202">
        <f t="shared" si="6"/>
        <v>129.6383269203825</v>
      </c>
      <c r="BE25" s="114"/>
      <c r="BF25" s="114"/>
      <c r="BG25" s="81"/>
    </row>
    <row r="26" spans="2:59" ht="15" customHeight="1">
      <c r="B26" s="80">
        <v>712</v>
      </c>
      <c r="C26" s="93" t="str">
        <f>IF(MasterSheet!$A$1=1,MasterSheet!C81,MasterSheet!B81)</f>
        <v>Doprinosi</v>
      </c>
      <c r="D26" s="194">
        <f>'Cental Budget'!D25</f>
        <v>99458750.039999992</v>
      </c>
      <c r="E26" s="203">
        <f t="shared" si="0"/>
        <v>2.0769901440922189</v>
      </c>
      <c r="F26" s="194">
        <f>SUM(F27:F30)</f>
        <v>95761144.378518417</v>
      </c>
      <c r="G26" s="203">
        <f t="shared" si="2"/>
        <v>1.9997733028133151</v>
      </c>
      <c r="H26" s="196">
        <f t="shared" si="3"/>
        <v>3697605.6614815742</v>
      </c>
      <c r="I26" s="198">
        <f t="shared" si="4"/>
        <v>3.8612797345715961</v>
      </c>
      <c r="J26" s="194">
        <f>SUM(J27:J30)</f>
        <v>94564051.030000016</v>
      </c>
      <c r="K26" s="203">
        <f t="shared" si="1"/>
        <v>2.0472397443224875</v>
      </c>
      <c r="L26" s="196">
        <f t="shared" si="5"/>
        <v>4894699.0099999756</v>
      </c>
      <c r="M26" s="198">
        <f t="shared" si="6"/>
        <v>5.1760673920866083</v>
      </c>
      <c r="BE26" s="114"/>
      <c r="BF26" s="114"/>
      <c r="BG26" s="81"/>
    </row>
    <row r="27" spans="2:59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99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58213308.560000002</v>
      </c>
      <c r="E27" s="200">
        <f t="shared" si="0"/>
        <v>1.2156644647704966</v>
      </c>
      <c r="F27" s="199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58374352.174240939</v>
      </c>
      <c r="G27" s="200">
        <f t="shared" si="2"/>
        <v>1.2190275273407873</v>
      </c>
      <c r="H27" s="201">
        <f t="shared" si="3"/>
        <v>-161043.61424093693</v>
      </c>
      <c r="I27" s="202">
        <f t="shared" si="4"/>
        <v>-0.27588077339211736</v>
      </c>
      <c r="J27" s="199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57521922.370000005</v>
      </c>
      <c r="K27" s="200">
        <f t="shared" si="1"/>
        <v>1.2453058468099847</v>
      </c>
      <c r="L27" s="201">
        <f t="shared" si="5"/>
        <v>691386.18999999762</v>
      </c>
      <c r="M27" s="202">
        <f t="shared" si="6"/>
        <v>1.2019525104755218</v>
      </c>
      <c r="BE27" s="114"/>
      <c r="BF27" s="114"/>
      <c r="BG27" s="81"/>
    </row>
    <row r="28" spans="2:59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99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35862791.879999995</v>
      </c>
      <c r="E28" s="200">
        <f t="shared" si="0"/>
        <v>0.74892018293446927</v>
      </c>
      <c r="F28" s="199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32630828.856189087</v>
      </c>
      <c r="G28" s="200">
        <f t="shared" si="2"/>
        <v>0.68142732439938791</v>
      </c>
      <c r="H28" s="201">
        <f t="shared" si="3"/>
        <v>3231963.0238109082</v>
      </c>
      <c r="I28" s="202">
        <f t="shared" si="4"/>
        <v>9.9046304893291222</v>
      </c>
      <c r="J28" s="199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32351215.270000003</v>
      </c>
      <c r="K28" s="200">
        <f t="shared" si="1"/>
        <v>0.70037919226689194</v>
      </c>
      <c r="L28" s="201">
        <f t="shared" si="5"/>
        <v>3511576.609999992</v>
      </c>
      <c r="M28" s="202">
        <f t="shared" si="6"/>
        <v>10.854543115900668</v>
      </c>
      <c r="BE28" s="114"/>
      <c r="BF28" s="114"/>
      <c r="BG28" s="81"/>
    </row>
    <row r="29" spans="2:59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99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2755965.16</v>
      </c>
      <c r="E29" s="200">
        <f t="shared" si="0"/>
        <v>5.7552628325606654E-2</v>
      </c>
      <c r="F29" s="199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2348831.4321440454</v>
      </c>
      <c r="G29" s="200">
        <f t="shared" si="2"/>
        <v>4.9050483066951624E-2</v>
      </c>
      <c r="H29" s="201">
        <f t="shared" si="3"/>
        <v>407133.72785595478</v>
      </c>
      <c r="I29" s="202">
        <f t="shared" si="4"/>
        <v>17.333458769508951</v>
      </c>
      <c r="J29" s="199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2442978.66</v>
      </c>
      <c r="K29" s="200">
        <f t="shared" si="1"/>
        <v>5.2888628953692278E-2</v>
      </c>
      <c r="L29" s="201">
        <f t="shared" si="5"/>
        <v>312986.5</v>
      </c>
      <c r="M29" s="202">
        <f t="shared" si="6"/>
        <v>12.811675563305982</v>
      </c>
      <c r="BE29" s="114"/>
      <c r="BF29" s="114"/>
      <c r="BG29" s="81"/>
    </row>
    <row r="30" spans="2:59" ht="15" hidden="1" customHeight="1">
      <c r="B30" s="80">
        <v>7124</v>
      </c>
      <c r="C30" s="97" t="str">
        <f>IF(MasterSheet!$A$1=1,MasterSheet!C85,MasterSheet!B85)</f>
        <v>Ostali doprinosi</v>
      </c>
      <c r="D30" s="199">
        <f>+IF(ISNUMBER(VLOOKUP($B30,'Cental Budget'!$B$16:$K$77,'Public Expenditure'!D$1,FALSE)),VLOOKUP($B30,'Cental Budget'!$B$16:$K$77,'Public Expenditure'!D$1,FALSE),0)+IF(ISNUMBER(VLOOKUP('Public Expenditure'!$B30,'Local Government'!$B$16:$M$60,'Public Expenditure'!D$1,FALSE)),VLOOKUP('Public Expenditure'!$B30,'Local Government'!$B$16:$M$60,'Public Expenditure'!D$1,FALSE),0)</f>
        <v>2626684.4400000004</v>
      </c>
      <c r="E30" s="200">
        <f t="shared" si="0"/>
        <v>5.4852868061646416E-2</v>
      </c>
      <c r="F30" s="199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2407131.9159443555</v>
      </c>
      <c r="G30" s="200">
        <f t="shared" si="2"/>
        <v>5.0267968006188768E-2</v>
      </c>
      <c r="H30" s="201">
        <f t="shared" si="3"/>
        <v>219552.52405564487</v>
      </c>
      <c r="I30" s="202">
        <f t="shared" si="4"/>
        <v>9.1209178276177312</v>
      </c>
      <c r="J30" s="199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2247934.73</v>
      </c>
      <c r="K30" s="200">
        <f t="shared" si="1"/>
        <v>4.8666076291918339E-2</v>
      </c>
      <c r="L30" s="201">
        <f t="shared" si="5"/>
        <v>378749.71000000043</v>
      </c>
      <c r="M30" s="202">
        <f t="shared" si="6"/>
        <v>16.848785907587299</v>
      </c>
      <c r="BE30" s="81"/>
      <c r="BF30" s="81"/>
      <c r="BG30" s="81"/>
    </row>
    <row r="31" spans="2:59" ht="15" customHeight="1">
      <c r="B31" s="80">
        <v>713</v>
      </c>
      <c r="C31" s="93" t="str">
        <f>IF(MasterSheet!$A$1=1,MasterSheet!C86,MasterSheet!B86)</f>
        <v>Takse</v>
      </c>
      <c r="D31" s="194">
        <f>'Cental Budget'!D30+'Local Government'!D21</f>
        <v>4146782.8</v>
      </c>
      <c r="E31" s="203">
        <f t="shared" si="0"/>
        <v>8.6596976151693608E-2</v>
      </c>
      <c r="F31" s="194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3855460.1177387824</v>
      </c>
      <c r="G31" s="203">
        <f t="shared" si="2"/>
        <v>8.0513304885327291E-2</v>
      </c>
      <c r="H31" s="196">
        <f t="shared" si="3"/>
        <v>291322.68226121739</v>
      </c>
      <c r="I31" s="198">
        <f t="shared" si="4"/>
        <v>7.5561067515873361</v>
      </c>
      <c r="J31" s="194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4149568.62</v>
      </c>
      <c r="K31" s="203">
        <f t="shared" si="1"/>
        <v>8.9835002922647275E-2</v>
      </c>
      <c r="L31" s="196">
        <f t="shared" si="5"/>
        <v>-2785.820000000298</v>
      </c>
      <c r="M31" s="198">
        <f t="shared" si="6"/>
        <v>-6.7135171269924854E-2</v>
      </c>
      <c r="BE31" s="81"/>
      <c r="BF31" s="81"/>
      <c r="BG31" s="81"/>
    </row>
    <row r="32" spans="2:59" ht="15" customHeight="1">
      <c r="B32" s="80">
        <v>714</v>
      </c>
      <c r="C32" s="93" t="str">
        <f>IF(MasterSheet!$A$1=1,MasterSheet!C91,MasterSheet!B91)</f>
        <v>Naknade</v>
      </c>
      <c r="D32" s="194">
        <f>'Cental Budget'!D31+'Local Government'!D22</f>
        <v>19413330.449999999</v>
      </c>
      <c r="E32" s="203">
        <f t="shared" si="0"/>
        <v>0.4054072265380278</v>
      </c>
      <c r="F32" s="194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14700084.36292262</v>
      </c>
      <c r="G32" s="203">
        <f t="shared" si="2"/>
        <v>0.30698083704887902</v>
      </c>
      <c r="H32" s="196">
        <f t="shared" si="3"/>
        <v>4713246.0870773792</v>
      </c>
      <c r="I32" s="198">
        <f t="shared" si="4"/>
        <v>32.062714544451154</v>
      </c>
      <c r="J32" s="194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15755317.779999999</v>
      </c>
      <c r="K32" s="203">
        <f t="shared" si="1"/>
        <v>0.34109064060098288</v>
      </c>
      <c r="L32" s="196">
        <f t="shared" si="5"/>
        <v>3658012.67</v>
      </c>
      <c r="M32" s="198">
        <f t="shared" si="6"/>
        <v>23.217638140206404</v>
      </c>
      <c r="BE32" s="114"/>
      <c r="BF32" s="114"/>
      <c r="BG32" s="114"/>
    </row>
    <row r="33" spans="1:62" ht="15" customHeight="1">
      <c r="B33" s="80">
        <v>715</v>
      </c>
      <c r="C33" s="93" t="str">
        <f>IF(MasterSheet!$A$1=1,MasterSheet!C98,MasterSheet!B98)</f>
        <v>Ostali prihodi</v>
      </c>
      <c r="D33" s="194">
        <f>'Cental Budget'!D32+'Local Government'!D23</f>
        <v>9852926.5999999996</v>
      </c>
      <c r="E33" s="203">
        <f t="shared" si="0"/>
        <v>0.20575797936766485</v>
      </c>
      <c r="F33" s="194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10674481.849003613</v>
      </c>
      <c r="G33" s="203">
        <f t="shared" si="2"/>
        <v>0.22291446036427376</v>
      </c>
      <c r="H33" s="196">
        <f t="shared" si="3"/>
        <v>-821555.24900361337</v>
      </c>
      <c r="I33" s="198">
        <f t="shared" si="4"/>
        <v>-7.6964414818907585</v>
      </c>
      <c r="J33" s="194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9618988.129999999</v>
      </c>
      <c r="K33" s="203">
        <f t="shared" si="1"/>
        <v>0.20824377324587037</v>
      </c>
      <c r="L33" s="196">
        <f t="shared" si="5"/>
        <v>233938.47000000067</v>
      </c>
      <c r="M33" s="198">
        <f t="shared" si="6"/>
        <v>2.4320486400267498</v>
      </c>
      <c r="BE33" s="81"/>
      <c r="BF33" s="81"/>
      <c r="BG33" s="81"/>
      <c r="BH33" s="81"/>
      <c r="BI33" s="81"/>
    </row>
    <row r="34" spans="1:62">
      <c r="B34" s="80">
        <v>73</v>
      </c>
      <c r="C34" s="101" t="str">
        <f>IF(MasterSheet!$A$1=1,MasterSheet!C103,MasterSheet!B103)</f>
        <v xml:space="preserve">Primici od otplate kredita </v>
      </c>
      <c r="D34" s="194">
        <f>'Cental Budget'!D33+'Local Government'!D24</f>
        <v>704669.9</v>
      </c>
      <c r="E34" s="203">
        <f t="shared" si="0"/>
        <v>1.4715572401119325E-2</v>
      </c>
      <c r="F34" s="194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317496.67937915423</v>
      </c>
      <c r="G34" s="203">
        <f t="shared" si="2"/>
        <v>6.6302610236635799E-3</v>
      </c>
      <c r="H34" s="196">
        <f t="shared" si="3"/>
        <v>387173.22062084579</v>
      </c>
      <c r="I34" s="198">
        <f t="shared" si="4"/>
        <v>121.94559684149766</v>
      </c>
      <c r="J34" s="194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446514.32</v>
      </c>
      <c r="K34" s="203">
        <f t="shared" si="1"/>
        <v>9.6666952436621854E-3</v>
      </c>
      <c r="L34" s="196">
        <f t="shared" si="5"/>
        <v>258155.58000000002</v>
      </c>
      <c r="M34" s="198">
        <f t="shared" si="6"/>
        <v>57.815744856738291</v>
      </c>
      <c r="BD34" s="100"/>
      <c r="BE34" s="100"/>
      <c r="BF34" s="99"/>
      <c r="BG34" s="116"/>
      <c r="BH34" s="116"/>
      <c r="BI34" s="116"/>
      <c r="BJ34" s="115"/>
    </row>
    <row r="35" spans="1:62" ht="13.5" customHeight="1" thickBot="1">
      <c r="B35" s="80">
        <v>74</v>
      </c>
      <c r="C35" s="93" t="s">
        <v>122</v>
      </c>
      <c r="D35" s="194">
        <f>'Cental Budget'!D34+'Local Government'!D25</f>
        <v>15605224.949999999</v>
      </c>
      <c r="E35" s="203">
        <f>D35/D$11*100</f>
        <v>0.32588282483398068</v>
      </c>
      <c r="F35" s="194">
        <f>+IF(ISNUMBER(VLOOKUP($B35,'Cental Budget'!$B$16:$K$77,'Public Expenditure'!F$1,FALSE)),VLOOKUP($B35,'Cental Budget'!$B$16:$K$77,'Public Expenditure'!F$1,FALSE),0)+IF(ISNUMBER(VLOOKUP('Public Expenditure'!$B35,'Local Government'!$B$16:$M$60,'Public Expenditure'!F$1,FALSE)),VLOOKUP('Public Expenditure'!$B35,'Local Government'!$B$16:$M$60,'Public Expenditure'!F$1,FALSE),0)</f>
        <v>17946596.716186255</v>
      </c>
      <c r="G35" s="203">
        <f t="shared" si="2"/>
        <v>0.37477752821672838</v>
      </c>
      <c r="H35" s="196">
        <f t="shared" si="3"/>
        <v>-2341371.766186256</v>
      </c>
      <c r="I35" s="198">
        <f t="shared" si="4"/>
        <v>-13.046327407995662</v>
      </c>
      <c r="J35" s="194">
        <f>+IF(ISNUMBER(VLOOKUP($B35,'Cental Budget'!$B$16:$K$77,'Public Expenditure'!J$1,FALSE)),VLOOKUP($B35,'Cental Budget'!$B$16:$K$77,'Public Expenditure'!J$1,FALSE),0)+IF(ISNUMBER(VLOOKUP('Public Expenditure'!$B35,'Local Government'!$B$16:$M$60,'Public Expenditure'!J$1,FALSE)),VLOOKUP('Public Expenditure'!$B35,'Local Government'!$B$16:$M$60,'Public Expenditure'!J$1,FALSE),0)</f>
        <v>3875211.48</v>
      </c>
      <c r="K35" s="203">
        <f>J35/J$11*100</f>
        <v>8.3895379619406379E-2</v>
      </c>
      <c r="L35" s="196">
        <f t="shared" si="5"/>
        <v>11730013.469999999</v>
      </c>
      <c r="M35" s="198">
        <f t="shared" si="6"/>
        <v>302.69350538773693</v>
      </c>
      <c r="BE35" s="130"/>
      <c r="BF35" s="130"/>
      <c r="BG35" s="116"/>
      <c r="BH35" s="116"/>
      <c r="BI35" s="116"/>
      <c r="BJ35" s="115"/>
    </row>
    <row r="36" spans="1:62" ht="15" customHeight="1" thickTop="1" thickBot="1">
      <c r="B36" s="102"/>
      <c r="C36" s="139" t="s">
        <v>234</v>
      </c>
      <c r="D36" s="204">
        <f>+D38+D48+D54+SUM(D55:D59)</f>
        <v>487979099.25300002</v>
      </c>
      <c r="E36" s="193">
        <f t="shared" si="0"/>
        <v>10.19043351403333</v>
      </c>
      <c r="F36" s="204">
        <f>+F38+F48+F54+SUM(F55:F60)</f>
        <v>550330084.32067728</v>
      </c>
      <c r="G36" s="193">
        <f t="shared" si="2"/>
        <v>11.492504788887718</v>
      </c>
      <c r="H36" s="204">
        <f t="shared" si="3"/>
        <v>-62350985.067677259</v>
      </c>
      <c r="I36" s="193">
        <f t="shared" si="4"/>
        <v>-11.329743156717072</v>
      </c>
      <c r="J36" s="204">
        <f>+J38+J48+J54+SUM(J55:J59)</f>
        <v>427418425.02900004</v>
      </c>
      <c r="K36" s="193">
        <f t="shared" si="1"/>
        <v>9.2532836489575896</v>
      </c>
      <c r="L36" s="204">
        <f t="shared" si="5"/>
        <v>60560674.223999977</v>
      </c>
      <c r="M36" s="193">
        <f t="shared" si="6"/>
        <v>14.168943283128456</v>
      </c>
      <c r="N36" s="169"/>
      <c r="O36" s="169"/>
      <c r="BE36" s="81"/>
      <c r="BF36" s="81"/>
      <c r="BG36" s="116"/>
      <c r="BH36" s="116"/>
      <c r="BI36" s="116"/>
      <c r="BJ36" s="115"/>
    </row>
    <row r="37" spans="1:62" ht="13.5" customHeight="1" thickTop="1" thickBot="1">
      <c r="C37" s="139" t="s">
        <v>279</v>
      </c>
      <c r="D37" s="204">
        <f>+D36-D55</f>
        <v>437065210.98300004</v>
      </c>
      <c r="E37" s="193">
        <f t="shared" si="0"/>
        <v>9.127202334356598</v>
      </c>
      <c r="F37" s="204">
        <f>+F36-F55</f>
        <v>465095082.1269806</v>
      </c>
      <c r="G37" s="193">
        <f t="shared" si="2"/>
        <v>9.7125481795719129</v>
      </c>
      <c r="H37" s="204">
        <f t="shared" si="3"/>
        <v>-28029871.143980563</v>
      </c>
      <c r="I37" s="193">
        <f t="shared" si="4"/>
        <v>-6.0266969531894148</v>
      </c>
      <c r="J37" s="204">
        <f>+J36-J55</f>
        <v>405530453.56900007</v>
      </c>
      <c r="K37" s="193">
        <f t="shared" si="1"/>
        <v>8.7794257229546897</v>
      </c>
      <c r="L37" s="204">
        <f t="shared" si="5"/>
        <v>31534757.413999975</v>
      </c>
      <c r="M37" s="193">
        <f t="shared" si="6"/>
        <v>7.7761749176833206</v>
      </c>
      <c r="BE37" s="130"/>
      <c r="BF37" s="130"/>
      <c r="BG37" s="116"/>
      <c r="BH37" s="116"/>
      <c r="BI37" s="116"/>
      <c r="BJ37" s="115"/>
    </row>
    <row r="38" spans="1:62" ht="13.5" customHeight="1" thickTop="1">
      <c r="A38" s="80">
        <v>41</v>
      </c>
      <c r="B38" s="80">
        <v>41</v>
      </c>
      <c r="C38" s="93" t="s">
        <v>62</v>
      </c>
      <c r="D38" s="205">
        <f>+SUM(D39:D47)</f>
        <v>211927844.09299996</v>
      </c>
      <c r="E38" s="203">
        <f t="shared" si="0"/>
        <v>4.4256743952929867</v>
      </c>
      <c r="F38" s="205">
        <f>+SUM(F39:F47)</f>
        <v>245555368.66219807</v>
      </c>
      <c r="G38" s="203">
        <f t="shared" si="2"/>
        <v>5.1279156467902531</v>
      </c>
      <c r="H38" s="206">
        <f t="shared" si="3"/>
        <v>-33627524.569198102</v>
      </c>
      <c r="I38" s="198">
        <f t="shared" si="4"/>
        <v>-13.694477442054335</v>
      </c>
      <c r="J38" s="205">
        <f>+SUM(J39:J47)</f>
        <v>213351532.43899998</v>
      </c>
      <c r="K38" s="203">
        <f t="shared" si="1"/>
        <v>4.6188983230282945</v>
      </c>
      <c r="L38" s="206">
        <f t="shared" si="5"/>
        <v>-1423688.3460000157</v>
      </c>
      <c r="M38" s="198">
        <f t="shared" si="6"/>
        <v>-0.66729698621081468</v>
      </c>
      <c r="BE38" s="130"/>
      <c r="BF38" s="130"/>
      <c r="BG38" s="116"/>
      <c r="BH38" s="116"/>
      <c r="BI38" s="116"/>
      <c r="BJ38" s="115"/>
    </row>
    <row r="39" spans="1:62" ht="13.5" customHeight="1">
      <c r="B39" s="80">
        <v>411</v>
      </c>
      <c r="C39" s="93" t="s">
        <v>63</v>
      </c>
      <c r="D39" s="194">
        <f>'Cental Budget'!D38+'Local Government'!D29</f>
        <v>126258574.72999999</v>
      </c>
      <c r="E39" s="203">
        <f t="shared" si="0"/>
        <v>2.636649014952178</v>
      </c>
      <c r="F39" s="194">
        <f>'Cental Budget'!F38+'Local Government'!F29</f>
        <v>126750777.78128055</v>
      </c>
      <c r="G39" s="203">
        <f t="shared" si="2"/>
        <v>2.6469276569619624</v>
      </c>
      <c r="H39" s="196">
        <f t="shared" si="3"/>
        <v>-492203.05128055811</v>
      </c>
      <c r="I39" s="198">
        <f t="shared" si="4"/>
        <v>-0.38832349583675807</v>
      </c>
      <c r="J39" s="194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120306847.82000001</v>
      </c>
      <c r="K39" s="203">
        <f t="shared" si="1"/>
        <v>2.6045517053105587</v>
      </c>
      <c r="L39" s="196">
        <f t="shared" si="5"/>
        <v>5951726.9099999815</v>
      </c>
      <c r="M39" s="198">
        <f t="shared" si="6"/>
        <v>4.9471223108636337</v>
      </c>
      <c r="BE39" s="130"/>
      <c r="BF39" s="130"/>
      <c r="BG39" s="116"/>
      <c r="BH39" s="116"/>
      <c r="BI39" s="116"/>
      <c r="BJ39" s="115"/>
    </row>
    <row r="40" spans="1:62" ht="13.5" customHeight="1">
      <c r="B40" s="80">
        <v>412</v>
      </c>
      <c r="C40" s="93" t="s">
        <v>74</v>
      </c>
      <c r="D40" s="194">
        <f>'Cental Budget'!D39+'Local Government'!D30</f>
        <v>2959466.89</v>
      </c>
      <c r="E40" s="203">
        <f t="shared" si="0"/>
        <v>6.1802340767656526E-2</v>
      </c>
      <c r="F40" s="194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4456310.595643118</v>
      </c>
      <c r="G40" s="203">
        <f t="shared" si="2"/>
        <v>9.3060823531786283E-2</v>
      </c>
      <c r="H40" s="196">
        <f t="shared" si="3"/>
        <v>-1496843.7056431179</v>
      </c>
      <c r="I40" s="198">
        <f t="shared" si="4"/>
        <v>-33.589303831437704</v>
      </c>
      <c r="J40" s="194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2790499.32</v>
      </c>
      <c r="K40" s="203">
        <f t="shared" si="1"/>
        <v>6.0412186789634344E-2</v>
      </c>
      <c r="L40" s="196">
        <f>+D40-J40</f>
        <v>168967.5700000003</v>
      </c>
      <c r="M40" s="198">
        <f t="shared" si="6"/>
        <v>6.0551016367923864</v>
      </c>
      <c r="BE40" s="130"/>
      <c r="BF40" s="130"/>
      <c r="BG40" s="116"/>
      <c r="BH40" s="116"/>
      <c r="BI40" s="116"/>
      <c r="BJ40" s="115"/>
    </row>
    <row r="41" spans="1:62" ht="13.5" customHeight="1">
      <c r="B41" s="80">
        <v>413</v>
      </c>
      <c r="C41" s="93" t="s">
        <v>76</v>
      </c>
      <c r="D41" s="194">
        <f>'Cental Budget'!D40+'Local Government'!D31</f>
        <v>21004429.009999998</v>
      </c>
      <c r="E41" s="203">
        <f t="shared" si="0"/>
        <v>0.43863402685544833</v>
      </c>
      <c r="F41" s="194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29261999.269609727</v>
      </c>
      <c r="G41" s="203">
        <f t="shared" si="2"/>
        <v>0.61107629097460059</v>
      </c>
      <c r="H41" s="196">
        <f t="shared" si="3"/>
        <v>-8257570.2596097291</v>
      </c>
      <c r="I41" s="198">
        <f t="shared" si="4"/>
        <v>-28.219432935963781</v>
      </c>
      <c r="J41" s="194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18999512.469000001</v>
      </c>
      <c r="K41" s="203">
        <f t="shared" si="1"/>
        <v>0.41132498688056118</v>
      </c>
      <c r="L41" s="196">
        <f t="shared" si="5"/>
        <v>2004916.5409999974</v>
      </c>
      <c r="M41" s="198">
        <f t="shared" si="6"/>
        <v>10.552463092257042</v>
      </c>
      <c r="BE41" s="130"/>
      <c r="BF41" s="130"/>
      <c r="BG41" s="116"/>
      <c r="BH41" s="116"/>
      <c r="BI41" s="116"/>
      <c r="BJ41" s="115"/>
    </row>
    <row r="42" spans="1:62" ht="13.5" customHeight="1">
      <c r="B42" s="80">
        <v>415</v>
      </c>
      <c r="C42" s="93" t="s">
        <v>430</v>
      </c>
      <c r="D42" s="194">
        <f>'Cental Budget'!D41+'Local Government'!D32</f>
        <v>4100432.1529999995</v>
      </c>
      <c r="E42" s="203">
        <f t="shared" si="0"/>
        <v>8.5629038821367395E-2</v>
      </c>
      <c r="F42" s="194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6530864.9244563598</v>
      </c>
      <c r="G42" s="203">
        <f t="shared" si="2"/>
        <v>0.13638359696897548</v>
      </c>
      <c r="H42" s="196">
        <f t="shared" si="3"/>
        <v>-2430432.7714563604</v>
      </c>
      <c r="I42" s="198">
        <f t="shared" si="4"/>
        <v>-37.21456192356748</v>
      </c>
      <c r="J42" s="194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3936940.28</v>
      </c>
      <c r="K42" s="203">
        <f t="shared" si="1"/>
        <v>8.5231761165595027E-2</v>
      </c>
      <c r="L42" s="196">
        <f t="shared" si="5"/>
        <v>163491.87299999967</v>
      </c>
      <c r="M42" s="198">
        <f t="shared" si="6"/>
        <v>4.1527648725217574</v>
      </c>
      <c r="BE42" s="130"/>
      <c r="BF42" s="130"/>
      <c r="BG42" s="116"/>
      <c r="BH42" s="116"/>
      <c r="BI42" s="116"/>
      <c r="BJ42" s="115"/>
    </row>
    <row r="43" spans="1:62" ht="13.5" customHeight="1">
      <c r="B43" s="80">
        <v>416</v>
      </c>
      <c r="C43" s="93" t="s">
        <v>79</v>
      </c>
      <c r="D43" s="194">
        <f>'Cental Budget'!D42+'Local Government'!D33</f>
        <v>36491150.579999998</v>
      </c>
      <c r="E43" s="203">
        <f t="shared" si="0"/>
        <v>0.76204215386543039</v>
      </c>
      <c r="F43" s="194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37927823.905940481</v>
      </c>
      <c r="G43" s="203">
        <f t="shared" si="2"/>
        <v>0.79204410278453996</v>
      </c>
      <c r="H43" s="196">
        <f t="shared" si="3"/>
        <v>-1436673.3259404823</v>
      </c>
      <c r="I43" s="198">
        <f t="shared" si="4"/>
        <v>-3.7879139322714082</v>
      </c>
      <c r="J43" s="194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45704363.560000002</v>
      </c>
      <c r="K43" s="203">
        <f t="shared" si="1"/>
        <v>0.98946469139009774</v>
      </c>
      <c r="L43" s="196">
        <f t="shared" si="5"/>
        <v>-9213212.9800000042</v>
      </c>
      <c r="M43" s="198">
        <f t="shared" si="6"/>
        <v>-20.158278690184659</v>
      </c>
      <c r="BE43" s="130"/>
      <c r="BF43" s="130"/>
      <c r="BG43" s="116"/>
      <c r="BH43" s="116"/>
      <c r="BI43" s="116"/>
      <c r="BJ43" s="115"/>
    </row>
    <row r="44" spans="1:62" ht="13.5" customHeight="1">
      <c r="B44" s="80">
        <v>417</v>
      </c>
      <c r="C44" s="93" t="s">
        <v>81</v>
      </c>
      <c r="D44" s="194">
        <f>'Cental Budget'!D43+'Local Government'!D34</f>
        <v>1978502.1300000001</v>
      </c>
      <c r="E44" s="203">
        <f t="shared" si="0"/>
        <v>4.131692206490415E-2</v>
      </c>
      <c r="F44" s="194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2485228.4544707839</v>
      </c>
      <c r="G44" s="203">
        <f t="shared" si="2"/>
        <v>5.1898852576343482E-2</v>
      </c>
      <c r="H44" s="196">
        <f t="shared" si="3"/>
        <v>-506726.32447078382</v>
      </c>
      <c r="I44" s="198">
        <f t="shared" si="4"/>
        <v>-20.389526908852673</v>
      </c>
      <c r="J44" s="194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1890967.6300000001</v>
      </c>
      <c r="K44" s="203">
        <f t="shared" si="1"/>
        <v>4.0938010218440825E-2</v>
      </c>
      <c r="L44" s="196">
        <f t="shared" si="5"/>
        <v>87534.5</v>
      </c>
      <c r="M44" s="198">
        <f t="shared" si="6"/>
        <v>4.6290850573682292</v>
      </c>
      <c r="BE44" s="130"/>
      <c r="BF44" s="130"/>
      <c r="BG44" s="116"/>
      <c r="BH44" s="116"/>
      <c r="BI44" s="116"/>
      <c r="BJ44" s="115"/>
    </row>
    <row r="45" spans="1:62" ht="13.5" customHeight="1">
      <c r="B45" s="80">
        <v>418</v>
      </c>
      <c r="C45" s="93" t="s">
        <v>83</v>
      </c>
      <c r="D45" s="194">
        <f>'Cental Budget'!D44+'Local Government'!D35</f>
        <v>5562444.3499999996</v>
      </c>
      <c r="E45" s="203">
        <f t="shared" si="0"/>
        <v>0.11616013761851063</v>
      </c>
      <c r="F45" s="194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9518378.4570745807</v>
      </c>
      <c r="G45" s="203">
        <f t="shared" si="2"/>
        <v>0.19877163381937479</v>
      </c>
      <c r="H45" s="196">
        <f t="shared" si="3"/>
        <v>-3955934.1070745811</v>
      </c>
      <c r="I45" s="198">
        <f t="shared" si="4"/>
        <v>-41.561008788574838</v>
      </c>
      <c r="J45" s="194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6039557.1199999992</v>
      </c>
      <c r="K45" s="203">
        <f t="shared" si="1"/>
        <v>0.13075181572167735</v>
      </c>
      <c r="L45" s="196">
        <f t="shared" si="5"/>
        <v>-477112.76999999955</v>
      </c>
      <c r="M45" s="198">
        <f t="shared" si="6"/>
        <v>-7.8997972950705275</v>
      </c>
      <c r="BE45" s="130"/>
      <c r="BF45" s="130"/>
      <c r="BG45" s="116"/>
      <c r="BH45" s="116"/>
      <c r="BI45" s="116"/>
      <c r="BJ45" s="115"/>
    </row>
    <row r="46" spans="1:62" ht="13.5" customHeight="1">
      <c r="B46" s="80">
        <v>419</v>
      </c>
      <c r="C46" s="93" t="s">
        <v>85</v>
      </c>
      <c r="D46" s="194">
        <f>'Cental Budget'!D45+'Local Government'!D36</f>
        <v>7414097.04</v>
      </c>
      <c r="E46" s="203">
        <f t="shared" si="0"/>
        <v>0.15482807167021675</v>
      </c>
      <c r="F46" s="194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13496804.621222477</v>
      </c>
      <c r="G46" s="203">
        <f t="shared" si="2"/>
        <v>0.2818528300802422</v>
      </c>
      <c r="H46" s="196">
        <f t="shared" si="3"/>
        <v>-6082707.5812224774</v>
      </c>
      <c r="I46" s="198">
        <f t="shared" si="4"/>
        <v>-45.067760495384093</v>
      </c>
      <c r="J46" s="194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6764683.5099999998</v>
      </c>
      <c r="K46" s="203">
        <f t="shared" si="1"/>
        <v>0.14645025026520317</v>
      </c>
      <c r="L46" s="196">
        <f t="shared" si="5"/>
        <v>649413.53000000026</v>
      </c>
      <c r="M46" s="198">
        <f t="shared" si="6"/>
        <v>9.6000578451304506</v>
      </c>
      <c r="BE46" s="130"/>
      <c r="BF46" s="130"/>
      <c r="BG46" s="116"/>
      <c r="BH46" s="116"/>
      <c r="BI46" s="116"/>
      <c r="BJ46" s="115"/>
    </row>
    <row r="47" spans="1:62" ht="13.5" customHeight="1">
      <c r="B47" s="80">
        <v>441</v>
      </c>
      <c r="C47" s="93" t="s">
        <v>129</v>
      </c>
      <c r="D47" s="194">
        <f>'Cental Budget'!D46</f>
        <v>6158747.21</v>
      </c>
      <c r="E47" s="203">
        <f t="shared" si="0"/>
        <v>0.12861268867727518</v>
      </c>
      <c r="F47" s="194">
        <f>+IF(ISNUMBER(VLOOKUP($B47,'Cental Budget'!$B$16:$K$77,'Public Expenditure'!F$1,FALSE)),VLOOKUP($B47,'Cental Budget'!$B$16:$K$77,'Public Expenditure'!F$1,FALSE),0)+IF(ISNUMBER(VLOOKUP('Public Expenditure'!$B47,'Local Government'!$B$16:$M$60,'Public Expenditure'!F$1,FALSE)),VLOOKUP('Public Expenditure'!$B47,'Local Government'!$B$16:$M$60,'Public Expenditure'!F$1,FALSE),0)</f>
        <v>15127180.652500004</v>
      </c>
      <c r="G47" s="203">
        <f t="shared" si="2"/>
        <v>0.3158998590924279</v>
      </c>
      <c r="H47" s="196">
        <f>+D47-F47</f>
        <v>-8968433.4425000027</v>
      </c>
      <c r="I47" s="198">
        <f t="shared" si="4"/>
        <v>-59.286880011033844</v>
      </c>
      <c r="J47" s="194">
        <f>+IF(ISNUMBER(VLOOKUP($B47,'Cental Budget'!$B$16:$K$77,'Public Expenditure'!J$1,FALSE)),VLOOKUP($B47,'Cental Budget'!$B$16:$K$77,'Public Expenditure'!J$1,FALSE),0)+IF(ISNUMBER(VLOOKUP('Public Expenditure'!$B47,'Local Government'!$B$16:$M$60,'Public Expenditure'!J$1,FALSE)),VLOOKUP('Public Expenditure'!$B47,'Local Government'!$B$16:$M$60,'Public Expenditure'!J$1,FALSE),0)</f>
        <v>6918160.7300000004</v>
      </c>
      <c r="K47" s="203">
        <f t="shared" si="1"/>
        <v>0.14977291528652767</v>
      </c>
      <c r="L47" s="196">
        <f t="shared" si="5"/>
        <v>-759413.52000000048</v>
      </c>
      <c r="M47" s="198">
        <f t="shared" si="6"/>
        <v>-10.977101423892478</v>
      </c>
      <c r="BE47" s="130"/>
      <c r="BF47" s="130"/>
      <c r="BG47" s="116"/>
      <c r="BH47" s="116"/>
      <c r="BI47" s="116"/>
      <c r="BJ47" s="115"/>
    </row>
    <row r="48" spans="1:62" ht="13.5" customHeight="1">
      <c r="A48" s="80">
        <v>42</v>
      </c>
      <c r="B48" s="80">
        <v>42</v>
      </c>
      <c r="C48" s="93" t="s">
        <v>86</v>
      </c>
      <c r="D48" s="205">
        <f>'Cental Budget'!D47+'Local Government'!D37</f>
        <v>134627567.22000003</v>
      </c>
      <c r="E48" s="203">
        <f t="shared" si="0"/>
        <v>2.8114181017416371</v>
      </c>
      <c r="F48" s="205">
        <f>SUM(F49:F53)</f>
        <v>138674295.03040341</v>
      </c>
      <c r="G48" s="203">
        <f t="shared" si="2"/>
        <v>2.8959256365201398</v>
      </c>
      <c r="H48" s="206">
        <f t="shared" si="3"/>
        <v>-4046727.8104033768</v>
      </c>
      <c r="I48" s="198">
        <f t="shared" si="4"/>
        <v>-2.9181527906928579</v>
      </c>
      <c r="J48" s="205">
        <f>SUM(J49:J53)</f>
        <v>133047606.24000001</v>
      </c>
      <c r="K48" s="203">
        <f t="shared" si="1"/>
        <v>2.8803794297590444</v>
      </c>
      <c r="L48" s="206">
        <f t="shared" si="5"/>
        <v>1579960.9800000191</v>
      </c>
      <c r="M48" s="198">
        <f t="shared" si="6"/>
        <v>1.1875155251947831</v>
      </c>
      <c r="BE48" s="130"/>
      <c r="BF48" s="130"/>
      <c r="BG48" s="116"/>
      <c r="BH48" s="116"/>
      <c r="BI48" s="116"/>
      <c r="BJ48" s="115"/>
    </row>
    <row r="49" spans="1:62" ht="13.5" customHeight="1">
      <c r="B49" s="80">
        <v>421</v>
      </c>
      <c r="C49" s="97" t="s">
        <v>88</v>
      </c>
      <c r="D49" s="199">
        <f>'Cental Budget'!D48+'Local Government'!D38</f>
        <v>19487788.809999999</v>
      </c>
      <c r="E49" s="200">
        <f t="shared" si="0"/>
        <v>0.40696213527962244</v>
      </c>
      <c r="F49" s="199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20303670.500403438</v>
      </c>
      <c r="G49" s="200">
        <f t="shared" si="2"/>
        <v>0.42400013574747186</v>
      </c>
      <c r="H49" s="201">
        <f t="shared" si="3"/>
        <v>-815881.6904034391</v>
      </c>
      <c r="I49" s="202">
        <f t="shared" si="4"/>
        <v>-4.0183950502310779</v>
      </c>
      <c r="J49" s="199">
        <f>'Cental Budget'!J48+'Local Government'!J38</f>
        <v>19423607.439999998</v>
      </c>
      <c r="K49" s="200">
        <f t="shared" si="1"/>
        <v>0.42050632027884216</v>
      </c>
      <c r="L49" s="201">
        <f t="shared" si="5"/>
        <v>64181.370000001043</v>
      </c>
      <c r="M49" s="202">
        <f t="shared" si="6"/>
        <v>0.33042971136158883</v>
      </c>
      <c r="BE49" s="130"/>
      <c r="BF49" s="130"/>
      <c r="BG49" s="116"/>
      <c r="BH49" s="116"/>
      <c r="BI49" s="116"/>
      <c r="BJ49" s="115"/>
    </row>
    <row r="50" spans="1:62" ht="13.5" customHeight="1">
      <c r="B50" s="80">
        <v>422</v>
      </c>
      <c r="C50" s="97" t="s">
        <v>90</v>
      </c>
      <c r="D50" s="199">
        <f>'Cental Budget'!D49</f>
        <v>2353459.4900000002</v>
      </c>
      <c r="E50" s="200">
        <f t="shared" si="0"/>
        <v>4.9147130476548472E-2</v>
      </c>
      <c r="F50" s="199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3708095.540000001</v>
      </c>
      <c r="G50" s="200">
        <f t="shared" si="2"/>
        <v>7.7435900680783556E-2</v>
      </c>
      <c r="H50" s="201">
        <f t="shared" si="3"/>
        <v>-1354636.0500000007</v>
      </c>
      <c r="I50" s="202">
        <f t="shared" si="4"/>
        <v>-36.531854030923924</v>
      </c>
      <c r="J50" s="199">
        <f>'Cental Budget'!J49</f>
        <v>2533074.92</v>
      </c>
      <c r="K50" s="200">
        <f t="shared" si="1"/>
        <v>5.483914442207357E-2</v>
      </c>
      <c r="L50" s="201">
        <f t="shared" si="5"/>
        <v>-179615.4299999997</v>
      </c>
      <c r="M50" s="202">
        <f t="shared" si="6"/>
        <v>-7.0908060626963021</v>
      </c>
      <c r="BE50" s="130"/>
      <c r="BF50" s="130"/>
      <c r="BG50" s="116"/>
      <c r="BH50" s="116"/>
      <c r="BI50" s="116"/>
      <c r="BJ50" s="115"/>
    </row>
    <row r="51" spans="1:62" ht="13.5" customHeight="1">
      <c r="B51" s="80">
        <v>423</v>
      </c>
      <c r="C51" s="97" t="s">
        <v>92</v>
      </c>
      <c r="D51" s="199">
        <f>+'Cental Budget'!D50</f>
        <v>105274997.91</v>
      </c>
      <c r="E51" s="200">
        <f t="shared" si="0"/>
        <v>2.1984504429269514</v>
      </c>
      <c r="F51" s="199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107256253.67999998</v>
      </c>
      <c r="G51" s="200">
        <f t="shared" si="2"/>
        <v>2.2398248690640266</v>
      </c>
      <c r="H51" s="201">
        <f t="shared" si="3"/>
        <v>-1981255.7699999809</v>
      </c>
      <c r="I51" s="202">
        <f t="shared" si="4"/>
        <v>-1.8472170172110225</v>
      </c>
      <c r="J51" s="199">
        <f>'Cental Budget'!J50</f>
        <v>103543189.69</v>
      </c>
      <c r="K51" s="200">
        <f t="shared" si="1"/>
        <v>2.2416312634495896</v>
      </c>
      <c r="L51" s="201">
        <f t="shared" si="5"/>
        <v>1731808.2199999988</v>
      </c>
      <c r="M51" s="202">
        <f t="shared" si="6"/>
        <v>1.6725467171572461</v>
      </c>
      <c r="BE51" s="130"/>
      <c r="BF51" s="130"/>
      <c r="BG51" s="116"/>
      <c r="BH51" s="116"/>
      <c r="BI51" s="116"/>
      <c r="BJ51" s="115"/>
    </row>
    <row r="52" spans="1:62" ht="13.5" customHeight="1">
      <c r="B52" s="80">
        <v>424</v>
      </c>
      <c r="C52" s="97" t="s">
        <v>94</v>
      </c>
      <c r="D52" s="199">
        <f>+'Cental Budget'!D51</f>
        <v>4862177.43</v>
      </c>
      <c r="E52" s="200">
        <f t="shared" si="0"/>
        <v>0.1015365123418118</v>
      </c>
      <c r="F52" s="199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4750025.0599999987</v>
      </c>
      <c r="G52" s="200">
        <f t="shared" si="2"/>
        <v>9.9194442216931841E-2</v>
      </c>
      <c r="H52" s="201">
        <f t="shared" si="3"/>
        <v>112152.37000000104</v>
      </c>
      <c r="I52" s="202">
        <f t="shared" si="4"/>
        <v>2.3610900697016604</v>
      </c>
      <c r="J52" s="199">
        <f>'Cental Budget'!J51</f>
        <v>5337014.82</v>
      </c>
      <c r="K52" s="200">
        <f t="shared" si="1"/>
        <v>0.11554230954081966</v>
      </c>
      <c r="L52" s="201">
        <f t="shared" si="5"/>
        <v>-474837.3900000006</v>
      </c>
      <c r="M52" s="202">
        <f t="shared" si="6"/>
        <v>-8.8970596113128408</v>
      </c>
      <c r="BE52" s="130"/>
      <c r="BF52" s="130"/>
      <c r="BG52" s="116"/>
      <c r="BH52" s="116"/>
      <c r="BI52" s="116"/>
      <c r="BJ52" s="115"/>
    </row>
    <row r="53" spans="1:62" ht="13.5" customHeight="1">
      <c r="B53" s="80">
        <v>425</v>
      </c>
      <c r="C53" s="97" t="s">
        <v>431</v>
      </c>
      <c r="D53" s="199">
        <f>+'Cental Budget'!D52</f>
        <v>2649143.58</v>
      </c>
      <c r="E53" s="200">
        <f t="shared" si="0"/>
        <v>5.5321880716702167E-2</v>
      </c>
      <c r="F53" s="199">
        <f>+IF(ISNUMBER(VLOOKUP($B53,'Cental Budget'!$B$16:$K$77,'Public Expenditure'!F$1,FALSE)),VLOOKUP($B53,'Cental Budget'!$B$16:$K$77,'Public Expenditure'!F$1,FALSE),0)+IF(ISNUMBER(VLOOKUP('Public Expenditure'!$B53,'Local Government'!$B$16:$M$60,'Public Expenditure'!F$1,FALSE)),VLOOKUP('Public Expenditure'!$B53,'Local Government'!$B$16:$M$60,'Public Expenditure'!F$1,FALSE),0)</f>
        <v>2656250.25</v>
      </c>
      <c r="G53" s="200">
        <f t="shared" si="2"/>
        <v>5.5470288810925958E-2</v>
      </c>
      <c r="H53" s="201">
        <f t="shared" si="3"/>
        <v>-7106.6699999999255</v>
      </c>
      <c r="I53" s="202">
        <f t="shared" si="4"/>
        <v>-0.26754519834868518</v>
      </c>
      <c r="J53" s="199">
        <f>'Cental Budget'!J52</f>
        <v>2210719.37</v>
      </c>
      <c r="K53" s="200">
        <f t="shared" si="1"/>
        <v>4.7860392067718818E-2</v>
      </c>
      <c r="L53" s="201">
        <f t="shared" si="5"/>
        <v>438424.20999999996</v>
      </c>
      <c r="M53" s="202">
        <f t="shared" si="6"/>
        <v>19.831744180176059</v>
      </c>
      <c r="BE53" s="130"/>
      <c r="BF53" s="130"/>
      <c r="BG53" s="116"/>
      <c r="BH53" s="116"/>
      <c r="BI53" s="116"/>
      <c r="BJ53" s="115"/>
    </row>
    <row r="54" spans="1:62" ht="13.5" customHeight="1" thickBot="1">
      <c r="A54" s="80">
        <v>43</v>
      </c>
      <c r="B54" s="80">
        <v>43</v>
      </c>
      <c r="C54" s="93" t="s">
        <v>432</v>
      </c>
      <c r="D54" s="205">
        <f>+'Cental Budget'!D53+'Local Government'!D39</f>
        <v>60787634.789999999</v>
      </c>
      <c r="E54" s="203">
        <f t="shared" si="0"/>
        <v>1.2694239399824583</v>
      </c>
      <c r="F54" s="205">
        <f>+'Cental Budget'!F53+'Local Government'!F39</f>
        <v>70239603.020052254</v>
      </c>
      <c r="G54" s="203">
        <f t="shared" si="2"/>
        <v>1.4668087336601983</v>
      </c>
      <c r="H54" s="206">
        <f t="shared" si="3"/>
        <v>-9451968.2300522551</v>
      </c>
      <c r="I54" s="198">
        <f t="shared" si="4"/>
        <v>-13.456750641591569</v>
      </c>
      <c r="J54" s="205">
        <f>+'Cental Budget'!J53+'Local Government'!J39</f>
        <v>49453363.57</v>
      </c>
      <c r="K54" s="203">
        <f t="shared" si="1"/>
        <v>1.0706276887272412</v>
      </c>
      <c r="L54" s="206">
        <f t="shared" si="5"/>
        <v>11334271.219999999</v>
      </c>
      <c r="M54" s="198">
        <f t="shared" si="6"/>
        <v>22.919110858772271</v>
      </c>
      <c r="BE54" s="130"/>
      <c r="BF54" s="130"/>
      <c r="BG54" s="116"/>
      <c r="BH54" s="116"/>
      <c r="BI54" s="116"/>
      <c r="BJ54" s="115"/>
    </row>
    <row r="55" spans="1:62" ht="13.5" customHeight="1" thickTop="1" thickBot="1">
      <c r="B55" s="80">
        <v>44</v>
      </c>
      <c r="C55" s="139" t="s">
        <v>130</v>
      </c>
      <c r="D55" s="207">
        <f>'Cental Budget'!D56+'Local Government'!D40</f>
        <v>50913888.270000003</v>
      </c>
      <c r="E55" s="193">
        <f t="shared" si="0"/>
        <v>1.0632311796767322</v>
      </c>
      <c r="F55" s="207">
        <f>+IF(ISNUMBER(VLOOKUP($B55,'Cental Budget'!$B$16:$K$77,'Public Expenditure'!F$1,FALSE)),VLOOKUP($B55,'Cental Budget'!$B$16:$K$77,'Public Expenditure'!F$1,FALSE),0)+IF(ISNUMBER(VLOOKUP('Public Expenditure'!$B55,'Local Government'!$B$16:$M$60,'Public Expenditure'!F$1,FALSE)),VLOOKUP('Public Expenditure'!$B55,'Local Government'!$B$16:$M$60,'Public Expenditure'!F$1,FALSE),0)</f>
        <v>85235002.193696678</v>
      </c>
      <c r="G55" s="193">
        <f t="shared" si="2"/>
        <v>1.7799566093158057</v>
      </c>
      <c r="H55" s="207">
        <f t="shared" si="3"/>
        <v>-34321113.923696674</v>
      </c>
      <c r="I55" s="193">
        <f t="shared" si="4"/>
        <v>-40.266455142104519</v>
      </c>
      <c r="J55" s="207">
        <f>+IF(ISNUMBER(VLOOKUP($B55,'Cental Budget'!$B$16:$K$77,'Public Expenditure'!J$1,FALSE)),VLOOKUP($B55,'Cental Budget'!$B$16:$K$77,'Public Expenditure'!J$1,FALSE),0)+IF(ISNUMBER(VLOOKUP('Public Expenditure'!$B55,'Local Government'!$B$16:$M$60,'Public Expenditure'!J$1,FALSE)),VLOOKUP('Public Expenditure'!$B55,'Local Government'!$B$16:$M$60,'Public Expenditure'!J$1,FALSE),0)</f>
        <v>21887971.460000001</v>
      </c>
      <c r="K55" s="193">
        <f t="shared" si="1"/>
        <v>0.473857926002901</v>
      </c>
      <c r="L55" s="207">
        <f t="shared" si="5"/>
        <v>29025916.810000002</v>
      </c>
      <c r="M55" s="193">
        <f t="shared" si="6"/>
        <v>132.61126945018412</v>
      </c>
      <c r="BE55" s="130"/>
      <c r="BF55" s="130"/>
      <c r="BG55" s="116"/>
      <c r="BH55" s="116"/>
      <c r="BI55" s="116"/>
      <c r="BJ55" s="115"/>
    </row>
    <row r="56" spans="1:62" ht="13.5" customHeight="1" thickTop="1">
      <c r="B56" s="80">
        <v>451</v>
      </c>
      <c r="C56" s="93" t="s">
        <v>110</v>
      </c>
      <c r="D56" s="194">
        <f>'Cental Budget'!D57+'Local Government'!D41</f>
        <v>520705.25</v>
      </c>
      <c r="E56" s="203">
        <f t="shared" si="0"/>
        <v>1.0873851438833897E-2</v>
      </c>
      <c r="F56" s="194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895890.25</v>
      </c>
      <c r="G56" s="203">
        <f t="shared" si="2"/>
        <v>1.8708813640730067E-2</v>
      </c>
      <c r="H56" s="196">
        <f t="shared" si="3"/>
        <v>-375185</v>
      </c>
      <c r="I56" s="198">
        <f t="shared" si="4"/>
        <v>-41.878455536266856</v>
      </c>
      <c r="J56" s="194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534472.84</v>
      </c>
      <c r="K56" s="203">
        <f t="shared" si="1"/>
        <v>1.1570930267801085E-2</v>
      </c>
      <c r="L56" s="196">
        <f t="shared" si="5"/>
        <v>-13767.589999999967</v>
      </c>
      <c r="M56" s="198">
        <f t="shared" si="6"/>
        <v>-2.575919479837367</v>
      </c>
      <c r="BE56" s="130"/>
      <c r="BF56" s="130"/>
      <c r="BG56" s="116"/>
      <c r="BH56" s="116"/>
      <c r="BI56" s="116"/>
      <c r="BJ56" s="115"/>
    </row>
    <row r="57" spans="1:62" ht="13.5" customHeight="1" thickBot="1">
      <c r="B57" s="80">
        <v>47</v>
      </c>
      <c r="C57" s="93" t="s">
        <v>117</v>
      </c>
      <c r="D57" s="194">
        <f>'Cental Budget'!D58+'Local Government'!D42</f>
        <v>2584711.6100000003</v>
      </c>
      <c r="E57" s="203">
        <f t="shared" si="0"/>
        <v>5.3976352378565774E-2</v>
      </c>
      <c r="F57" s="194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5729591.8643268608</v>
      </c>
      <c r="G57" s="203">
        <f t="shared" si="2"/>
        <v>0.11965066750880969</v>
      </c>
      <c r="H57" s="196">
        <f t="shared" si="3"/>
        <v>-3144880.2543268604</v>
      </c>
      <c r="I57" s="198">
        <f t="shared" si="4"/>
        <v>-54.888381734609567</v>
      </c>
      <c r="J57" s="194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3200925.8200000003</v>
      </c>
      <c r="K57" s="203">
        <f t="shared" si="1"/>
        <v>6.9297608192072049E-2</v>
      </c>
      <c r="L57" s="196">
        <f t="shared" si="5"/>
        <v>-616214.21</v>
      </c>
      <c r="M57" s="198">
        <f t="shared" si="6"/>
        <v>-19.251124351266597</v>
      </c>
      <c r="BE57" s="130"/>
      <c r="BF57" s="130"/>
      <c r="BG57" s="116"/>
      <c r="BH57" s="116"/>
      <c r="BI57" s="116"/>
      <c r="BJ57" s="115"/>
    </row>
    <row r="58" spans="1:62" ht="13.5" customHeight="1" thickTop="1" thickBot="1">
      <c r="B58" s="80">
        <v>462</v>
      </c>
      <c r="C58" s="119" t="s">
        <v>112</v>
      </c>
      <c r="D58" s="208">
        <f>'Cental Budget'!D59+'Local Government'!D43</f>
        <v>9434699.4100000001</v>
      </c>
      <c r="E58" s="209">
        <f t="shared" si="0"/>
        <v>0.19702417011235018</v>
      </c>
      <c r="F58" s="208">
        <f>+IF(ISNUMBER(VLOOKUP($B58,'Cental Budget'!$B$16:$K$77,'Public Expenditure'!F$1,FALSE)),VLOOKUP($B58,'Cental Budget'!$B$16:$K$77,'Public Expenditure'!F$1,FALSE),0)+IF(ISNUMBER(VLOOKUP('Public Expenditure'!$B58,'Local Government'!$B$16:$M$60,'Public Expenditure'!F$1,FALSE)),VLOOKUP('Public Expenditure'!$B58,'Local Government'!$B$16:$M$60,'Public Expenditure'!F$1,FALSE),0)</f>
        <v>0</v>
      </c>
      <c r="G58" s="209">
        <f t="shared" si="2"/>
        <v>0</v>
      </c>
      <c r="H58" s="210">
        <f t="shared" si="3"/>
        <v>9434699.4100000001</v>
      </c>
      <c r="I58" s="185" t="e">
        <f t="shared" si="4"/>
        <v>#DIV/0!</v>
      </c>
      <c r="J58" s="208">
        <f>+IF(ISNUMBER(VLOOKUP($B58,'Cental Budget'!$B$16:$K$77,'Public Expenditure'!J$1,FALSE)),VLOOKUP($B58,'Cental Budget'!$B$16:$K$77,'Public Expenditure'!J$1,FALSE),0)+IF(ISNUMBER(VLOOKUP('Public Expenditure'!$B58,'Local Government'!$B$16:$M$60,'Public Expenditure'!J$1,FALSE)),VLOOKUP('Public Expenditure'!$B58,'Local Government'!$B$16:$M$60,'Public Expenditure'!J$1,FALSE),0)</f>
        <v>0</v>
      </c>
      <c r="K58" s="209">
        <f t="shared" si="1"/>
        <v>0</v>
      </c>
      <c r="L58" s="210">
        <f t="shared" si="5"/>
        <v>9434699.4100000001</v>
      </c>
      <c r="M58" s="211" t="e">
        <f t="shared" si="6"/>
        <v>#DIV/0!</v>
      </c>
      <c r="BE58" s="130"/>
      <c r="BF58" s="130"/>
      <c r="BG58" s="116"/>
      <c r="BH58" s="116"/>
      <c r="BI58" s="116"/>
      <c r="BJ58" s="115"/>
    </row>
    <row r="59" spans="1:62" ht="13.5" customHeight="1" thickTop="1" thickBot="1">
      <c r="B59" s="167" t="s">
        <v>447</v>
      </c>
      <c r="C59" s="162" t="s">
        <v>115</v>
      </c>
      <c r="D59" s="212">
        <f>'Cental Budget'!D60+'Local Government'!D44</f>
        <v>17182048.610000003</v>
      </c>
      <c r="E59" s="213">
        <f>D59/D$11*100</f>
        <v>0.35881152340976491</v>
      </c>
      <c r="F59" s="212">
        <f>'Cental Budget'!F60+'Local Government'!F44</f>
        <v>4000333.3000000003</v>
      </c>
      <c r="G59" s="213">
        <f>F59/D$11*100</f>
        <v>8.3538681451781324E-2</v>
      </c>
      <c r="H59" s="214">
        <f>+D59-F59</f>
        <v>13181715.310000002</v>
      </c>
      <c r="I59" s="185">
        <f t="shared" si="4"/>
        <v>329.51542587713885</v>
      </c>
      <c r="J59" s="212">
        <f>'Cental Budget'!J60+'Local Government'!J44</f>
        <v>5942552.6600000001</v>
      </c>
      <c r="K59" s="213">
        <f>J59/J$11*100</f>
        <v>0.12865174298023424</v>
      </c>
      <c r="L59" s="214">
        <f>+D59-J59</f>
        <v>11239495.950000003</v>
      </c>
      <c r="M59" s="215">
        <f>+D59/J59*100-100</f>
        <v>189.13582416617578</v>
      </c>
      <c r="BE59" s="130"/>
      <c r="BF59" s="130"/>
      <c r="BG59" s="116"/>
      <c r="BH59" s="116"/>
      <c r="BI59" s="116"/>
      <c r="BJ59" s="115"/>
    </row>
    <row r="60" spans="1:62" ht="13.5" customHeight="1" thickTop="1" thickBot="1">
      <c r="B60" s="80">
        <v>990</v>
      </c>
      <c r="C60" s="118" t="s">
        <v>151</v>
      </c>
      <c r="D60" s="194">
        <f>'Cental Budget'!D61+'Local Government'!D45</f>
        <v>0</v>
      </c>
      <c r="E60" s="203">
        <f t="shared" si="0"/>
        <v>0</v>
      </c>
      <c r="F60" s="194">
        <f>+IF(ISNUMBER(VLOOKUP($B60,'Cental Budget'!$B$16:$K$77,'Public Expenditure'!F$1,FALSE)),VLOOKUP($B60,'Cental Budget'!$B$16:$K$77,'Public Expenditure'!F$1,FALSE),0)+IF(ISNUMBER(VLOOKUP('Public Expenditure'!$B60,'Local Government'!$B$16:$M$60,'Public Expenditure'!F$1,FALSE)),VLOOKUP('Public Expenditure'!$B60,'Local Government'!$B$16:$M$60,'Public Expenditure'!F$1,FALSE),0)</f>
        <v>0</v>
      </c>
      <c r="G60" s="203">
        <f t="shared" si="2"/>
        <v>0</v>
      </c>
      <c r="H60" s="196">
        <f t="shared" si="3"/>
        <v>0</v>
      </c>
      <c r="I60" s="185" t="e">
        <f t="shared" si="4"/>
        <v>#DIV/0!</v>
      </c>
      <c r="J60" s="194">
        <f>+IF(ISNUMBER(VLOOKUP($B60,'Cental Budget'!$B$16:$K$77,'Public Expenditure'!J$1,FALSE)),VLOOKUP($B60,'Cental Budget'!$B$16:$K$77,'Public Expenditure'!J$1,FALSE),0)+IF(ISNUMBER(VLOOKUP('Public Expenditure'!$B60,'Local Government'!$B$16:$M$60,'Public Expenditure'!J$1,FALSE)),VLOOKUP('Public Expenditure'!$B60,'Local Government'!$B$16:$M$60,'Public Expenditure'!J$1,FALSE),0)</f>
        <v>0</v>
      </c>
      <c r="K60" s="203">
        <f t="shared" si="1"/>
        <v>0</v>
      </c>
      <c r="L60" s="196">
        <f t="shared" si="5"/>
        <v>0</v>
      </c>
      <c r="M60" s="198" t="e">
        <f t="shared" si="6"/>
        <v>#DIV/0!</v>
      </c>
      <c r="BE60" s="130"/>
      <c r="BF60" s="130"/>
      <c r="BG60" s="116"/>
      <c r="BH60" s="116"/>
      <c r="BI60" s="116"/>
      <c r="BJ60" s="115"/>
    </row>
    <row r="61" spans="1:62" ht="13.5" customHeight="1" thickTop="1" thickBot="1">
      <c r="C61" s="139" t="s">
        <v>131</v>
      </c>
      <c r="D61" s="204">
        <f>+D16-D36</f>
        <v>-70208201.003000081</v>
      </c>
      <c r="E61" s="193">
        <f t="shared" si="0"/>
        <v>-1.466152967527045</v>
      </c>
      <c r="F61" s="204">
        <f>+F16-F36</f>
        <v>-156779942.78091049</v>
      </c>
      <c r="G61" s="193">
        <f t="shared" si="2"/>
        <v>-3.2740246163995845</v>
      </c>
      <c r="H61" s="204">
        <f>+D61-F61</f>
        <v>86571741.777910411</v>
      </c>
      <c r="I61" s="193">
        <f t="shared" si="4"/>
        <v>-55.218633354707016</v>
      </c>
      <c r="J61" s="204">
        <f>+J16-J36</f>
        <v>-61583627.809000015</v>
      </c>
      <c r="K61" s="193">
        <f>J61/J$11*100</f>
        <v>-1.333238678725293</v>
      </c>
      <c r="L61" s="204">
        <f t="shared" si="5"/>
        <v>-8624573.1940000653</v>
      </c>
      <c r="M61" s="193">
        <f t="shared" si="6"/>
        <v>14.004652698845462</v>
      </c>
      <c r="N61" s="169"/>
      <c r="O61" s="163"/>
      <c r="BE61" s="130"/>
      <c r="BF61" s="130"/>
      <c r="BG61" s="116"/>
      <c r="BH61" s="116"/>
      <c r="BI61" s="116"/>
      <c r="BJ61" s="115"/>
    </row>
    <row r="62" spans="1:62" ht="13.5" customHeight="1" thickTop="1" thickBot="1">
      <c r="C62" s="139" t="s">
        <v>469</v>
      </c>
      <c r="D62" s="204">
        <f>D61-D60</f>
        <v>-70208201.003000081</v>
      </c>
      <c r="E62" s="193">
        <f t="shared" si="0"/>
        <v>-1.466152967527045</v>
      </c>
      <c r="F62" s="204">
        <f>F61-F60</f>
        <v>-156779942.78091049</v>
      </c>
      <c r="G62" s="193">
        <f t="shared" si="2"/>
        <v>-3.2740246163995845</v>
      </c>
      <c r="H62" s="204">
        <f>+D62-F62</f>
        <v>86571741.777910411</v>
      </c>
      <c r="I62" s="193">
        <f t="shared" si="4"/>
        <v>-55.218633354707016</v>
      </c>
      <c r="J62" s="204">
        <f>J61-J60</f>
        <v>-61583627.809000015</v>
      </c>
      <c r="K62" s="193">
        <f>J62/J$11*100</f>
        <v>-1.333238678725293</v>
      </c>
      <c r="L62" s="204">
        <f t="shared" ref="L62" si="7">+D62-J62</f>
        <v>-8624573.1940000653</v>
      </c>
      <c r="M62" s="193">
        <f t="shared" ref="M62" si="8">+D62/J62*100-100</f>
        <v>14.004652698845462</v>
      </c>
      <c r="N62" s="163"/>
      <c r="BE62" s="130"/>
      <c r="BF62" s="130"/>
      <c r="BG62" s="116"/>
      <c r="BH62" s="116"/>
      <c r="BI62" s="116"/>
      <c r="BJ62" s="115"/>
    </row>
    <row r="63" spans="1:62" ht="13.5" customHeight="1" thickTop="1" thickBot="1">
      <c r="C63" s="139" t="s">
        <v>468</v>
      </c>
      <c r="D63" s="204">
        <f>+D61+D43</f>
        <v>-33717050.423000082</v>
      </c>
      <c r="E63" s="193">
        <f t="shared" si="0"/>
        <v>-0.70411081366161477</v>
      </c>
      <c r="F63" s="204">
        <f>+F61+F43</f>
        <v>-118852118.87497002</v>
      </c>
      <c r="G63" s="193">
        <f t="shared" si="2"/>
        <v>-2.4819805136150443</v>
      </c>
      <c r="H63" s="204">
        <f t="shared" si="3"/>
        <v>85135068.451969936</v>
      </c>
      <c r="I63" s="193" t="s">
        <v>467</v>
      </c>
      <c r="J63" s="204">
        <f>+J62+J43</f>
        <v>-15879264.249000013</v>
      </c>
      <c r="K63" s="193">
        <f t="shared" si="1"/>
        <v>-0.34377398733519543</v>
      </c>
      <c r="L63" s="204">
        <f t="shared" si="5"/>
        <v>-17837786.174000069</v>
      </c>
      <c r="M63" s="193" t="s">
        <v>467</v>
      </c>
      <c r="BE63" s="130"/>
      <c r="BF63" s="130"/>
      <c r="BG63" s="116"/>
      <c r="BH63" s="116"/>
      <c r="BI63" s="116"/>
      <c r="BJ63" s="115"/>
    </row>
    <row r="64" spans="1:62" ht="13.5" customHeight="1" thickTop="1" thickBot="1">
      <c r="C64" s="139" t="s">
        <v>0</v>
      </c>
      <c r="D64" s="204">
        <f>+SUM(D65:D66)</f>
        <v>107833358.27000001</v>
      </c>
      <c r="E64" s="193">
        <f t="shared" si="0"/>
        <v>2.2518765039886399</v>
      </c>
      <c r="F64" s="204">
        <f>+SUM(F65:F67)</f>
        <v>41230282.299999997</v>
      </c>
      <c r="G64" s="193">
        <f t="shared" si="2"/>
        <v>0.86100911122248669</v>
      </c>
      <c r="H64" s="204">
        <v>0</v>
      </c>
      <c r="I64" s="193">
        <f t="shared" si="4"/>
        <v>161.53921888136097</v>
      </c>
      <c r="J64" s="204">
        <f>+SUM(J65:J66)</f>
        <v>102444987.65000001</v>
      </c>
      <c r="K64" s="193">
        <f t="shared" si="1"/>
        <v>2.217856024983222</v>
      </c>
      <c r="L64" s="204">
        <f t="shared" si="5"/>
        <v>5388370.6200000048</v>
      </c>
      <c r="M64" s="193">
        <f t="shared" si="6"/>
        <v>5.2597698956333545</v>
      </c>
      <c r="BE64" s="130"/>
      <c r="BF64" s="130"/>
      <c r="BG64" s="116"/>
      <c r="BH64" s="116"/>
      <c r="BI64" s="116"/>
      <c r="BJ64" s="115"/>
    </row>
    <row r="65" spans="2:62" ht="13.5" customHeight="1" thickTop="1">
      <c r="B65" s="80">
        <v>4611</v>
      </c>
      <c r="C65" s="97" t="s">
        <v>134</v>
      </c>
      <c r="D65" s="199">
        <f>'Cental Budget'!D66+'Local Government'!D50</f>
        <v>86204915.870000005</v>
      </c>
      <c r="E65" s="200">
        <f t="shared" si="0"/>
        <v>1.8002112490080608</v>
      </c>
      <c r="F65" s="199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3677690.5599999996</v>
      </c>
      <c r="G65" s="200">
        <f t="shared" si="2"/>
        <v>7.6800955602890186E-2</v>
      </c>
      <c r="H65" s="201">
        <f t="shared" si="3"/>
        <v>82527225.310000002</v>
      </c>
      <c r="I65" s="202">
        <f t="shared" si="4"/>
        <v>2243.995898067074</v>
      </c>
      <c r="J65" s="199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84533126.300000012</v>
      </c>
      <c r="K65" s="200">
        <f t="shared" si="1"/>
        <v>1.8300778571583212</v>
      </c>
      <c r="L65" s="201">
        <f t="shared" si="5"/>
        <v>1671789.5699999928</v>
      </c>
      <c r="M65" s="202">
        <f t="shared" si="6"/>
        <v>1.9776738932699232</v>
      </c>
      <c r="BE65" s="130"/>
      <c r="BF65" s="130"/>
      <c r="BG65" s="116"/>
      <c r="BH65" s="116"/>
      <c r="BI65" s="116"/>
      <c r="BJ65" s="115"/>
    </row>
    <row r="66" spans="2:62" ht="13.5" customHeight="1">
      <c r="B66" s="80">
        <v>4612</v>
      </c>
      <c r="C66" s="97" t="s">
        <v>136</v>
      </c>
      <c r="D66" s="199">
        <f>'Cental Budget'!D67+'Local Government'!D51</f>
        <v>21628442.400000002</v>
      </c>
      <c r="E66" s="200">
        <f t="shared" si="0"/>
        <v>0.45166525498057891</v>
      </c>
      <c r="F66" s="199">
        <f>+IF(ISNUMBER(VLOOKUP($B66,'Cental Budget'!$B$16:$K$77,'Public Expenditure'!F$1,FALSE)),VLOOKUP($B66,'Cental Budget'!$B$16:$K$77,'Public Expenditure'!F$1,FALSE),0)+IF(ISNUMBER(VLOOKUP('Public Expenditure'!$B66,'Local Government'!$B$16:$M$60,'Public Expenditure'!F$1,FALSE)),VLOOKUP('Public Expenditure'!$B66,'Local Government'!$B$16:$M$60,'Public Expenditure'!F$1,FALSE),0)</f>
        <v>20696591.740000002</v>
      </c>
      <c r="G66" s="200">
        <f t="shared" si="2"/>
        <v>0.43220548260451913</v>
      </c>
      <c r="H66" s="201">
        <f t="shared" si="3"/>
        <v>931850.66000000015</v>
      </c>
      <c r="I66" s="202">
        <f t="shared" si="4"/>
        <v>4.5024353367275864</v>
      </c>
      <c r="J66" s="199">
        <f>+IF(ISNUMBER(VLOOKUP($B66,'Cental Budget'!$B$16:$K$77,'Public Expenditure'!J$1,FALSE)),VLOOKUP($B66,'Cental Budget'!$B$16:$K$77,'Public Expenditure'!J$1,FALSE),0)+IF(ISNUMBER(VLOOKUP('Public Expenditure'!$B66,'Local Government'!$B$16:$M$60,'Public Expenditure'!J$1,FALSE)),VLOOKUP('Public Expenditure'!$B66,'Local Government'!$B$16:$M$60,'Public Expenditure'!J$1,FALSE),0)</f>
        <v>17911861.350000001</v>
      </c>
      <c r="K66" s="200">
        <f t="shared" si="1"/>
        <v>0.38777816782490099</v>
      </c>
      <c r="L66" s="201">
        <f t="shared" si="5"/>
        <v>3716581.0500000007</v>
      </c>
      <c r="M66" s="202">
        <f t="shared" si="6"/>
        <v>20.749273218330273</v>
      </c>
      <c r="BE66" s="130"/>
      <c r="BF66" s="130"/>
      <c r="BG66" s="116"/>
      <c r="BH66" s="116"/>
      <c r="BI66" s="116"/>
      <c r="BJ66" s="115"/>
    </row>
    <row r="67" spans="2:62" ht="13.5" customHeight="1" thickBot="1">
      <c r="B67" s="167" t="s">
        <v>447</v>
      </c>
      <c r="C67" s="168" t="s">
        <v>115</v>
      </c>
      <c r="D67" s="199">
        <f>'Cental Budget'!D68+'Local Government'!D52</f>
        <v>0</v>
      </c>
      <c r="E67" s="200">
        <f t="shared" si="0"/>
        <v>0</v>
      </c>
      <c r="F67" s="199">
        <f>'Cental Budget'!F68+'Local Government'!F52</f>
        <v>16856000</v>
      </c>
      <c r="G67" s="200">
        <f t="shared" si="2"/>
        <v>0.35200267301507748</v>
      </c>
      <c r="H67" s="201">
        <f t="shared" si="3"/>
        <v>-16856000</v>
      </c>
      <c r="I67" s="202">
        <f t="shared" si="4"/>
        <v>-100</v>
      </c>
      <c r="J67" s="199">
        <f>'Cental Budget'!J68+'Local Government'!J52</f>
        <v>12642662.110200001</v>
      </c>
      <c r="K67" s="200">
        <f t="shared" si="1"/>
        <v>0.27370401398973826</v>
      </c>
      <c r="L67" s="201">
        <f t="shared" si="5"/>
        <v>-12642662.110200001</v>
      </c>
      <c r="M67" s="202">
        <f t="shared" si="6"/>
        <v>-100</v>
      </c>
      <c r="BE67" s="130"/>
      <c r="BF67" s="130"/>
      <c r="BG67" s="116"/>
      <c r="BH67" s="116"/>
      <c r="BI67" s="116"/>
      <c r="BJ67" s="115"/>
    </row>
    <row r="68" spans="2:62" ht="13.5" customHeight="1" thickTop="1" thickBot="1">
      <c r="C68" s="139" t="s">
        <v>466</v>
      </c>
      <c r="D68" s="204">
        <f>+'Cental Budget'!D69+'Local Government'!D53</f>
        <v>0</v>
      </c>
      <c r="E68" s="193">
        <f t="shared" si="0"/>
        <v>0</v>
      </c>
      <c r="F68" s="204">
        <f>+'Cental Budget'!F69+'Local Government'!F53</f>
        <v>80000.009999999995</v>
      </c>
      <c r="G68" s="193">
        <f t="shared" si="2"/>
        <v>1.6706346322515975E-3</v>
      </c>
      <c r="H68" s="204">
        <f t="shared" si="3"/>
        <v>-80000.009999999995</v>
      </c>
      <c r="I68" s="193">
        <f t="shared" si="4"/>
        <v>-100</v>
      </c>
      <c r="J68" s="204">
        <f>+'Cental Budget'!J69+'Local Government'!J53</f>
        <v>0</v>
      </c>
      <c r="K68" s="193">
        <f t="shared" si="1"/>
        <v>0</v>
      </c>
      <c r="L68" s="204">
        <f t="shared" si="5"/>
        <v>0</v>
      </c>
      <c r="M68" s="193" t="e">
        <f t="shared" si="6"/>
        <v>#DIV/0!</v>
      </c>
      <c r="N68" s="163"/>
      <c r="BE68" s="130"/>
      <c r="BF68" s="130"/>
      <c r="BG68" s="116"/>
      <c r="BH68" s="116"/>
      <c r="BI68" s="116"/>
      <c r="BJ68" s="115"/>
    </row>
    <row r="69" spans="2:62" ht="13.5" customHeight="1" thickTop="1" thickBot="1">
      <c r="C69" s="139" t="s">
        <v>140</v>
      </c>
      <c r="D69" s="204">
        <f>+D61-D64-D68</f>
        <v>-178041559.27300009</v>
      </c>
      <c r="E69" s="193">
        <f t="shared" si="0"/>
        <v>-3.7180294715156852</v>
      </c>
      <c r="F69" s="204">
        <f>+F61-F64-F68</f>
        <v>-198090225.09091049</v>
      </c>
      <c r="G69" s="193">
        <f t="shared" si="2"/>
        <v>-4.1367043622543225</v>
      </c>
      <c r="H69" s="204">
        <f t="shared" si="3"/>
        <v>20048665.817910403</v>
      </c>
      <c r="I69" s="193">
        <f t="shared" si="4"/>
        <v>-10.120976847145982</v>
      </c>
      <c r="J69" s="204">
        <f>+J61-J64-J68</f>
        <v>-164028615.45900002</v>
      </c>
      <c r="K69" s="193">
        <f t="shared" si="1"/>
        <v>-3.551094703708515</v>
      </c>
      <c r="L69" s="204">
        <f t="shared" si="5"/>
        <v>-14012943.81400007</v>
      </c>
      <c r="M69" s="193">
        <f t="shared" si="6"/>
        <v>8.5429873164433872</v>
      </c>
      <c r="N69" s="163"/>
      <c r="O69" s="163"/>
      <c r="BE69" s="130"/>
      <c r="BF69" s="130"/>
      <c r="BG69" s="116"/>
      <c r="BH69" s="116"/>
      <c r="BI69" s="116"/>
      <c r="BJ69" s="115"/>
    </row>
    <row r="70" spans="2:62" ht="13.5" customHeight="1" thickTop="1" thickBot="1">
      <c r="C70" s="139" t="s">
        <v>120</v>
      </c>
      <c r="D70" s="204">
        <f>+SUM(D71:D75)</f>
        <v>178041559.27300009</v>
      </c>
      <c r="E70" s="193">
        <f t="shared" si="0"/>
        <v>3.7180294715156852</v>
      </c>
      <c r="F70" s="204">
        <f>+SUM(F71:F75)</f>
        <v>198090225.09091049</v>
      </c>
      <c r="G70" s="193">
        <f t="shared" si="2"/>
        <v>4.1367043622543225</v>
      </c>
      <c r="H70" s="204">
        <f t="shared" si="3"/>
        <v>-20048665.817910403</v>
      </c>
      <c r="I70" s="193">
        <f t="shared" si="4"/>
        <v>-10.120976847145982</v>
      </c>
      <c r="J70" s="204">
        <f>+SUM(J71:J75)</f>
        <v>164028615.45900002</v>
      </c>
      <c r="K70" s="193">
        <f t="shared" si="1"/>
        <v>3.551094703708515</v>
      </c>
      <c r="L70" s="204">
        <f t="shared" si="5"/>
        <v>14012943.81400007</v>
      </c>
      <c r="M70" s="193">
        <f t="shared" si="6"/>
        <v>8.5429873164433872</v>
      </c>
      <c r="N70" s="163"/>
      <c r="BE70" s="130"/>
      <c r="BF70" s="130"/>
      <c r="BG70" s="116"/>
      <c r="BH70" s="116"/>
      <c r="BI70" s="116"/>
      <c r="BJ70" s="115"/>
    </row>
    <row r="71" spans="2:62" ht="13.5" customHeight="1" thickTop="1">
      <c r="B71" s="80">
        <v>7511</v>
      </c>
      <c r="C71" s="97" t="s">
        <v>143</v>
      </c>
      <c r="D71" s="199">
        <f>'Cental Budget'!D72+'Local Government'!D56</f>
        <v>73111158.469999999</v>
      </c>
      <c r="E71" s="200">
        <f t="shared" si="0"/>
        <v>1.5267752259533056</v>
      </c>
      <c r="F71" s="199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96840000</v>
      </c>
      <c r="G71" s="200">
        <f t="shared" si="2"/>
        <v>2.0223029695526877</v>
      </c>
      <c r="H71" s="201">
        <f t="shared" si="3"/>
        <v>-23728841.530000001</v>
      </c>
      <c r="I71" s="202" t="s">
        <v>467</v>
      </c>
      <c r="J71" s="199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138899603.16999999</v>
      </c>
      <c r="K71" s="200">
        <f t="shared" si="1"/>
        <v>3.0070707100950398</v>
      </c>
      <c r="L71" s="201">
        <f t="shared" si="5"/>
        <v>-65788444.699999988</v>
      </c>
      <c r="M71" s="202">
        <f t="shared" si="6"/>
        <v>-47.364026389248316</v>
      </c>
      <c r="N71" s="163"/>
      <c r="BE71" s="130"/>
      <c r="BF71" s="130"/>
      <c r="BG71" s="116"/>
      <c r="BH71" s="116"/>
      <c r="BI71" s="116"/>
      <c r="BJ71" s="115"/>
    </row>
    <row r="72" spans="2:62" ht="13.5" customHeight="1">
      <c r="B72" s="80">
        <v>7512</v>
      </c>
      <c r="C72" s="97" t="s">
        <v>121</v>
      </c>
      <c r="D72" s="199">
        <f>'Cental Budget'!D73+'Local Government'!D57</f>
        <v>43628378.950000003</v>
      </c>
      <c r="E72" s="200">
        <f t="shared" si="0"/>
        <v>0.91108839639978301</v>
      </c>
      <c r="F72" s="199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36888981.240000002</v>
      </c>
      <c r="G72" s="200">
        <f t="shared" si="2"/>
        <v>0.7703500238065405</v>
      </c>
      <c r="H72" s="201">
        <f t="shared" si="3"/>
        <v>6739397.7100000009</v>
      </c>
      <c r="I72" s="202">
        <f t="shared" si="4"/>
        <v>18.269405886146401</v>
      </c>
      <c r="J72" s="199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5995737.2600000007</v>
      </c>
      <c r="K72" s="200">
        <f t="shared" si="1"/>
        <v>0.1298031490983092</v>
      </c>
      <c r="L72" s="201">
        <f t="shared" si="5"/>
        <v>37632641.690000005</v>
      </c>
      <c r="M72" s="202">
        <f t="shared" si="6"/>
        <v>627.65661766172855</v>
      </c>
      <c r="N72" s="163"/>
      <c r="BE72" s="130"/>
      <c r="BF72" s="130"/>
      <c r="BG72" s="116"/>
      <c r="BH72" s="116"/>
      <c r="BI72" s="116"/>
      <c r="BJ72" s="115"/>
    </row>
    <row r="73" spans="2:62" ht="13.5" customHeight="1">
      <c r="B73" s="80">
        <v>72</v>
      </c>
      <c r="C73" s="103" t="s">
        <v>328</v>
      </c>
      <c r="D73" s="199">
        <f>'Cental Budget'!D74+'Local Government'!D58</f>
        <v>1118082.82</v>
      </c>
      <c r="E73" s="216">
        <f t="shared" si="0"/>
        <v>2.3348845591613418E-2</v>
      </c>
      <c r="F73" s="199">
        <f>+IF(ISNUMBER(VLOOKUP($B73,'Cental Budget'!$B$16:$K$77,'Public Expenditure'!F$1,FALSE)),VLOOKUP($B73,'Cental Budget'!$B$16:$K$77,'Public Expenditure'!F$1,FALSE),0)+IF(ISNUMBER(VLOOKUP('Public Expenditure'!$B73,'Local Government'!$B$16:$M$60,'Public Expenditure'!F$1,FALSE)),VLOOKUP('Public Expenditure'!$B73,'Local Government'!$B$16:$M$60,'Public Expenditure'!F$1,FALSE),0)</f>
        <v>2276500</v>
      </c>
      <c r="G73" s="216">
        <f t="shared" si="2"/>
        <v>4.7539990811510668E-2</v>
      </c>
      <c r="H73" s="201">
        <f t="shared" si="3"/>
        <v>-1158417.18</v>
      </c>
      <c r="I73" s="202">
        <f t="shared" si="4"/>
        <v>-50.885885350318468</v>
      </c>
      <c r="J73" s="199">
        <f>+IF(ISNUMBER(VLOOKUP($B73,'Cental Budget'!$B$16:$K$77,'Public Expenditure'!J$1,FALSE)),VLOOKUP($B73,'Cental Budget'!$B$16:$K$77,'Public Expenditure'!J$1,FALSE),0)+IF(ISNUMBER(VLOOKUP('Public Expenditure'!$B73,'Local Government'!$B$16:$M$60,'Public Expenditure'!J$1,FALSE)),VLOOKUP('Public Expenditure'!$B73,'Local Government'!$B$16:$M$60,'Public Expenditure'!J$1,FALSE),0)</f>
        <v>3529630.9000000004</v>
      </c>
      <c r="K73" s="216">
        <f t="shared" si="1"/>
        <v>7.6413823039120185E-2</v>
      </c>
      <c r="L73" s="201">
        <f t="shared" si="5"/>
        <v>-2411548.08</v>
      </c>
      <c r="M73" s="202">
        <f t="shared" si="6"/>
        <v>-68.322953541686189</v>
      </c>
      <c r="N73" s="163"/>
      <c r="BE73" s="130"/>
      <c r="BF73" s="130"/>
      <c r="BG73" s="116"/>
      <c r="BH73" s="116"/>
      <c r="BI73" s="116"/>
      <c r="BJ73" s="115"/>
    </row>
    <row r="74" spans="2:62" ht="13.5" customHeight="1" thickBot="1">
      <c r="C74" s="103" t="s">
        <v>463</v>
      </c>
      <c r="D74" s="199">
        <f>+'Local Government'!D60</f>
        <v>1522560.3199999998</v>
      </c>
      <c r="E74" s="216">
        <f t="shared" si="0"/>
        <v>3.1795521029110804E-2</v>
      </c>
      <c r="F74" s="199">
        <f>+'Local Government'!F60</f>
        <v>1968000</v>
      </c>
      <c r="G74" s="216">
        <f t="shared" si="2"/>
        <v>4.1097606816188445E-2</v>
      </c>
      <c r="H74" s="201">
        <f t="shared" si="3"/>
        <v>-445439.68000000017</v>
      </c>
      <c r="I74" s="202">
        <f t="shared" si="4"/>
        <v>-22.634130081300825</v>
      </c>
      <c r="J74" s="199">
        <f>+'Local Government'!J60</f>
        <v>1180907.22</v>
      </c>
      <c r="K74" s="216">
        <f t="shared" si="1"/>
        <v>2.5565742677144898E-2</v>
      </c>
      <c r="L74" s="201">
        <f t="shared" si="5"/>
        <v>341653.09999999986</v>
      </c>
      <c r="M74" s="202">
        <f t="shared" si="6"/>
        <v>28.931409192332637</v>
      </c>
      <c r="N74" s="163"/>
      <c r="BE74" s="130"/>
      <c r="BF74" s="130"/>
      <c r="BG74" s="116"/>
      <c r="BH74" s="116"/>
      <c r="BI74" s="116"/>
      <c r="BJ74" s="115"/>
    </row>
    <row r="75" spans="2:62" ht="13.5" customHeight="1" thickTop="1" thickBot="1">
      <c r="C75" s="119" t="s">
        <v>124</v>
      </c>
      <c r="D75" s="217">
        <f>-D69-SUM(D71:D74)</f>
        <v>58661378.713000104</v>
      </c>
      <c r="E75" s="209">
        <f t="shared" si="0"/>
        <v>1.2250214825418726</v>
      </c>
      <c r="F75" s="217">
        <f>-F69-SUM(F71:F74)</f>
        <v>60116743.850910485</v>
      </c>
      <c r="G75" s="209">
        <f t="shared" si="2"/>
        <v>1.2554137712673952</v>
      </c>
      <c r="H75" s="218">
        <f t="shared" si="3"/>
        <v>-1455365.137910381</v>
      </c>
      <c r="I75" s="211">
        <f t="shared" si="4"/>
        <v>-2.4208981469783026</v>
      </c>
      <c r="J75" s="217">
        <f>-J69-SUM(J71:J74)</f>
        <v>14422736.909000039</v>
      </c>
      <c r="K75" s="209">
        <f t="shared" si="1"/>
        <v>0.31224127879890107</v>
      </c>
      <c r="L75" s="218">
        <f t="shared" si="5"/>
        <v>44238641.804000065</v>
      </c>
      <c r="M75" s="211" t="s">
        <v>467</v>
      </c>
      <c r="N75" s="163"/>
      <c r="O75" s="163"/>
      <c r="BE75" s="130"/>
      <c r="BF75" s="130"/>
      <c r="BG75" s="116"/>
      <c r="BH75" s="116"/>
      <c r="BI75" s="116"/>
      <c r="BJ75" s="115"/>
    </row>
    <row r="76" spans="2:62" ht="13.5" thickTop="1">
      <c r="C76" s="106" t="str">
        <f>IF(MasterSheet!$A$1=1,MasterSheet!C151,MasterSheet!B151)</f>
        <v>Izvor: Ministarstvo finansija Crne Gore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 t="s">
        <v>427</v>
      </c>
    </row>
    <row r="78" spans="2:62">
      <c r="D78" s="220"/>
    </row>
    <row r="81" spans="4:10">
      <c r="D81" s="221"/>
      <c r="F81" s="221"/>
      <c r="J81" s="221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40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255" t="s">
        <v>195</v>
      </c>
      <c r="C3" s="255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255" t="s">
        <v>243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</row>
    <row r="40" spans="2:20" ht="12.75" customHeight="1">
      <c r="B40" s="258" t="s">
        <v>238</v>
      </c>
      <c r="C40" s="258"/>
      <c r="D40" s="259" t="s">
        <v>244</v>
      </c>
      <c r="E40" s="259"/>
      <c r="F40" s="258" t="s">
        <v>239</v>
      </c>
      <c r="G40" s="258"/>
      <c r="H40" s="258"/>
      <c r="I40" s="2" t="s">
        <v>240</v>
      </c>
      <c r="J40" s="258" t="s">
        <v>241</v>
      </c>
      <c r="K40" s="258"/>
      <c r="L40" s="258"/>
      <c r="M40" s="258" t="s">
        <v>242</v>
      </c>
      <c r="N40" s="258"/>
      <c r="O40" s="258"/>
      <c r="P40" s="258"/>
    </row>
    <row r="41" spans="2:20">
      <c r="B41" s="258"/>
      <c r="C41" s="258"/>
      <c r="D41" s="259"/>
      <c r="E41" s="259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256" t="s">
        <v>222</v>
      </c>
      <c r="C42" s="15" t="s">
        <v>223</v>
      </c>
      <c r="D42" s="260" t="s">
        <v>180</v>
      </c>
      <c r="E42" s="16" t="s">
        <v>181</v>
      </c>
      <c r="F42" s="260" t="s">
        <v>246</v>
      </c>
      <c r="G42" s="260"/>
      <c r="H42" s="260"/>
      <c r="I42" s="17" t="s">
        <v>247</v>
      </c>
      <c r="J42" s="261" t="s">
        <v>248</v>
      </c>
      <c r="K42" s="261"/>
      <c r="L42" s="261"/>
      <c r="M42" s="260" t="s">
        <v>249</v>
      </c>
      <c r="N42" s="260"/>
      <c r="O42" s="260"/>
      <c r="P42" s="260"/>
    </row>
    <row r="43" spans="2:20">
      <c r="B43" s="256"/>
      <c r="C43" s="18" t="s">
        <v>224</v>
      </c>
      <c r="D43" s="260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256"/>
      <c r="C44" s="15" t="s">
        <v>225</v>
      </c>
      <c r="D44" s="260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256"/>
      <c r="C45" s="15" t="s">
        <v>226</v>
      </c>
      <c r="D45" s="260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256"/>
      <c r="C46" s="15" t="s">
        <v>227</v>
      </c>
      <c r="D46" s="260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256"/>
      <c r="C47" s="15" t="s">
        <v>228</v>
      </c>
      <c r="D47" s="260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256"/>
      <c r="C48" s="15" t="s">
        <v>229</v>
      </c>
      <c r="D48" s="260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256"/>
      <c r="C49" s="19" t="s">
        <v>230</v>
      </c>
      <c r="D49" s="260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256"/>
      <c r="C50" s="15" t="s">
        <v>231</v>
      </c>
      <c r="D50" s="260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256"/>
      <c r="C51" s="15" t="s">
        <v>378</v>
      </c>
      <c r="D51" s="260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257" t="s">
        <v>232</v>
      </c>
      <c r="C52" s="20" t="s">
        <v>233</v>
      </c>
      <c r="D52" s="260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257"/>
      <c r="C53" s="20" t="s">
        <v>234</v>
      </c>
      <c r="D53" s="260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257"/>
      <c r="C54" s="20" t="s">
        <v>235</v>
      </c>
      <c r="D54" s="260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257"/>
      <c r="C55" s="20" t="s">
        <v>374</v>
      </c>
      <c r="D55" s="260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257"/>
      <c r="C56" s="20" t="s">
        <v>79</v>
      </c>
      <c r="D56" s="260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257"/>
      <c r="C57" s="20" t="s">
        <v>236</v>
      </c>
      <c r="D57" s="260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257"/>
      <c r="C58" s="20" t="s">
        <v>375</v>
      </c>
      <c r="D58" s="260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257"/>
      <c r="C59" s="20" t="s">
        <v>237</v>
      </c>
      <c r="D59" s="260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255" t="s">
        <v>251</v>
      </c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255" t="s">
        <v>255</v>
      </c>
      <c r="C154" s="255"/>
      <c r="D154" s="255"/>
      <c r="E154" s="255"/>
      <c r="F154" s="255"/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255" t="s">
        <v>278</v>
      </c>
      <c r="C253" s="255"/>
      <c r="D253" s="255"/>
      <c r="E253" s="255"/>
      <c r="F253" s="255"/>
      <c r="G253" s="255"/>
      <c r="H253" s="255"/>
      <c r="I253" s="255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255" t="s">
        <v>314</v>
      </c>
      <c r="C331" s="255"/>
      <c r="D331" s="255"/>
      <c r="E331" s="255"/>
      <c r="F331" s="255"/>
      <c r="G331" s="255"/>
      <c r="H331" s="255"/>
      <c r="I331" s="255"/>
      <c r="J331" s="255"/>
      <c r="K331" s="255"/>
      <c r="L331" s="255"/>
      <c r="M331" s="255"/>
      <c r="N331" s="255"/>
      <c r="O331" s="255"/>
      <c r="P331" s="255"/>
      <c r="Q331" s="255"/>
      <c r="R331" s="255"/>
      <c r="S331" s="255"/>
      <c r="T331" s="255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255" t="s">
        <v>386</v>
      </c>
      <c r="C419" s="262"/>
      <c r="D419" s="262"/>
      <c r="E419" s="262"/>
      <c r="F419" s="262"/>
      <c r="G419" s="262"/>
      <c r="H419" s="262"/>
      <c r="I419" s="262"/>
      <c r="J419" s="262"/>
      <c r="K419" s="262"/>
      <c r="L419" s="262"/>
      <c r="M419" s="262"/>
      <c r="N419" s="262"/>
      <c r="O419" s="262"/>
      <c r="P419" s="262"/>
      <c r="Q419" s="262"/>
      <c r="R419" s="262"/>
      <c r="S419" s="262"/>
      <c r="T419" s="262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255" t="s">
        <v>329</v>
      </c>
      <c r="C427" s="255"/>
      <c r="D427" s="255"/>
      <c r="E427" s="255"/>
      <c r="F427" s="255"/>
      <c r="G427" s="255"/>
      <c r="H427" s="255"/>
      <c r="I427" s="255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255" t="s">
        <v>344</v>
      </c>
      <c r="C432" s="255"/>
      <c r="D432" s="255"/>
      <c r="E432" s="255"/>
      <c r="F432" s="255"/>
      <c r="G432" s="255"/>
      <c r="H432" s="255"/>
      <c r="I432" s="255"/>
      <c r="J432" s="255"/>
      <c r="K432" s="255"/>
      <c r="L432" s="255"/>
      <c r="M432" s="255"/>
      <c r="N432" s="255"/>
      <c r="O432" s="255"/>
      <c r="P432" s="255"/>
      <c r="Q432" s="255"/>
      <c r="R432" s="255"/>
      <c r="S432" s="255"/>
      <c r="T432" s="255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42" t="s">
        <v>292</v>
      </c>
      <c r="E4" s="142" t="s">
        <v>293</v>
      </c>
      <c r="F4" s="142" t="s">
        <v>294</v>
      </c>
      <c r="G4" s="142" t="s">
        <v>295</v>
      </c>
      <c r="H4" s="142" t="s">
        <v>296</v>
      </c>
      <c r="I4" s="142" t="s">
        <v>297</v>
      </c>
      <c r="J4" s="142" t="s">
        <v>298</v>
      </c>
      <c r="K4" s="142" t="s">
        <v>299</v>
      </c>
      <c r="L4" s="142" t="s">
        <v>300</v>
      </c>
      <c r="M4" s="142" t="s">
        <v>301</v>
      </c>
      <c r="N4" s="142" t="s">
        <v>302</v>
      </c>
      <c r="O4" s="142" t="s">
        <v>303</v>
      </c>
    </row>
    <row r="5" spans="3:16">
      <c r="C5" s="142" t="s">
        <v>435</v>
      </c>
      <c r="D5" s="143">
        <v>62425293.156965584</v>
      </c>
      <c r="E5" s="143">
        <v>79762187.59852089</v>
      </c>
      <c r="F5" s="143">
        <v>89318688.151918903</v>
      </c>
      <c r="G5" s="143">
        <v>106294081.27535464</v>
      </c>
      <c r="H5" s="143">
        <v>97189661.825924918</v>
      </c>
      <c r="I5" s="143">
        <v>105191801.34506513</v>
      </c>
      <c r="J5" s="143">
        <v>123272889.17858437</v>
      </c>
      <c r="K5" s="143">
        <v>125579133.65326507</v>
      </c>
      <c r="L5" s="143">
        <v>121047897.33843082</v>
      </c>
      <c r="M5" s="143">
        <v>114789505.85515907</v>
      </c>
      <c r="N5" s="143">
        <v>97406301.479715049</v>
      </c>
      <c r="O5" s="143">
        <v>145778958.57826602</v>
      </c>
      <c r="P5" s="143">
        <f>+SUM(D5:O5)</f>
        <v>1268056399.4371705</v>
      </c>
    </row>
    <row r="6" spans="3:16">
      <c r="C6" s="142" t="s">
        <v>436</v>
      </c>
      <c r="D6" s="143">
        <v>70632268.589999989</v>
      </c>
      <c r="E6" s="143">
        <v>81381758.450000018</v>
      </c>
      <c r="F6" s="143">
        <v>100495765.61000001</v>
      </c>
      <c r="G6" s="143">
        <v>107356417.33534782</v>
      </c>
      <c r="H6" s="143">
        <v>98816734.644163221</v>
      </c>
      <c r="I6" s="143">
        <v>107147051.5707173</v>
      </c>
      <c r="J6" s="143">
        <v>125666748.8575906</v>
      </c>
      <c r="K6" s="143">
        <v>127890096.38694921</v>
      </c>
      <c r="L6" s="143">
        <v>123465322.33433203</v>
      </c>
      <c r="M6" s="143">
        <v>117130344.73943919</v>
      </c>
      <c r="N6" s="143">
        <v>99294843.070796907</v>
      </c>
      <c r="O6" s="143">
        <v>149056317.49743444</v>
      </c>
      <c r="P6" s="143">
        <f>+SUM(D6:O6)</f>
        <v>1308333669.0867708</v>
      </c>
    </row>
    <row r="7" spans="3:16">
      <c r="C7" s="142" t="s">
        <v>437</v>
      </c>
      <c r="D7" s="143">
        <v>54757461.979999989</v>
      </c>
      <c r="E7" s="143">
        <v>75673443.909999996</v>
      </c>
      <c r="F7" s="143">
        <v>88296245.580000013</v>
      </c>
      <c r="G7" s="143">
        <v>103948239.19999999</v>
      </c>
      <c r="H7" s="143">
        <v>93997829.679999992</v>
      </c>
      <c r="I7" s="143">
        <v>99561632.659999996</v>
      </c>
      <c r="J7" s="143">
        <v>122021331.04999998</v>
      </c>
      <c r="K7" s="143">
        <v>125053427.64999999</v>
      </c>
      <c r="L7" s="143">
        <v>116342017.78000002</v>
      </c>
      <c r="M7" s="143">
        <v>117283627.60000001</v>
      </c>
      <c r="N7" s="143">
        <v>95781753.159999996</v>
      </c>
      <c r="O7" s="143">
        <v>142429369.22999999</v>
      </c>
      <c r="P7" s="143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229">
        <v>3335894492.1291356</v>
      </c>
      <c r="D3" s="229"/>
      <c r="E3" s="224">
        <v>3516156889.9792166</v>
      </c>
      <c r="F3" s="225"/>
      <c r="G3" s="225"/>
      <c r="H3" s="226"/>
    </row>
    <row r="4" spans="2:13" ht="13.5" thickTop="1">
      <c r="E4" s="83"/>
      <c r="F4" s="83"/>
      <c r="G4" s="82"/>
      <c r="H4" s="82"/>
    </row>
    <row r="5" spans="2:13" ht="13.5" thickBot="1">
      <c r="E5" s="133"/>
      <c r="F5" s="133"/>
      <c r="G5" s="133"/>
      <c r="H5" s="133"/>
    </row>
    <row r="6" spans="2:13" ht="13.5" thickTop="1">
      <c r="B6" t="s">
        <v>126</v>
      </c>
      <c r="C6" s="222">
        <v>2013</v>
      </c>
      <c r="D6" s="223"/>
      <c r="E6" s="222" t="s">
        <v>392</v>
      </c>
      <c r="F6" s="223"/>
      <c r="G6" s="222" t="s">
        <v>426</v>
      </c>
      <c r="H6" s="223"/>
      <c r="I6" s="222" t="s">
        <v>438</v>
      </c>
      <c r="J6" s="223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45" t="s">
        <v>262</v>
      </c>
      <c r="J7" s="145" t="s">
        <v>439</v>
      </c>
    </row>
    <row r="8" spans="2:13" ht="14.25" thickTop="1" thickBot="1">
      <c r="B8" s="90" t="s">
        <v>127</v>
      </c>
      <c r="C8" s="134">
        <f>C9+C17+C22+C27+C34+C39</f>
        <v>1235146379.48</v>
      </c>
      <c r="D8" s="92">
        <f>C8/C$3*100</f>
        <v>37.025942588839719</v>
      </c>
      <c r="E8" s="134">
        <f>+E9+E17+E22+E27+E34+E39+E40</f>
        <v>1276056399.4371703</v>
      </c>
      <c r="F8" s="92">
        <f>E8/E$3*100</f>
        <v>36.291224748071834</v>
      </c>
      <c r="G8" s="131">
        <f>+G9+G17+G22+G27+G34+G39+G40</f>
        <v>1316333669.0867703</v>
      </c>
      <c r="H8" s="92">
        <f>G8/E$3*100</f>
        <v>37.436716002014087</v>
      </c>
      <c r="I8" s="131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25">
        <f>SUM(C10:C16)</f>
        <v>755696459.51000011</v>
      </c>
      <c r="D9" s="95">
        <f t="shared" ref="D9:D72" si="0">C9/C$3*100</f>
        <v>22.653488031261944</v>
      </c>
      <c r="E9" s="125">
        <f>+SUM(E10:E16)</f>
        <v>797828901.35953081</v>
      </c>
      <c r="F9" s="96">
        <f t="shared" ref="F9:F73" si="1">E9/E$3*100</f>
        <v>22.690366963808792</v>
      </c>
      <c r="G9" s="125">
        <f>+SUM(G10:G16)</f>
        <v>819077478.06873</v>
      </c>
      <c r="H9" s="96">
        <f t="shared" ref="H9:H72" si="2">G9/E$3*100</f>
        <v>23.294679495190881</v>
      </c>
      <c r="I9" s="125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26">
        <v>95618433.909999996</v>
      </c>
      <c r="D10" s="98">
        <f t="shared" si="0"/>
        <v>2.8663506635358695</v>
      </c>
      <c r="E10" s="126">
        <v>96011654.614494905</v>
      </c>
      <c r="F10" s="98">
        <f t="shared" si="1"/>
        <v>2.7305850568875618</v>
      </c>
      <c r="G10" s="127">
        <v>96781150.729929999</v>
      </c>
      <c r="H10" s="98">
        <f t="shared" si="2"/>
        <v>2.7524696354064582</v>
      </c>
      <c r="I10" s="127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27">
        <v>40638726.390000008</v>
      </c>
      <c r="D11" s="98">
        <f t="shared" si="0"/>
        <v>1.2182257708055488</v>
      </c>
      <c r="E11" s="127">
        <v>44395641.531501003</v>
      </c>
      <c r="F11" s="98">
        <f t="shared" si="1"/>
        <v>1.2626183336137604</v>
      </c>
      <c r="G11" s="127">
        <v>50018934.706970006</v>
      </c>
      <c r="H11" s="98">
        <f t="shared" si="2"/>
        <v>1.4225455880401758</v>
      </c>
      <c r="I11" s="127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27">
        <v>1440565.3199999998</v>
      </c>
      <c r="D12" s="98">
        <f t="shared" si="0"/>
        <v>4.318377944503151E-2</v>
      </c>
      <c r="E12" s="127">
        <v>1544536.6728920399</v>
      </c>
      <c r="F12" s="98">
        <f t="shared" si="1"/>
        <v>4.3926841754241781E-2</v>
      </c>
      <c r="G12" s="127">
        <v>1489198.0023599996</v>
      </c>
      <c r="H12" s="98">
        <f t="shared" si="2"/>
        <v>4.2353002125818169E-2</v>
      </c>
      <c r="I12" s="127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26">
        <v>429195069.32999998</v>
      </c>
      <c r="D13" s="98">
        <f t="shared" si="0"/>
        <v>12.865966544885122</v>
      </c>
      <c r="E13" s="126">
        <v>455945630.52919102</v>
      </c>
      <c r="F13" s="98">
        <f t="shared" si="1"/>
        <v>12.967158315051353</v>
      </c>
      <c r="G13" s="127">
        <v>473642045.78458995</v>
      </c>
      <c r="H13" s="98">
        <f t="shared" si="2"/>
        <v>13.470446871538474</v>
      </c>
      <c r="I13" s="127">
        <f t="shared" si="3"/>
        <v>17696415.255398929</v>
      </c>
      <c r="J13" s="98">
        <f t="shared" si="4"/>
        <v>3.8812555862986784</v>
      </c>
      <c r="L13" s="127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27">
        <v>161445470.17000002</v>
      </c>
      <c r="D14" s="98">
        <f t="shared" si="0"/>
        <v>4.8396455748502225</v>
      </c>
      <c r="E14" s="127">
        <v>171111988.52539012</v>
      </c>
      <c r="F14" s="98">
        <f t="shared" si="1"/>
        <v>4.8664491909631922</v>
      </c>
      <c r="G14" s="127">
        <v>169158715.98390999</v>
      </c>
      <c r="H14" s="98">
        <f t="shared" si="2"/>
        <v>4.8108978432105705</v>
      </c>
      <c r="I14" s="127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27">
        <v>22269382.640000001</v>
      </c>
      <c r="D15" s="98">
        <f t="shared" si="0"/>
        <v>0.66756855447746977</v>
      </c>
      <c r="E15" s="127">
        <v>23735353.696558259</v>
      </c>
      <c r="F15" s="98">
        <f t="shared" si="1"/>
        <v>0.67503682114419394</v>
      </c>
      <c r="G15" s="127">
        <v>22781578.440719999</v>
      </c>
      <c r="H15" s="98">
        <f t="shared" si="2"/>
        <v>0.64791131776985811</v>
      </c>
      <c r="I15" s="127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27">
        <v>5088811.75</v>
      </c>
      <c r="D16" s="98">
        <f t="shared" si="0"/>
        <v>0.15254714326267749</v>
      </c>
      <c r="E16" s="127">
        <v>5084095.7895035082</v>
      </c>
      <c r="F16" s="98">
        <f t="shared" si="1"/>
        <v>0.14459240439449103</v>
      </c>
      <c r="G16" s="127">
        <v>5205854.4202499995</v>
      </c>
      <c r="H16" s="98">
        <f t="shared" si="2"/>
        <v>0.14805523709952459</v>
      </c>
      <c r="I16" s="127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35">
        <f>SUM(C18:C21)</f>
        <v>398494284.19</v>
      </c>
      <c r="D17" s="96">
        <f t="shared" si="0"/>
        <v>11.94565011364196</v>
      </c>
      <c r="E17" s="125">
        <f>+SUM(E18:E21)</f>
        <v>397823173.70918262</v>
      </c>
      <c r="F17" s="96">
        <f t="shared" si="1"/>
        <v>11.314147410286179</v>
      </c>
      <c r="G17" s="125">
        <f>+SUM(G18:G21)</f>
        <v>417559652.73636997</v>
      </c>
      <c r="H17" s="96">
        <f t="shared" si="2"/>
        <v>11.87545566940951</v>
      </c>
      <c r="I17" s="125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27">
        <v>241949355.72999999</v>
      </c>
      <c r="D18" s="98">
        <f t="shared" si="0"/>
        <v>7.2529079172277937</v>
      </c>
      <c r="E18" s="127">
        <v>234882396.70208701</v>
      </c>
      <c r="F18" s="98">
        <f t="shared" si="1"/>
        <v>6.6800886323213922</v>
      </c>
      <c r="G18" s="127">
        <v>254875867.28178996</v>
      </c>
      <c r="H18" s="98">
        <f t="shared" si="2"/>
        <v>7.2487057676000486</v>
      </c>
      <c r="I18" s="127">
        <f t="shared" si="3"/>
        <v>19993470.579702944</v>
      </c>
      <c r="J18" s="98">
        <f t="shared" si="4"/>
        <v>8.5121196225963445</v>
      </c>
      <c r="L18" s="127">
        <f>+G18-C18</f>
        <v>12926511.551789969</v>
      </c>
    </row>
    <row r="19" spans="2:12">
      <c r="B19" s="97" t="s">
        <v>23</v>
      </c>
      <c r="C19" s="127">
        <v>134703897.09</v>
      </c>
      <c r="D19" s="98">
        <f t="shared" si="0"/>
        <v>4.038014313936686</v>
      </c>
      <c r="E19" s="127">
        <v>138667298.82084399</v>
      </c>
      <c r="F19" s="98">
        <f t="shared" si="1"/>
        <v>3.9437176201106214</v>
      </c>
      <c r="G19" s="127">
        <v>139196347.37307</v>
      </c>
      <c r="H19" s="98">
        <f t="shared" si="2"/>
        <v>3.9587638358734543</v>
      </c>
      <c r="I19" s="127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27">
        <v>10770190.189999999</v>
      </c>
      <c r="D20" s="98">
        <f t="shared" si="0"/>
        <v>0.32285763879558199</v>
      </c>
      <c r="E20" s="127">
        <v>11617385.520490499</v>
      </c>
      <c r="F20" s="98">
        <f t="shared" si="1"/>
        <v>0.33040008975706336</v>
      </c>
      <c r="G20" s="127">
        <v>11434714.104369998</v>
      </c>
      <c r="H20" s="98">
        <f t="shared" si="2"/>
        <v>0.3252048888079504</v>
      </c>
      <c r="I20" s="127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27">
        <v>11070841.180000002</v>
      </c>
      <c r="D21" s="98">
        <f t="shared" si="0"/>
        <v>0.33187024368189877</v>
      </c>
      <c r="E21" s="126">
        <v>12656092.6657611</v>
      </c>
      <c r="F21" s="98">
        <f t="shared" si="1"/>
        <v>0.3599410680971038</v>
      </c>
      <c r="G21" s="127">
        <v>12052723.97714</v>
      </c>
      <c r="H21" s="98">
        <f t="shared" si="2"/>
        <v>0.34278117712805589</v>
      </c>
      <c r="I21" s="127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25">
        <f>SUM(C23:C26)</f>
        <v>27069458</v>
      </c>
      <c r="D22" s="96">
        <f t="shared" si="0"/>
        <v>0.81146025642804165</v>
      </c>
      <c r="E22" s="125">
        <f>+SUM(E23:E26)</f>
        <v>20923047.198280636</v>
      </c>
      <c r="F22" s="96">
        <f t="shared" si="1"/>
        <v>0.59505442598166625</v>
      </c>
      <c r="G22" s="125">
        <f>+SUM(G23:G26)</f>
        <v>19923047.198280636</v>
      </c>
      <c r="H22" s="96">
        <f t="shared" si="2"/>
        <v>0.56661428433582772</v>
      </c>
      <c r="I22" s="125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27">
        <v>7881462.9399999995</v>
      </c>
      <c r="D23" s="98">
        <f t="shared" si="0"/>
        <v>0.23626235657620134</v>
      </c>
      <c r="E23" s="127">
        <v>8144616.5029747505</v>
      </c>
      <c r="F23" s="98">
        <f t="shared" si="1"/>
        <v>0.23163404699563594</v>
      </c>
      <c r="G23" s="127">
        <v>8144616.5029747505</v>
      </c>
      <c r="H23" s="98">
        <f t="shared" si="2"/>
        <v>0.23163404699563594</v>
      </c>
      <c r="I23" s="127">
        <f t="shared" si="3"/>
        <v>0</v>
      </c>
      <c r="J23" s="98">
        <f t="shared" si="4"/>
        <v>0</v>
      </c>
    </row>
    <row r="24" spans="2:12">
      <c r="B24" s="97" t="s">
        <v>32</v>
      </c>
      <c r="C24" s="127">
        <v>4557791.26</v>
      </c>
      <c r="D24" s="98">
        <f t="shared" si="0"/>
        <v>0.13662875941531916</v>
      </c>
      <c r="E24" s="127">
        <v>3676083.5729169641</v>
      </c>
      <c r="F24" s="98">
        <f t="shared" si="1"/>
        <v>0.10454833751569864</v>
      </c>
      <c r="G24" s="127">
        <v>5176083.5729169641</v>
      </c>
      <c r="H24" s="98">
        <f t="shared" si="2"/>
        <v>0.14720854998445643</v>
      </c>
      <c r="I24" s="127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27">
        <v>767936.98999999987</v>
      </c>
      <c r="D25" s="98">
        <f t="shared" si="0"/>
        <v>2.3020422013103413E-2</v>
      </c>
      <c r="E25" s="127">
        <v>762511.44191594806</v>
      </c>
      <c r="F25" s="98">
        <f t="shared" si="1"/>
        <v>2.1685933414662142E-2</v>
      </c>
      <c r="G25" s="127">
        <v>762511.44191594806</v>
      </c>
      <c r="H25" s="98">
        <f t="shared" si="2"/>
        <v>2.1685933414662142E-2</v>
      </c>
      <c r="I25" s="127">
        <f t="shared" si="3"/>
        <v>0</v>
      </c>
      <c r="J25" s="98">
        <f t="shared" si="4"/>
        <v>0</v>
      </c>
    </row>
    <row r="26" spans="2:12">
      <c r="B26" s="97" t="s">
        <v>37</v>
      </c>
      <c r="C26" s="126">
        <v>13862266.809999999</v>
      </c>
      <c r="D26" s="98">
        <f t="shared" si="0"/>
        <v>0.41554871842341756</v>
      </c>
      <c r="E26" s="126">
        <v>8339835.6804729737</v>
      </c>
      <c r="F26" s="98">
        <f t="shared" si="1"/>
        <v>0.23718610805566953</v>
      </c>
      <c r="G26" s="126">
        <v>5839835.6804729737</v>
      </c>
      <c r="H26" s="98">
        <f t="shared" si="2"/>
        <v>0.16608575394107319</v>
      </c>
      <c r="I26" s="126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25">
        <f>SUM(C28:C33)</f>
        <v>13233490.18</v>
      </c>
      <c r="D27" s="96">
        <f t="shared" si="0"/>
        <v>0.39669990196703492</v>
      </c>
      <c r="E27" s="125">
        <f>+SUM(E28:E33)</f>
        <v>13024243.76827177</v>
      </c>
      <c r="F27" s="96">
        <f t="shared" si="1"/>
        <v>0.37041133759957889</v>
      </c>
      <c r="G27" s="125">
        <f>+SUM(G28:G33)</f>
        <v>12724243.76827177</v>
      </c>
      <c r="H27" s="96">
        <f t="shared" si="2"/>
        <v>0.36187929510582734</v>
      </c>
      <c r="I27" s="125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27">
        <v>647266.8600000001</v>
      </c>
      <c r="D28" s="98">
        <f t="shared" si="0"/>
        <v>1.9403097475870164E-2</v>
      </c>
      <c r="E28" s="127">
        <v>698651.48499726248</v>
      </c>
      <c r="F28" s="98">
        <f t="shared" si="1"/>
        <v>1.9869747194397578E-2</v>
      </c>
      <c r="G28" s="127">
        <v>698651.48499726248</v>
      </c>
      <c r="H28" s="98">
        <f t="shared" si="2"/>
        <v>1.9869747194397578E-2</v>
      </c>
      <c r="I28" s="127">
        <f t="shared" si="3"/>
        <v>0</v>
      </c>
      <c r="J28" s="98">
        <f t="shared" si="4"/>
        <v>0</v>
      </c>
    </row>
    <row r="29" spans="2:12">
      <c r="B29" s="97" t="s">
        <v>42</v>
      </c>
      <c r="C29" s="127">
        <v>1995183.6300000001</v>
      </c>
      <c r="D29" s="98">
        <f t="shared" si="0"/>
        <v>5.9809554370125591E-2</v>
      </c>
      <c r="E29" s="127">
        <v>1997965.7673730874</v>
      </c>
      <c r="F29" s="98">
        <f t="shared" si="1"/>
        <v>5.6822429427627073E-2</v>
      </c>
      <c r="G29" s="127">
        <v>1997965.7673730874</v>
      </c>
      <c r="H29" s="98">
        <f t="shared" si="2"/>
        <v>5.6822429427627073E-2</v>
      </c>
      <c r="I29" s="127">
        <f t="shared" si="3"/>
        <v>0</v>
      </c>
      <c r="J29" s="98">
        <f t="shared" si="4"/>
        <v>0</v>
      </c>
    </row>
    <row r="30" spans="2:12">
      <c r="B30" s="97" t="s">
        <v>45</v>
      </c>
      <c r="C30" s="127">
        <v>309851.25</v>
      </c>
      <c r="D30" s="98">
        <f t="shared" si="0"/>
        <v>9.2884007791936302E-3</v>
      </c>
      <c r="E30" s="127">
        <v>424373.88097611902</v>
      </c>
      <c r="F30" s="98">
        <f t="shared" si="1"/>
        <v>1.2069253285755047E-2</v>
      </c>
      <c r="G30" s="127">
        <v>424373.88097611902</v>
      </c>
      <c r="H30" s="98">
        <f t="shared" si="2"/>
        <v>1.2069253285755047E-2</v>
      </c>
      <c r="I30" s="127">
        <f t="shared" si="3"/>
        <v>0</v>
      </c>
      <c r="J30" s="98">
        <f t="shared" si="4"/>
        <v>0</v>
      </c>
    </row>
    <row r="31" spans="2:12">
      <c r="B31" s="97" t="s">
        <v>47</v>
      </c>
      <c r="C31" s="127">
        <v>3324177.16</v>
      </c>
      <c r="D31" s="98">
        <f t="shared" si="0"/>
        <v>9.9648749918296836E-2</v>
      </c>
      <c r="E31" s="127">
        <v>3266343.0516235088</v>
      </c>
      <c r="F31" s="98">
        <f t="shared" si="1"/>
        <v>9.2895259052073062E-2</v>
      </c>
      <c r="G31" s="127">
        <v>3666343.0516235088</v>
      </c>
      <c r="H31" s="98">
        <f t="shared" si="2"/>
        <v>0.10427131571040847</v>
      </c>
      <c r="I31" s="127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27">
        <v>3659024.1899999995</v>
      </c>
      <c r="D32" s="98">
        <f t="shared" si="0"/>
        <v>0.10968644837638813</v>
      </c>
      <c r="E32" s="127">
        <v>3355752.0175728933</v>
      </c>
      <c r="F32" s="98">
        <f t="shared" si="1"/>
        <v>9.5438062708081514E-2</v>
      </c>
      <c r="G32" s="127">
        <v>3355752.0175728933</v>
      </c>
      <c r="H32" s="98">
        <f t="shared" si="2"/>
        <v>9.5438062708081514E-2</v>
      </c>
      <c r="I32" s="127">
        <f t="shared" si="3"/>
        <v>0</v>
      </c>
      <c r="J32" s="98">
        <f t="shared" si="4"/>
        <v>0</v>
      </c>
    </row>
    <row r="33" spans="2:10">
      <c r="B33" s="97" t="s">
        <v>51</v>
      </c>
      <c r="C33" s="127">
        <v>3297987.09</v>
      </c>
      <c r="D33" s="98">
        <f t="shared" si="0"/>
        <v>9.8863651047160633E-2</v>
      </c>
      <c r="E33" s="127">
        <v>3281157.5657288986</v>
      </c>
      <c r="F33" s="98">
        <f t="shared" si="1"/>
        <v>9.331658593164463E-2</v>
      </c>
      <c r="G33" s="127">
        <v>2581157.5657288986</v>
      </c>
      <c r="H33" s="98">
        <f t="shared" si="2"/>
        <v>7.340848677955765E-2</v>
      </c>
      <c r="I33" s="127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25">
        <f>SUM(C35:C38)</f>
        <v>33088194.540000003</v>
      </c>
      <c r="D34" s="96">
        <f t="shared" si="0"/>
        <v>0.99188372468223518</v>
      </c>
      <c r="E34" s="125">
        <f>+SUM(E35:E38)</f>
        <v>31410770.914738216</v>
      </c>
      <c r="F34" s="96">
        <f t="shared" si="1"/>
        <v>0.89332677402013982</v>
      </c>
      <c r="G34" s="125">
        <f>+SUM(G35:G38)</f>
        <v>31310770.914738216</v>
      </c>
      <c r="H34" s="96">
        <f t="shared" si="2"/>
        <v>0.89048275985555603</v>
      </c>
      <c r="I34" s="125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27">
        <v>6034873.3200000003</v>
      </c>
      <c r="D35" s="98">
        <f t="shared" si="0"/>
        <v>0.18090719998006413</v>
      </c>
      <c r="E35" s="127">
        <v>5533606.7424404304</v>
      </c>
      <c r="F35" s="98">
        <f t="shared" si="1"/>
        <v>0.15737655956737298</v>
      </c>
      <c r="G35" s="127">
        <v>6533606.7424404304</v>
      </c>
      <c r="H35" s="98">
        <f t="shared" si="2"/>
        <v>0.1858167012132115</v>
      </c>
      <c r="I35" s="127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27">
        <v>12316700.43</v>
      </c>
      <c r="D36" s="98">
        <f t="shared" si="0"/>
        <v>0.36921732563966259</v>
      </c>
      <c r="E36" s="127">
        <v>11824073.889814863</v>
      </c>
      <c r="F36" s="98">
        <f t="shared" si="1"/>
        <v>0.33627833625719566</v>
      </c>
      <c r="G36" s="127">
        <v>12424073.889814863</v>
      </c>
      <c r="H36" s="98">
        <f t="shared" si="2"/>
        <v>0.35334242124469878</v>
      </c>
      <c r="I36" s="127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27">
        <v>2179410.2600000002</v>
      </c>
      <c r="D37" s="98">
        <f t="shared" si="0"/>
        <v>6.5332110027526411E-2</v>
      </c>
      <c r="E37" s="127">
        <v>2220205.3434794326</v>
      </c>
      <c r="F37" s="98">
        <f t="shared" si="1"/>
        <v>6.3142954451402653E-2</v>
      </c>
      <c r="G37" s="127">
        <v>2220205.3434794326</v>
      </c>
      <c r="H37" s="98">
        <f t="shared" si="2"/>
        <v>6.3142954451402653E-2</v>
      </c>
      <c r="I37" s="127">
        <f t="shared" si="3"/>
        <v>0</v>
      </c>
      <c r="J37" s="98">
        <f t="shared" si="4"/>
        <v>0</v>
      </c>
    </row>
    <row r="38" spans="2:10">
      <c r="B38" s="97" t="s">
        <v>53</v>
      </c>
      <c r="C38" s="127">
        <v>12557210.530000001</v>
      </c>
      <c r="D38" s="98">
        <f t="shared" si="0"/>
        <v>0.37642708903498195</v>
      </c>
      <c r="E38" s="127">
        <v>11832884.939003492</v>
      </c>
      <c r="F38" s="98">
        <f t="shared" si="1"/>
        <v>0.33652892374416871</v>
      </c>
      <c r="G38" s="127">
        <v>10132884.939003492</v>
      </c>
      <c r="H38" s="98">
        <f t="shared" si="2"/>
        <v>0.28818068294624322</v>
      </c>
      <c r="I38" s="127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25">
        <v>7564493.0600000005</v>
      </c>
      <c r="D39" s="96">
        <f t="shared" si="0"/>
        <v>0.22676056085850488</v>
      </c>
      <c r="E39" s="125">
        <v>7046262.4871663069</v>
      </c>
      <c r="F39" s="96">
        <f t="shared" si="1"/>
        <v>0.20039670320876826</v>
      </c>
      <c r="G39" s="125">
        <v>7738476.4003799995</v>
      </c>
      <c r="H39" s="96">
        <f t="shared" si="2"/>
        <v>0.22008336494978584</v>
      </c>
      <c r="I39" s="125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27">
        <v>6615451.54</v>
      </c>
      <c r="D40" s="98">
        <f t="shared" si="0"/>
        <v>0.19831117427750797</v>
      </c>
      <c r="E40" s="125">
        <v>8000000</v>
      </c>
      <c r="F40" s="96">
        <f t="shared" si="1"/>
        <v>0.22752113316670824</v>
      </c>
      <c r="G40" s="125">
        <v>8000000</v>
      </c>
      <c r="H40" s="96">
        <f t="shared" si="2"/>
        <v>0.22752113316670824</v>
      </c>
      <c r="I40" s="125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25">
        <v>366128508.17291778</v>
      </c>
      <c r="D44" s="96">
        <f t="shared" si="0"/>
        <v>10.975422305375018</v>
      </c>
      <c r="E44" s="125">
        <v>386488693.71999997</v>
      </c>
      <c r="F44" s="96">
        <f t="shared" si="1"/>
        <v>10.991793193911903</v>
      </c>
      <c r="G44" s="125">
        <v>386488693.71999997</v>
      </c>
      <c r="H44" s="96">
        <f t="shared" si="2"/>
        <v>10.991793193911903</v>
      </c>
      <c r="I44" s="125">
        <f t="shared" si="5"/>
        <v>0</v>
      </c>
      <c r="J44" s="96">
        <f t="shared" si="4"/>
        <v>0</v>
      </c>
    </row>
    <row r="45" spans="2:10">
      <c r="B45" s="93" t="s">
        <v>74</v>
      </c>
      <c r="C45" s="125">
        <v>12022159.040000001</v>
      </c>
      <c r="D45" s="96">
        <f t="shared" si="0"/>
        <v>0.36038786803256645</v>
      </c>
      <c r="E45" s="125">
        <v>11478163.960000001</v>
      </c>
      <c r="F45" s="96">
        <f t="shared" si="1"/>
        <v>0.3264406088565589</v>
      </c>
      <c r="G45" s="125">
        <v>11478163.960000001</v>
      </c>
      <c r="H45" s="96">
        <f t="shared" si="2"/>
        <v>0.3264406088565589</v>
      </c>
      <c r="I45" s="125">
        <f t="shared" si="5"/>
        <v>0</v>
      </c>
      <c r="J45" s="96">
        <f t="shared" si="4"/>
        <v>0</v>
      </c>
    </row>
    <row r="46" spans="2:10">
      <c r="B46" s="93" t="s">
        <v>428</v>
      </c>
      <c r="C46" s="125">
        <v>90442340.840000004</v>
      </c>
      <c r="D46" s="96">
        <f t="shared" si="0"/>
        <v>2.7111870910004456</v>
      </c>
      <c r="E46" s="125">
        <v>89210330.25999999</v>
      </c>
      <c r="F46" s="96">
        <f t="shared" si="1"/>
        <v>2.5371544288664349</v>
      </c>
      <c r="G46" s="125">
        <v>29295302.830000002</v>
      </c>
      <c r="H46" s="96">
        <f t="shared" si="2"/>
        <v>0.83316256204293437</v>
      </c>
      <c r="I46" s="125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25"/>
      <c r="D47" s="96">
        <f t="shared" si="0"/>
        <v>0</v>
      </c>
      <c r="E47" s="125"/>
      <c r="F47" s="96">
        <f t="shared" si="1"/>
        <v>0</v>
      </c>
      <c r="G47" s="125">
        <v>40692845.799999997</v>
      </c>
      <c r="H47" s="96">
        <f t="shared" si="2"/>
        <v>1.1573102985242654</v>
      </c>
      <c r="I47" s="125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25">
        <v>20416485.639999997</v>
      </c>
      <c r="D48" s="96">
        <f t="shared" si="0"/>
        <v>0.61202432175752564</v>
      </c>
      <c r="E48" s="125">
        <v>21655403.200000003</v>
      </c>
      <c r="F48" s="96">
        <f t="shared" si="1"/>
        <v>0.61588273440574504</v>
      </c>
      <c r="G48" s="125">
        <v>21655403.200000003</v>
      </c>
      <c r="H48" s="96">
        <f t="shared" si="2"/>
        <v>0.61588273440574504</v>
      </c>
      <c r="I48" s="125">
        <f t="shared" si="5"/>
        <v>0</v>
      </c>
      <c r="J48" s="96">
        <f t="shared" si="4"/>
        <v>0</v>
      </c>
    </row>
    <row r="49" spans="2:10">
      <c r="B49" s="93" t="s">
        <v>79</v>
      </c>
      <c r="C49" s="125">
        <v>67427730.789999992</v>
      </c>
      <c r="D49" s="96">
        <f t="shared" si="0"/>
        <v>2.0212788788462022</v>
      </c>
      <c r="E49" s="125">
        <v>73316123.120000005</v>
      </c>
      <c r="F49" s="96">
        <f t="shared" si="1"/>
        <v>2.0851209264565371</v>
      </c>
      <c r="G49" s="125">
        <v>73316123.120000005</v>
      </c>
      <c r="H49" s="96">
        <f t="shared" si="2"/>
        <v>2.0851209264565371</v>
      </c>
      <c r="I49" s="125">
        <f t="shared" si="5"/>
        <v>0</v>
      </c>
      <c r="J49" s="96">
        <f t="shared" si="4"/>
        <v>0</v>
      </c>
    </row>
    <row r="50" spans="2:10">
      <c r="B50" s="93" t="s">
        <v>81</v>
      </c>
      <c r="C50" s="125">
        <v>7928041.8100000005</v>
      </c>
      <c r="D50" s="96">
        <f t="shared" si="0"/>
        <v>0.23765864983757101</v>
      </c>
      <c r="E50" s="125">
        <v>8172802.1399999997</v>
      </c>
      <c r="F50" s="96">
        <f t="shared" si="1"/>
        <v>0.23243565050501225</v>
      </c>
      <c r="G50" s="125">
        <v>8172802.1399999997</v>
      </c>
      <c r="H50" s="96">
        <f t="shared" si="2"/>
        <v>0.23243565050501225</v>
      </c>
      <c r="I50" s="125">
        <f t="shared" si="5"/>
        <v>0</v>
      </c>
      <c r="J50" s="96">
        <f t="shared" si="4"/>
        <v>0</v>
      </c>
    </row>
    <row r="51" spans="2:10">
      <c r="B51" s="93" t="s">
        <v>83</v>
      </c>
      <c r="C51" s="125">
        <v>17426749.959999997</v>
      </c>
      <c r="D51" s="96">
        <f t="shared" si="0"/>
        <v>0.52240111313824467</v>
      </c>
      <c r="E51" s="125">
        <v>18874600</v>
      </c>
      <c r="F51" s="96">
        <f t="shared" si="1"/>
        <v>0.53679629750854385</v>
      </c>
      <c r="G51" s="125">
        <v>18874600</v>
      </c>
      <c r="H51" s="96">
        <f t="shared" si="2"/>
        <v>0.53679629750854385</v>
      </c>
      <c r="I51" s="125">
        <f t="shared" si="5"/>
        <v>0</v>
      </c>
      <c r="J51" s="96">
        <f t="shared" si="4"/>
        <v>0</v>
      </c>
    </row>
    <row r="52" spans="2:10">
      <c r="B52" s="93" t="s">
        <v>85</v>
      </c>
      <c r="C52" s="125">
        <v>6279093.0100000007</v>
      </c>
      <c r="D52" s="96">
        <f t="shared" si="0"/>
        <v>0.18822816563339112</v>
      </c>
      <c r="E52" s="125">
        <v>5827393.7300000023</v>
      </c>
      <c r="F52" s="96">
        <f t="shared" si="1"/>
        <v>0.16573190310727137</v>
      </c>
      <c r="G52" s="125">
        <v>25049575.370000001</v>
      </c>
      <c r="H52" s="96">
        <f t="shared" si="2"/>
        <v>0.71241347169090818</v>
      </c>
      <c r="I52" s="125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25">
        <v>12216538.75</v>
      </c>
      <c r="D53" s="129">
        <f t="shared" si="0"/>
        <v>0.36621478223679643</v>
      </c>
      <c r="E53" s="125"/>
      <c r="F53" s="129">
        <f t="shared" si="1"/>
        <v>0</v>
      </c>
      <c r="G53" s="125">
        <v>10502963.32</v>
      </c>
      <c r="H53" s="129">
        <f t="shared" si="2"/>
        <v>0.2987057645218465</v>
      </c>
      <c r="I53" s="125">
        <f t="shared" si="5"/>
        <v>10502963.32</v>
      </c>
      <c r="J53" s="129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27">
        <v>64036543.990000002</v>
      </c>
      <c r="D55" s="98">
        <f t="shared" si="0"/>
        <v>1.919621383142986</v>
      </c>
      <c r="E55" s="127">
        <v>58645000</v>
      </c>
      <c r="F55" s="98">
        <f t="shared" si="1"/>
        <v>1.6678721068202007</v>
      </c>
      <c r="G55" s="127">
        <v>58645000</v>
      </c>
      <c r="H55" s="98">
        <f t="shared" si="2"/>
        <v>1.6678721068202007</v>
      </c>
      <c r="I55" s="127">
        <f t="shared" si="5"/>
        <v>0</v>
      </c>
      <c r="J55" s="98">
        <f t="shared" si="4"/>
        <v>0</v>
      </c>
    </row>
    <row r="56" spans="2:10">
      <c r="B56" s="97" t="s">
        <v>90</v>
      </c>
      <c r="C56" s="127">
        <v>13086355.520000001</v>
      </c>
      <c r="D56" s="98">
        <f t="shared" si="0"/>
        <v>0.39228925108022916</v>
      </c>
      <c r="E56" s="127">
        <v>20758124</v>
      </c>
      <c r="F56" s="98">
        <f t="shared" si="1"/>
        <v>0.59036398686188019</v>
      </c>
      <c r="G56" s="127">
        <v>20758124</v>
      </c>
      <c r="H56" s="98">
        <f t="shared" si="2"/>
        <v>0.59036398686188019</v>
      </c>
      <c r="I56" s="127">
        <f t="shared" si="5"/>
        <v>0</v>
      </c>
      <c r="J56" s="98">
        <f t="shared" si="4"/>
        <v>0</v>
      </c>
    </row>
    <row r="57" spans="2:10">
      <c r="B57" s="97" t="s">
        <v>92</v>
      </c>
      <c r="C57" s="127">
        <v>383190248.31999987</v>
      </c>
      <c r="D57" s="98">
        <f t="shared" si="0"/>
        <v>11.486881531298929</v>
      </c>
      <c r="E57" s="127">
        <v>397320274.96999997</v>
      </c>
      <c r="F57" s="98">
        <f t="shared" si="1"/>
        <v>11.299844898910312</v>
      </c>
      <c r="G57" s="127">
        <v>397320274.96999997</v>
      </c>
      <c r="H57" s="98">
        <f t="shared" si="2"/>
        <v>11.299844898910312</v>
      </c>
      <c r="I57" s="127">
        <f t="shared" si="5"/>
        <v>0</v>
      </c>
      <c r="J57" s="98">
        <f t="shared" si="4"/>
        <v>0</v>
      </c>
    </row>
    <row r="58" spans="2:10">
      <c r="B58" s="97" t="s">
        <v>94</v>
      </c>
      <c r="C58" s="127">
        <v>14792096.089999998</v>
      </c>
      <c r="D58" s="98">
        <f t="shared" si="0"/>
        <v>0.44342218031478986</v>
      </c>
      <c r="E58" s="127">
        <v>14500000</v>
      </c>
      <c r="F58" s="98">
        <f t="shared" si="1"/>
        <v>0.4123820538646587</v>
      </c>
      <c r="G58" s="127">
        <v>14500000</v>
      </c>
      <c r="H58" s="98">
        <f t="shared" si="2"/>
        <v>0.4123820538646587</v>
      </c>
      <c r="I58" s="127">
        <f t="shared" si="5"/>
        <v>0</v>
      </c>
      <c r="J58" s="98">
        <f t="shared" si="4"/>
        <v>0</v>
      </c>
    </row>
    <row r="59" spans="2:10">
      <c r="B59" s="97" t="s">
        <v>431</v>
      </c>
      <c r="C59" s="127">
        <v>7862525.3600000013</v>
      </c>
      <c r="D59" s="98">
        <f t="shared" si="0"/>
        <v>0.23569466536040659</v>
      </c>
      <c r="E59" s="127">
        <v>7000000</v>
      </c>
      <c r="F59" s="98">
        <f t="shared" si="1"/>
        <v>0.19908099152086972</v>
      </c>
      <c r="G59" s="127">
        <v>7000000</v>
      </c>
      <c r="H59" s="98">
        <f t="shared" si="2"/>
        <v>0.19908099152086972</v>
      </c>
      <c r="I59" s="127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27">
        <v>94307106.209999993</v>
      </c>
      <c r="D61" s="98">
        <f t="shared" si="0"/>
        <v>2.8270410359953697</v>
      </c>
      <c r="E61" s="127">
        <v>101040047.61999999</v>
      </c>
      <c r="F61" s="98">
        <f t="shared" si="1"/>
        <v>2.8735932662150696</v>
      </c>
      <c r="G61" s="127">
        <v>101040047.61999999</v>
      </c>
      <c r="H61" s="98">
        <f t="shared" si="2"/>
        <v>2.8735932662150696</v>
      </c>
      <c r="I61" s="127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27"/>
      <c r="D62" s="98">
        <f t="shared" si="0"/>
        <v>0</v>
      </c>
      <c r="E62" s="127"/>
      <c r="F62" s="98">
        <f t="shared" si="1"/>
        <v>0</v>
      </c>
      <c r="G62" s="127"/>
      <c r="H62" s="98">
        <f t="shared" si="2"/>
        <v>0</v>
      </c>
      <c r="I62" s="127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31">
        <v>61785502.860000007</v>
      </c>
      <c r="D63" s="92">
        <f t="shared" si="0"/>
        <v>1.8521419968700925</v>
      </c>
      <c r="E63" s="131">
        <v>101820500</v>
      </c>
      <c r="F63" s="92">
        <f t="shared" si="1"/>
        <v>2.8957894424501021</v>
      </c>
      <c r="G63" s="131">
        <v>101820500</v>
      </c>
      <c r="H63" s="92">
        <f t="shared" si="2"/>
        <v>2.8957894424501021</v>
      </c>
      <c r="I63" s="131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25">
        <v>2752781.9799999995</v>
      </c>
      <c r="D64" s="96">
        <f t="shared" si="0"/>
        <v>8.2520055310353516E-2</v>
      </c>
      <c r="E64" s="125">
        <v>2140000</v>
      </c>
      <c r="F64" s="96">
        <f t="shared" si="1"/>
        <v>6.0861903122094448E-2</v>
      </c>
      <c r="G64" s="125">
        <v>2140000</v>
      </c>
      <c r="H64" s="96">
        <f t="shared" si="2"/>
        <v>6.0861903122094448E-2</v>
      </c>
      <c r="I64" s="125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25">
        <v>14126844.789999999</v>
      </c>
      <c r="D65" s="96">
        <f t="shared" si="0"/>
        <v>0.42347996386970665</v>
      </c>
      <c r="E65" s="125">
        <v>8854649.7699999996</v>
      </c>
      <c r="F65" s="96">
        <f t="shared" si="1"/>
        <v>0.25182749368309154</v>
      </c>
      <c r="G65" s="125">
        <v>8854649.7699999996</v>
      </c>
      <c r="H65" s="96">
        <f t="shared" si="2"/>
        <v>0.25182749368309154</v>
      </c>
      <c r="I65" s="125">
        <f t="shared" si="5"/>
        <v>0</v>
      </c>
      <c r="J65" s="96">
        <f t="shared" si="4"/>
        <v>0</v>
      </c>
    </row>
    <row r="66" spans="2:10" ht="14.25" thickTop="1" thickBot="1">
      <c r="B66" s="119" t="s">
        <v>112</v>
      </c>
      <c r="C66" s="132">
        <v>107239350.92999999</v>
      </c>
      <c r="D66" s="121">
        <f t="shared" si="0"/>
        <v>3.2147105126683559</v>
      </c>
      <c r="E66" s="132">
        <v>0</v>
      </c>
      <c r="F66" s="121">
        <f t="shared" si="1"/>
        <v>0</v>
      </c>
      <c r="G66" s="132">
        <v>5153201.26</v>
      </c>
      <c r="H66" s="121">
        <f t="shared" si="2"/>
        <v>0.14655777376391357</v>
      </c>
      <c r="I66" s="132">
        <f t="shared" si="5"/>
        <v>5153201.26</v>
      </c>
      <c r="J66" s="121" t="e">
        <f t="shared" si="4"/>
        <v>#DIV/0!</v>
      </c>
    </row>
    <row r="67" spans="2:10" ht="14.25" thickTop="1" thickBot="1">
      <c r="B67" s="144" t="s">
        <v>151</v>
      </c>
      <c r="C67" s="125">
        <v>0</v>
      </c>
      <c r="D67" s="96">
        <f t="shared" si="0"/>
        <v>0</v>
      </c>
      <c r="E67" s="125">
        <v>0</v>
      </c>
      <c r="F67" s="96">
        <f t="shared" si="1"/>
        <v>0</v>
      </c>
      <c r="G67" s="125">
        <v>0</v>
      </c>
      <c r="H67" s="96">
        <f t="shared" si="2"/>
        <v>0</v>
      </c>
      <c r="I67" s="125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27">
        <v>112695950.91</v>
      </c>
      <c r="D71" s="98">
        <f t="shared" si="0"/>
        <v>3.3782828316632929</v>
      </c>
      <c r="E71" s="127">
        <v>30008345.27</v>
      </c>
      <c r="F71" s="98">
        <f t="shared" si="1"/>
        <v>0.8534415900360286</v>
      </c>
      <c r="G71" s="127">
        <v>30008345.27</v>
      </c>
      <c r="H71" s="98">
        <f t="shared" si="2"/>
        <v>0.8534415900360286</v>
      </c>
      <c r="I71" s="127">
        <f t="shared" si="5"/>
        <v>0</v>
      </c>
      <c r="J71" s="98">
        <f t="shared" si="4"/>
        <v>0</v>
      </c>
    </row>
    <row r="72" spans="2:10">
      <c r="B72" s="97" t="s">
        <v>136</v>
      </c>
      <c r="C72" s="127">
        <v>68802905.489999995</v>
      </c>
      <c r="D72" s="98">
        <f t="shared" si="0"/>
        <v>2.0625024458158605</v>
      </c>
      <c r="E72" s="127">
        <v>108080400.25</v>
      </c>
      <c r="F72" s="98">
        <f t="shared" si="1"/>
        <v>3.073821892248922</v>
      </c>
      <c r="G72" s="127">
        <v>108080400.25</v>
      </c>
      <c r="H72" s="98">
        <f t="shared" si="2"/>
        <v>3.073821892248922</v>
      </c>
      <c r="I72" s="127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27">
        <v>60278571.609999992</v>
      </c>
      <c r="D73" s="98">
        <f t="shared" ref="D73:D79" si="6">C73/C$3*100</f>
        <v>1.8069687681137414</v>
      </c>
      <c r="E73" s="127">
        <v>33338159.969999999</v>
      </c>
      <c r="F73" s="98">
        <f t="shared" si="1"/>
        <v>0.94814199175842395</v>
      </c>
      <c r="G73" s="127">
        <v>33338159.969999999</v>
      </c>
      <c r="H73" s="98">
        <f t="shared" ref="H73:H79" si="7">G73/E$3*100</f>
        <v>0.94814199175842395</v>
      </c>
      <c r="I73" s="127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27">
        <v>102834751.84999999</v>
      </c>
      <c r="D76" s="98">
        <f t="shared" si="6"/>
        <v>3.0826739902186082</v>
      </c>
      <c r="E76" s="127">
        <v>0</v>
      </c>
      <c r="F76" s="98">
        <f t="shared" si="8"/>
        <v>0</v>
      </c>
      <c r="G76" s="146">
        <v>0</v>
      </c>
      <c r="H76" s="147">
        <f t="shared" si="7"/>
        <v>0</v>
      </c>
      <c r="I76" s="127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27">
        <v>230537476.81999999</v>
      </c>
      <c r="D77" s="98">
        <f t="shared" si="6"/>
        <v>6.910814396676539</v>
      </c>
      <c r="E77" s="127">
        <v>227975575.86282945</v>
      </c>
      <c r="F77" s="98">
        <f t="shared" si="8"/>
        <v>6.4836576693304764</v>
      </c>
      <c r="G77" s="146">
        <v>227975575.86282945</v>
      </c>
      <c r="H77" s="147">
        <f t="shared" si="7"/>
        <v>6.4836576693304764</v>
      </c>
      <c r="I77" s="127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27">
        <v>11948846.35</v>
      </c>
      <c r="D78" s="104">
        <f t="shared" si="6"/>
        <v>0.35819017592410862</v>
      </c>
      <c r="E78" s="127">
        <v>5000000</v>
      </c>
      <c r="F78" s="104">
        <f t="shared" si="8"/>
        <v>0.14220070822919265</v>
      </c>
      <c r="G78" s="146">
        <v>5000000</v>
      </c>
      <c r="H78" s="147">
        <f t="shared" si="7"/>
        <v>0.14220070822919265</v>
      </c>
      <c r="I78" s="127">
        <f t="shared" si="9"/>
        <v>0</v>
      </c>
      <c r="J78" s="104">
        <f t="shared" si="10"/>
        <v>0</v>
      </c>
    </row>
    <row r="79" spans="2:10" ht="14.25" thickTop="1" thickBot="1">
      <c r="B79" s="119" t="s">
        <v>124</v>
      </c>
      <c r="C79" s="120">
        <f>-C74-SUM(C76:C78)</f>
        <v>24776977.5729177</v>
      </c>
      <c r="D79" s="121">
        <f t="shared" si="6"/>
        <v>0.74273864570290371</v>
      </c>
      <c r="E79" s="120">
        <f>-E74-SUM(E76:E78)</f>
        <v>-10502963.319999933</v>
      </c>
      <c r="F79" s="121">
        <f t="shared" si="8"/>
        <v>-0.29870576452184461</v>
      </c>
      <c r="G79" s="148">
        <f>-G74-SUM(G76:G78)</f>
        <v>-27124068.379600048</v>
      </c>
      <c r="H79" s="149">
        <f t="shared" si="7"/>
        <v>-0.77141234672723535</v>
      </c>
      <c r="I79" s="120">
        <f t="shared" si="9"/>
        <v>-16621105.059600115</v>
      </c>
      <c r="J79" s="121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43">
        <v>-26424601.993229389</v>
      </c>
      <c r="E5" s="143">
        <v>-24569497.372829676</v>
      </c>
      <c r="F5" s="143">
        <v>33498994.005818129</v>
      </c>
      <c r="G5" s="143">
        <v>103834080.12588143</v>
      </c>
    </row>
    <row r="6" spans="3:7">
      <c r="C6" t="s">
        <v>441</v>
      </c>
      <c r="D6" s="143">
        <v>-51424601.993229389</v>
      </c>
      <c r="E6" s="143">
        <v>-149569497.37282968</v>
      </c>
      <c r="F6" s="143">
        <v>-191501005.99418187</v>
      </c>
      <c r="G6" s="143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milena.milovic</cp:lastModifiedBy>
  <cp:lastPrinted>2016-06-30T08:34:04Z</cp:lastPrinted>
  <dcterms:created xsi:type="dcterms:W3CDTF">2008-03-17T08:49:23Z</dcterms:created>
  <dcterms:modified xsi:type="dcterms:W3CDTF">2019-06-05T11:15:53Z</dcterms:modified>
</cp:coreProperties>
</file>