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ena.milovic\Desktop\GDDS oktobar\za objavu\"/>
    </mc:Choice>
  </mc:AlternateContent>
  <workbookProtection workbookAlgorithmName="SHA-512" workbookHashValue="sa29/1+EEzOVVmrSJJHDy1/fw/sY6VXf/YbadeZgt4ggsZXNPSq6Zgur6bdIfG5zDSb2lfvlh0jGLAdWfkIT+w==" workbookSaltValue="voScg83ulN9s76kcpFRhgg==" workbookSpinCount="100000" lockStructure="1"/>
  <bookViews>
    <workbookView xWindow="0" yWindow="0" windowWidth="28800" windowHeight="11730" tabRatio="587" firstSheet="1" activeTab="1"/>
  </bookViews>
  <sheets>
    <sheet name="Analitika - 2014" sheetId="3" state="hidden" r:id="rId1"/>
    <sheet name="Pregled" sheetId="1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5" l="1"/>
  <c r="J11" i="25"/>
  <c r="J10" i="25"/>
  <c r="H61" i="11" l="1"/>
  <c r="M64" i="25"/>
  <c r="O64" i="25"/>
  <c r="R64" i="25"/>
  <c r="Q64" i="25"/>
  <c r="S138" i="25"/>
  <c r="R138" i="25"/>
  <c r="Q138" i="25"/>
  <c r="P138" i="25"/>
  <c r="O138" i="25"/>
  <c r="N138" i="25"/>
  <c r="M138" i="25"/>
  <c r="L138" i="25"/>
  <c r="K138" i="25"/>
  <c r="J138" i="25"/>
  <c r="I138" i="25"/>
  <c r="H138" i="25"/>
  <c r="G138" i="25"/>
  <c r="S86" i="22" l="1"/>
  <c r="N15" i="11" l="1"/>
  <c r="O12" i="11" l="1"/>
  <c r="O13" i="11"/>
  <c r="O14" i="11"/>
  <c r="O15" i="11"/>
  <c r="O16" i="11"/>
  <c r="O17" i="11"/>
  <c r="Q17" i="11" s="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7" i="11"/>
  <c r="O48" i="11"/>
  <c r="O49" i="11"/>
  <c r="O50" i="11"/>
  <c r="O51" i="11"/>
  <c r="O52" i="11"/>
  <c r="O55" i="11"/>
  <c r="O56" i="11"/>
  <c r="O57" i="11"/>
  <c r="O58" i="11"/>
  <c r="O61" i="11"/>
  <c r="O62" i="11"/>
  <c r="O63" i="11"/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5" i="11"/>
  <c r="R56" i="11"/>
  <c r="R57" i="11"/>
  <c r="R58" i="11"/>
  <c r="R61" i="11"/>
  <c r="R62" i="11"/>
  <c r="R63" i="11"/>
  <c r="N11" i="11"/>
  <c r="N12" i="11"/>
  <c r="N13" i="11"/>
  <c r="N14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0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61" i="11"/>
  <c r="N62" i="11"/>
  <c r="N63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5" i="11"/>
  <c r="K56" i="11"/>
  <c r="K57" i="11"/>
  <c r="K58" i="11"/>
  <c r="K61" i="11"/>
  <c r="K62" i="11"/>
  <c r="K63" i="11"/>
  <c r="H12" i="11" l="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7" i="11"/>
  <c r="H48" i="11"/>
  <c r="H49" i="11"/>
  <c r="H50" i="11"/>
  <c r="H51" i="11"/>
  <c r="H52" i="11"/>
  <c r="H56" i="11"/>
  <c r="H57" i="11"/>
  <c r="H58" i="11"/>
  <c r="H62" i="11"/>
  <c r="H63" i="11"/>
  <c r="S11" i="20" l="1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10" i="20"/>
  <c r="E5" i="20" l="1"/>
  <c r="L19" i="25" l="1"/>
  <c r="L11" i="25"/>
  <c r="G58" i="11" l="1"/>
  <c r="S121" i="25" l="1"/>
  <c r="A138" i="25" l="1"/>
  <c r="S137" i="25"/>
  <c r="A137" i="25"/>
  <c r="S136" i="25"/>
  <c r="A136" i="25"/>
  <c r="S135" i="25"/>
  <c r="A135" i="25"/>
  <c r="A134" i="25"/>
  <c r="A133" i="25"/>
  <c r="S132" i="25"/>
  <c r="T132" i="25" s="1"/>
  <c r="A132" i="25"/>
  <c r="S131" i="25"/>
  <c r="T131" i="25" s="1"/>
  <c r="A131" i="25"/>
  <c r="S130" i="25"/>
  <c r="T130" i="25" s="1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A129" i="25"/>
  <c r="A128" i="25"/>
  <c r="A127" i="25"/>
  <c r="S126" i="25"/>
  <c r="T126" i="25" s="1"/>
  <c r="A126" i="25"/>
  <c r="S125" i="25"/>
  <c r="T125" i="25" s="1"/>
  <c r="A125" i="25"/>
  <c r="S124" i="25"/>
  <c r="A124" i="25"/>
  <c r="S123" i="25"/>
  <c r="T123" i="25" s="1"/>
  <c r="A123" i="25"/>
  <c r="S122" i="25"/>
  <c r="T122" i="25" s="1"/>
  <c r="A122" i="25"/>
  <c r="T121" i="25"/>
  <c r="A121" i="25"/>
  <c r="A120" i="25"/>
  <c r="S119" i="25"/>
  <c r="T119" i="25" s="1"/>
  <c r="A119" i="25"/>
  <c r="S118" i="25"/>
  <c r="A118" i="25"/>
  <c r="S117" i="25"/>
  <c r="A117" i="25"/>
  <c r="S116" i="25"/>
  <c r="T116" i="25" s="1"/>
  <c r="A116" i="25"/>
  <c r="S115" i="25"/>
  <c r="T115" i="25" s="1"/>
  <c r="A115" i="25"/>
  <c r="R114" i="25"/>
  <c r="Q114" i="25"/>
  <c r="P114" i="25"/>
  <c r="O40" i="11" s="1"/>
  <c r="O114" i="25"/>
  <c r="N114" i="25"/>
  <c r="M114" i="25"/>
  <c r="L114" i="25"/>
  <c r="K114" i="25"/>
  <c r="J114" i="25"/>
  <c r="I114" i="25"/>
  <c r="H114" i="25"/>
  <c r="G114" i="25"/>
  <c r="A114" i="25"/>
  <c r="S113" i="25"/>
  <c r="A113" i="25"/>
  <c r="S112" i="25"/>
  <c r="T112" i="25" s="1"/>
  <c r="A112" i="25"/>
  <c r="S111" i="25"/>
  <c r="A111" i="25"/>
  <c r="S110" i="25"/>
  <c r="T110" i="25" s="1"/>
  <c r="A110" i="25"/>
  <c r="S109" i="25"/>
  <c r="T109" i="25" s="1"/>
  <c r="A109" i="25"/>
  <c r="S108" i="25"/>
  <c r="A108" i="25"/>
  <c r="S107" i="25"/>
  <c r="A107" i="25"/>
  <c r="S106" i="25"/>
  <c r="A106" i="25"/>
  <c r="S105" i="25"/>
  <c r="T105" i="25" s="1"/>
  <c r="A105" i="25"/>
  <c r="R104" i="25"/>
  <c r="Q104" i="25"/>
  <c r="P104" i="25"/>
  <c r="O30" i="11" s="1"/>
  <c r="O104" i="25"/>
  <c r="N104" i="25"/>
  <c r="M104" i="25"/>
  <c r="L104" i="25"/>
  <c r="K104" i="25"/>
  <c r="J104" i="25"/>
  <c r="I104" i="25"/>
  <c r="H104" i="25"/>
  <c r="G104" i="25"/>
  <c r="A104" i="25"/>
  <c r="A103" i="25"/>
  <c r="S102" i="25"/>
  <c r="T102" i="25" s="1"/>
  <c r="A102" i="25"/>
  <c r="S101" i="25"/>
  <c r="A101" i="25"/>
  <c r="S100" i="25"/>
  <c r="A100" i="25"/>
  <c r="S99" i="25"/>
  <c r="T99" i="25" s="1"/>
  <c r="A99" i="25"/>
  <c r="S98" i="25"/>
  <c r="T98" i="25" s="1"/>
  <c r="A98" i="25"/>
  <c r="S97" i="25"/>
  <c r="T97" i="25" s="1"/>
  <c r="A97" i="25"/>
  <c r="S96" i="25"/>
  <c r="A96" i="25"/>
  <c r="S95" i="25"/>
  <c r="T95" i="25" s="1"/>
  <c r="A95" i="25"/>
  <c r="S94" i="25"/>
  <c r="A94" i="25"/>
  <c r="R93" i="25"/>
  <c r="Q93" i="25"/>
  <c r="P93" i="25"/>
  <c r="O19" i="11" s="1"/>
  <c r="O93" i="25"/>
  <c r="N93" i="25"/>
  <c r="M93" i="25"/>
  <c r="L93" i="25"/>
  <c r="L84" i="25" s="1"/>
  <c r="K93" i="25"/>
  <c r="J93" i="25"/>
  <c r="I93" i="25"/>
  <c r="H93" i="25"/>
  <c r="G93" i="25"/>
  <c r="A93" i="25"/>
  <c r="S92" i="25"/>
  <c r="T92" i="25" s="1"/>
  <c r="A92" i="25"/>
  <c r="S91" i="25"/>
  <c r="T91" i="25" s="1"/>
  <c r="A91" i="25"/>
  <c r="S90" i="25"/>
  <c r="A90" i="25"/>
  <c r="S89" i="25"/>
  <c r="T89" i="25" s="1"/>
  <c r="A89" i="25"/>
  <c r="S88" i="25"/>
  <c r="A88" i="25"/>
  <c r="S87" i="25"/>
  <c r="T87" i="25" s="1"/>
  <c r="A87" i="25"/>
  <c r="S86" i="25"/>
  <c r="T86" i="25" s="1"/>
  <c r="A86" i="25"/>
  <c r="R85" i="25"/>
  <c r="Q85" i="25"/>
  <c r="P85" i="25"/>
  <c r="O11" i="11" s="1"/>
  <c r="O85" i="25"/>
  <c r="N85" i="25"/>
  <c r="M85" i="25"/>
  <c r="L85" i="25"/>
  <c r="K85" i="25"/>
  <c r="J85" i="25"/>
  <c r="I85" i="25"/>
  <c r="H85" i="25"/>
  <c r="G85" i="25"/>
  <c r="A85" i="25"/>
  <c r="A84" i="25"/>
  <c r="T82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S63" i="25"/>
  <c r="S62" i="25"/>
  <c r="S61" i="25"/>
  <c r="S58" i="25"/>
  <c r="T58" i="25" s="1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R40" i="25"/>
  <c r="Q40" i="25"/>
  <c r="P40" i="25"/>
  <c r="N40" i="11" s="1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G32" i="11" s="1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Q29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N19" i="11" s="1"/>
  <c r="O19" i="25"/>
  <c r="N19" i="25"/>
  <c r="N10" i="25" s="1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R10" i="25" s="1"/>
  <c r="Q11" i="25"/>
  <c r="P11" i="25"/>
  <c r="O11" i="25"/>
  <c r="N11" i="25"/>
  <c r="M11" i="25"/>
  <c r="K11" i="25"/>
  <c r="I11" i="25"/>
  <c r="H11" i="25"/>
  <c r="G11" i="25"/>
  <c r="G10" i="25" s="1"/>
  <c r="R5" i="25"/>
  <c r="Q5" i="25"/>
  <c r="P5" i="25"/>
  <c r="O5" i="25"/>
  <c r="N5" i="25"/>
  <c r="M5" i="25"/>
  <c r="L5" i="25"/>
  <c r="K5" i="25"/>
  <c r="J5" i="25"/>
  <c r="I5" i="25"/>
  <c r="H5" i="25"/>
  <c r="G5" i="25"/>
  <c r="T101" i="25" l="1"/>
  <c r="T94" i="25"/>
  <c r="T88" i="25"/>
  <c r="T90" i="25"/>
  <c r="T96" i="25"/>
  <c r="T100" i="25"/>
  <c r="T137" i="25"/>
  <c r="T136" i="25"/>
  <c r="T135" i="25"/>
  <c r="H11" i="11"/>
  <c r="T124" i="25"/>
  <c r="T118" i="25"/>
  <c r="T117" i="25"/>
  <c r="T113" i="25"/>
  <c r="T111" i="25"/>
  <c r="T108" i="25"/>
  <c r="T107" i="25"/>
  <c r="T106" i="25"/>
  <c r="H84" i="25"/>
  <c r="H19" i="11"/>
  <c r="H55" i="11"/>
  <c r="H40" i="11"/>
  <c r="H30" i="11"/>
  <c r="R84" i="25"/>
  <c r="P84" i="25"/>
  <c r="O10" i="11" s="1"/>
  <c r="N84" i="25"/>
  <c r="J84" i="25"/>
  <c r="O29" i="25"/>
  <c r="M29" i="25"/>
  <c r="K29" i="25"/>
  <c r="T61" i="25"/>
  <c r="G61" i="11"/>
  <c r="T52" i="25"/>
  <c r="G52" i="11"/>
  <c r="T50" i="25"/>
  <c r="G50" i="11"/>
  <c r="I29" i="25"/>
  <c r="T62" i="25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H103" i="25"/>
  <c r="J103" i="25"/>
  <c r="L103" i="25"/>
  <c r="N103" i="25"/>
  <c r="S85" i="25"/>
  <c r="S114" i="25"/>
  <c r="T114" i="25" s="1"/>
  <c r="K103" i="25"/>
  <c r="O103" i="25"/>
  <c r="S30" i="25"/>
  <c r="I10" i="25"/>
  <c r="I53" i="25" s="1"/>
  <c r="K10" i="25"/>
  <c r="M10" i="25"/>
  <c r="O10" i="25"/>
  <c r="O53" i="25" s="1"/>
  <c r="O59" i="25" s="1"/>
  <c r="O60" i="25" s="1"/>
  <c r="Q10" i="25"/>
  <c r="L10" i="25"/>
  <c r="P10" i="25"/>
  <c r="N10" i="11" s="1"/>
  <c r="H10" i="25"/>
  <c r="G84" i="25"/>
  <c r="I84" i="25"/>
  <c r="K84" i="25"/>
  <c r="M84" i="25"/>
  <c r="O84" i="25"/>
  <c r="Q84" i="25"/>
  <c r="G103" i="25"/>
  <c r="H29" i="25"/>
  <c r="J29" i="25"/>
  <c r="J53" i="25" s="1"/>
  <c r="L29" i="25"/>
  <c r="N29" i="25"/>
  <c r="N53" i="25" s="1"/>
  <c r="P29" i="25"/>
  <c r="R29" i="25"/>
  <c r="R53" i="25" s="1"/>
  <c r="S40" i="25"/>
  <c r="Q53" i="25"/>
  <c r="Q54" i="25" s="1"/>
  <c r="G29" i="25"/>
  <c r="S19" i="25"/>
  <c r="S11" i="25"/>
  <c r="S55" i="25"/>
  <c r="S93" i="25"/>
  <c r="S104" i="25"/>
  <c r="T104" i="25" s="1"/>
  <c r="S129" i="25"/>
  <c r="T129" i="25" s="1"/>
  <c r="T85" i="25" l="1"/>
  <c r="T93" i="25"/>
  <c r="H10" i="11"/>
  <c r="N29" i="11"/>
  <c r="I127" i="25"/>
  <c r="I133" i="25" s="1"/>
  <c r="P53" i="25"/>
  <c r="N53" i="11" s="1"/>
  <c r="M53" i="25"/>
  <c r="M54" i="25" s="1"/>
  <c r="K53" i="25"/>
  <c r="K59" i="25" s="1"/>
  <c r="K64" i="25" s="1"/>
  <c r="K60" i="25" s="1"/>
  <c r="I54" i="25"/>
  <c r="T55" i="25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4" i="25" s="1"/>
  <c r="L127" i="25"/>
  <c r="L133" i="25" s="1"/>
  <c r="L134" i="25" s="1"/>
  <c r="J127" i="25"/>
  <c r="J128" i="25" s="1"/>
  <c r="H127" i="25"/>
  <c r="H133" i="25" s="1"/>
  <c r="H134" i="25" s="1"/>
  <c r="G53" i="25"/>
  <c r="G59" i="25" s="1"/>
  <c r="G127" i="25"/>
  <c r="Q59" i="25"/>
  <c r="Q60" i="25" s="1"/>
  <c r="I59" i="25"/>
  <c r="L53" i="25"/>
  <c r="L54" i="25" s="1"/>
  <c r="O54" i="25"/>
  <c r="S10" i="25"/>
  <c r="H53" i="25"/>
  <c r="S84" i="25"/>
  <c r="T84" i="25" s="1"/>
  <c r="S29" i="25"/>
  <c r="N54" i="25"/>
  <c r="N59" i="25"/>
  <c r="R54" i="25"/>
  <c r="R59" i="25"/>
  <c r="R60" i="25" s="1"/>
  <c r="J54" i="25"/>
  <c r="J59" i="25"/>
  <c r="J64" i="25" s="1"/>
  <c r="J60" i="25" s="1"/>
  <c r="S53" i="20"/>
  <c r="N64" i="25" l="1"/>
  <c r="N60" i="25" s="1"/>
  <c r="P54" i="25"/>
  <c r="N54" i="11" s="1"/>
  <c r="P59" i="25"/>
  <c r="P64" i="25" s="1"/>
  <c r="I128" i="25"/>
  <c r="M133" i="25"/>
  <c r="M134" i="25" s="1"/>
  <c r="M59" i="25"/>
  <c r="M60" i="25" s="1"/>
  <c r="K54" i="25"/>
  <c r="I64" i="25"/>
  <c r="T29" i="25"/>
  <c r="G29" i="11"/>
  <c r="G16" i="1" s="1"/>
  <c r="H16" i="1" s="1"/>
  <c r="H54" i="25"/>
  <c r="T10" i="25"/>
  <c r="G10" i="11"/>
  <c r="G12" i="1" s="1"/>
  <c r="H12" i="1" s="1"/>
  <c r="O133" i="25"/>
  <c r="O134" i="25" s="1"/>
  <c r="G54" i="25"/>
  <c r="G128" i="25"/>
  <c r="L128" i="25"/>
  <c r="K128" i="25"/>
  <c r="N133" i="25"/>
  <c r="N134" i="25" s="1"/>
  <c r="J133" i="25"/>
  <c r="J134" i="25" s="1"/>
  <c r="H128" i="25"/>
  <c r="G133" i="25"/>
  <c r="L59" i="25"/>
  <c r="L64" i="25" s="1"/>
  <c r="L60" i="25" s="1"/>
  <c r="H59" i="25"/>
  <c r="S53" i="25"/>
  <c r="G64" i="25"/>
  <c r="G5" i="22"/>
  <c r="H5" i="22"/>
  <c r="I5" i="22"/>
  <c r="J5" i="22"/>
  <c r="K5" i="22"/>
  <c r="L5" i="22"/>
  <c r="M5" i="22"/>
  <c r="N5" i="22"/>
  <c r="O5" i="22"/>
  <c r="N59" i="11" l="1"/>
  <c r="P60" i="25"/>
  <c r="N60" i="11" s="1"/>
  <c r="N64" i="11"/>
  <c r="I134" i="25"/>
  <c r="I60" i="25"/>
  <c r="H64" i="25"/>
  <c r="S64" i="25" s="1"/>
  <c r="T53" i="25"/>
  <c r="G53" i="11"/>
  <c r="G20" i="1" s="1"/>
  <c r="H20" i="1" s="1"/>
  <c r="S54" i="25"/>
  <c r="S59" i="25"/>
  <c r="G60" i="25"/>
  <c r="P19" i="22"/>
  <c r="R19" i="11" s="1"/>
  <c r="T54" i="25" l="1"/>
  <c r="G54" i="11"/>
  <c r="T64" i="25"/>
  <c r="G64" i="11"/>
  <c r="T59" i="25"/>
  <c r="G59" i="11"/>
  <c r="H60" i="25"/>
  <c r="G134" i="25"/>
  <c r="S121" i="22"/>
  <c r="S60" i="25" l="1"/>
  <c r="T60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R30" i="11" s="1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R11" i="11" s="1"/>
  <c r="N11" i="22"/>
  <c r="L11" i="22"/>
  <c r="J11" i="22"/>
  <c r="H11" i="22"/>
  <c r="S12" i="22"/>
  <c r="Q11" i="22"/>
  <c r="O11" i="22"/>
  <c r="M11" i="22"/>
  <c r="K11" i="22"/>
  <c r="K10" i="22" s="1"/>
  <c r="I11" i="22"/>
  <c r="G11" i="22"/>
  <c r="R5" i="22"/>
  <c r="Q5" i="22"/>
  <c r="P5" i="22"/>
  <c r="T31" i="22" l="1"/>
  <c r="T33" i="22"/>
  <c r="T22" i="22"/>
  <c r="T27" i="22"/>
  <c r="T23" i="22"/>
  <c r="K19" i="11"/>
  <c r="T20" i="22"/>
  <c r="T24" i="22"/>
  <c r="T21" i="22"/>
  <c r="T25" i="22"/>
  <c r="T28" i="22"/>
  <c r="T17" i="22"/>
  <c r="T18" i="22"/>
  <c r="T15" i="22"/>
  <c r="T13" i="22"/>
  <c r="T12" i="22"/>
  <c r="T14" i="22"/>
  <c r="G10" i="22"/>
  <c r="K11" i="11"/>
  <c r="T16" i="22"/>
  <c r="K30" i="11"/>
  <c r="T34" i="22"/>
  <c r="P10" i="22"/>
  <c r="R10" i="11" s="1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R29" i="11" s="1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K10" i="11"/>
  <c r="K29" i="1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R59" i="11" s="1"/>
  <c r="R53" i="11"/>
  <c r="K53" i="11"/>
  <c r="O133" i="22"/>
  <c r="O138" i="22" s="1"/>
  <c r="O134" i="22" s="1"/>
  <c r="G54" i="22"/>
  <c r="T29" i="22"/>
  <c r="R54" i="22"/>
  <c r="Q64" i="22"/>
  <c r="Q54" i="22"/>
  <c r="P133" i="22"/>
  <c r="P54" i="22"/>
  <c r="R54" i="11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R60" i="11" s="1"/>
  <c r="T53" i="22"/>
  <c r="R64" i="11"/>
  <c r="K59" i="11"/>
  <c r="K54" i="11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G64" i="22"/>
  <c r="S59" i="22"/>
  <c r="T59" i="22" s="1"/>
  <c r="G138" i="22"/>
  <c r="S133" i="22"/>
  <c r="S128" i="22"/>
  <c r="K64" i="11" l="1"/>
  <c r="R60" i="22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K60" i="11" l="1"/>
  <c r="S60" i="22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B81" i="25" s="1"/>
  <c r="G251" i="2"/>
  <c r="G248" i="2"/>
  <c r="S7" i="25" s="1"/>
  <c r="S81" i="25" s="1"/>
  <c r="G242" i="2"/>
  <c r="G241" i="2"/>
  <c r="G240" i="2"/>
  <c r="P8" i="25" s="1"/>
  <c r="P82" i="25" s="1"/>
  <c r="G239" i="2"/>
  <c r="G238" i="2"/>
  <c r="G237" i="2"/>
  <c r="G236" i="2"/>
  <c r="L8" i="25" s="1"/>
  <c r="L82" i="25" s="1"/>
  <c r="G235" i="2"/>
  <c r="G234" i="2"/>
  <c r="G233" i="2"/>
  <c r="G232" i="2"/>
  <c r="G231" i="2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G7" i="2"/>
  <c r="G6" i="2"/>
  <c r="E2" i="25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B24" i="25" l="1"/>
  <c r="B98" i="25"/>
  <c r="B41" i="25"/>
  <c r="B115" i="25"/>
  <c r="N8" i="22"/>
  <c r="N82" i="22" s="1"/>
  <c r="N8" i="25"/>
  <c r="N82" i="25" s="1"/>
  <c r="B10" i="25"/>
  <c r="B84" i="25"/>
  <c r="B13" i="25"/>
  <c r="B87" i="25"/>
  <c r="B17" i="25"/>
  <c r="B91" i="25"/>
  <c r="B95" i="25"/>
  <c r="B21" i="25"/>
  <c r="B26" i="25"/>
  <c r="B100" i="25"/>
  <c r="B28" i="25"/>
  <c r="B102" i="25"/>
  <c r="B106" i="25"/>
  <c r="B32" i="25"/>
  <c r="B107" i="25"/>
  <c r="B33" i="25"/>
  <c r="B111" i="25"/>
  <c r="B37" i="25"/>
  <c r="B38" i="25"/>
  <c r="B112" i="25"/>
  <c r="B113" i="25"/>
  <c r="B39" i="25"/>
  <c r="B122" i="25"/>
  <c r="B48" i="25"/>
  <c r="B130" i="25"/>
  <c r="B56" i="25"/>
  <c r="B138" i="25"/>
  <c r="B64" i="25"/>
  <c r="G8" i="22"/>
  <c r="G82" i="22" s="1"/>
  <c r="G8" i="25"/>
  <c r="G82" i="25" s="1"/>
  <c r="K8" i="22"/>
  <c r="K82" i="22" s="1"/>
  <c r="K8" i="25"/>
  <c r="K82" i="25" s="1"/>
  <c r="O8" i="22"/>
  <c r="O82" i="22" s="1"/>
  <c r="O8" i="25"/>
  <c r="O82" i="25" s="1"/>
  <c r="B12" i="25"/>
  <c r="B86" i="25"/>
  <c r="B20" i="25"/>
  <c r="B94" i="25"/>
  <c r="B103" i="25"/>
  <c r="B29" i="25"/>
  <c r="B116" i="25"/>
  <c r="B42" i="25"/>
  <c r="B120" i="25"/>
  <c r="B46" i="25"/>
  <c r="B128" i="25"/>
  <c r="B54" i="25"/>
  <c r="R8" i="22"/>
  <c r="R82" i="22" s="1"/>
  <c r="R8" i="25"/>
  <c r="R82" i="25" s="1"/>
  <c r="B88" i="25"/>
  <c r="B14" i="25"/>
  <c r="B92" i="25"/>
  <c r="B18" i="25"/>
  <c r="B22" i="25"/>
  <c r="B96" i="25"/>
  <c r="B27" i="25"/>
  <c r="B101" i="25"/>
  <c r="B135" i="25"/>
  <c r="B61" i="25"/>
  <c r="B30" i="25"/>
  <c r="B104" i="25"/>
  <c r="B109" i="25"/>
  <c r="B35" i="25"/>
  <c r="B110" i="25"/>
  <c r="B36" i="25"/>
  <c r="B43" i="25"/>
  <c r="B117" i="25"/>
  <c r="B44" i="25"/>
  <c r="B118" i="25"/>
  <c r="B47" i="25"/>
  <c r="B121" i="25"/>
  <c r="B132" i="25"/>
  <c r="B58" i="25"/>
  <c r="B131" i="25"/>
  <c r="B57" i="25"/>
  <c r="B51" i="25"/>
  <c r="B125" i="25"/>
  <c r="B133" i="25"/>
  <c r="B59" i="25"/>
  <c r="B126" i="25"/>
  <c r="B52" i="25"/>
  <c r="H8" i="22"/>
  <c r="H82" i="22" s="1"/>
  <c r="H8" i="25"/>
  <c r="H82" i="25" s="1"/>
  <c r="B7" i="22"/>
  <c r="B7" i="25"/>
  <c r="B16" i="25"/>
  <c r="B90" i="25"/>
  <c r="B34" i="25"/>
  <c r="B108" i="25"/>
  <c r="B45" i="25"/>
  <c r="B119" i="25"/>
  <c r="J8" i="22"/>
  <c r="J82" i="22" s="1"/>
  <c r="J8" i="25"/>
  <c r="J82" i="25" s="1"/>
  <c r="E4" i="11"/>
  <c r="E4" i="25"/>
  <c r="B85" i="25"/>
  <c r="B11" i="25"/>
  <c r="B15" i="25"/>
  <c r="B89" i="25"/>
  <c r="B19" i="25"/>
  <c r="B93" i="25"/>
  <c r="B23" i="25"/>
  <c r="B97" i="25"/>
  <c r="B99" i="25"/>
  <c r="B25" i="25"/>
  <c r="B63" i="25"/>
  <c r="B137" i="25"/>
  <c r="B136" i="25"/>
  <c r="B62" i="25"/>
  <c r="B105" i="25"/>
  <c r="B31" i="25"/>
  <c r="B114" i="25"/>
  <c r="B40" i="25"/>
  <c r="B129" i="25"/>
  <c r="B55" i="25"/>
  <c r="B124" i="25"/>
  <c r="B50" i="25"/>
  <c r="B49" i="25"/>
  <c r="B123" i="25"/>
  <c r="B53" i="25"/>
  <c r="B127" i="25"/>
  <c r="B134" i="25"/>
  <c r="B60" i="25"/>
  <c r="I8" i="22"/>
  <c r="I82" i="22" s="1"/>
  <c r="I8" i="25"/>
  <c r="I82" i="25" s="1"/>
  <c r="M8" i="22"/>
  <c r="M82" i="22" s="1"/>
  <c r="M8" i="25"/>
  <c r="M82" i="25" s="1"/>
  <c r="Q8" i="22"/>
  <c r="Q82" i="22" s="1"/>
  <c r="Q8" i="25"/>
  <c r="Q82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S82" i="25" l="1"/>
  <c r="S8" i="25"/>
  <c r="T9" i="22"/>
  <c r="T83" i="22" s="1"/>
  <c r="T9" i="25"/>
  <c r="T83" i="25" s="1"/>
  <c r="E253" i="2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CL192" i="6" l="1"/>
  <c r="S54" i="11" l="1"/>
  <c r="O46" i="11"/>
  <c r="P46" i="11" s="1"/>
  <c r="I46" i="11"/>
  <c r="H46" i="11"/>
  <c r="J46" i="11" s="1"/>
  <c r="Q103" i="25"/>
  <c r="Q127" i="25" s="1"/>
  <c r="R103" i="25"/>
  <c r="R127" i="25" s="1"/>
  <c r="S120" i="25"/>
  <c r="T120" i="25" s="1"/>
  <c r="P103" i="25"/>
  <c r="S103" i="25" s="1"/>
  <c r="T103" i="25" s="1"/>
  <c r="R133" i="25" l="1"/>
  <c r="R128" i="25"/>
  <c r="Q133" i="25"/>
  <c r="Q128" i="25"/>
  <c r="Q46" i="11"/>
  <c r="H29" i="11"/>
  <c r="O29" i="11"/>
  <c r="P127" i="25"/>
  <c r="Q134" i="25" l="1"/>
  <c r="R134" i="25"/>
  <c r="Q29" i="11"/>
  <c r="P29" i="11"/>
  <c r="J29" i="11"/>
  <c r="I29" i="11"/>
  <c r="H53" i="11"/>
  <c r="P133" i="25"/>
  <c r="S127" i="25"/>
  <c r="T127" i="25" s="1"/>
  <c r="O53" i="11"/>
  <c r="P128" i="25"/>
  <c r="S133" i="25" l="1"/>
  <c r="T133" i="25" s="1"/>
  <c r="H59" i="11"/>
  <c r="O59" i="11"/>
  <c r="Q53" i="11"/>
  <c r="P53" i="11"/>
  <c r="S128" i="25"/>
  <c r="T128" i="25" s="1"/>
  <c r="H54" i="11"/>
  <c r="O54" i="11"/>
  <c r="I53" i="11"/>
  <c r="J53" i="11"/>
  <c r="P54" i="11" l="1"/>
  <c r="Q54" i="11"/>
  <c r="H64" i="11"/>
  <c r="O64" i="11"/>
  <c r="P134" i="25"/>
  <c r="I54" i="11"/>
  <c r="J54" i="11"/>
  <c r="Q59" i="11"/>
  <c r="P59" i="11"/>
  <c r="J59" i="11"/>
  <c r="I59" i="11"/>
  <c r="T138" i="25" l="1"/>
  <c r="J64" i="11"/>
  <c r="I64" i="11"/>
  <c r="O60" i="11"/>
  <c r="S134" i="25"/>
  <c r="T134" i="25" s="1"/>
  <c r="H60" i="11"/>
  <c r="Q64" i="11"/>
  <c r="P64" i="11"/>
  <c r="P60" i="11" l="1"/>
  <c r="Q60" i="11"/>
  <c r="J60" i="11"/>
  <c r="I60" i="1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<sst xmlns="http://schemas.openxmlformats.org/spreadsheetml/2006/main" count="1770" uniqueCount="839">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</sst>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oktobar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2022. godine iznosili su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1.627,6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28,6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28,9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,8%. U odnosu na prethodnu godinu prihodi su veći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123,2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8,2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oktobar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2022. godine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1.683,6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29,5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BDP-a i veći su za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119,3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7,6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u odnosu na prethodnu godinu. U odnosu na planirane, izdaci su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ži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100,2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5,6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%. U periodu januar -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oktobar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2022. godine deficit budžeta iznosio je 56,0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BDP-a, što je za 129,1 mil. € ili 69,7% niže od planiranog, odnosno 3,9 mil. € ili 6,5% niže od zabilježenog u istom periodu 2021.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izmjenama i dopunama Zakona o budžetu za 2022.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781685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266700</xdr:colOff>
      <xdr:row>2</xdr:row>
      <xdr:rowOff>123824</xdr:rowOff>
    </xdr:from>
    <xdr:to>
      <xdr:col>10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85725</xdr:colOff>
      <xdr:row>3</xdr:row>
      <xdr:rowOff>28575</xdr:rowOff>
    </xdr:from>
    <xdr:to>
      <xdr:col>12</xdr:col>
      <xdr:colOff>552768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123825</xdr:colOff>
      <xdr:row>3</xdr:row>
      <xdr:rowOff>9525</xdr:rowOff>
    </xdr:from>
    <xdr:to>
      <xdr:col>14</xdr:col>
      <xdr:colOff>695643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2022-10</v>
      </c>
      <c r="O6" s="143" t="str">
        <f>+CONCATENATE(N6,"p")</f>
        <v>2022-10p</v>
      </c>
      <c r="P6" s="130"/>
      <c r="Q6" s="130"/>
      <c r="R6" s="143" t="str">
        <f>+IF(Master!B3-10&gt;=0,CONCATENATE(Master!B4-1,"-",Master!B3),CONCATENATE(Master!B4-1,"-0",Master!B3))</f>
        <v>2021-10</v>
      </c>
      <c r="S6" s="130"/>
      <c r="T6" s="130"/>
    </row>
    <row r="7" spans="1:20">
      <c r="A7" s="144"/>
      <c r="B7" s="509" t="s">
        <v>692</v>
      </c>
      <c r="C7" s="510"/>
      <c r="D7" s="510"/>
      <c r="E7" s="510"/>
      <c r="F7" s="510"/>
      <c r="G7" s="518" t="s">
        <v>691</v>
      </c>
      <c r="H7" s="519"/>
      <c r="I7" s="519"/>
      <c r="J7" s="519"/>
      <c r="K7" s="519"/>
      <c r="L7" s="519"/>
      <c r="M7" s="520"/>
      <c r="N7" s="521" t="str">
        <f>+Master!G242</f>
        <v>Decembar</v>
      </c>
      <c r="O7" s="519"/>
      <c r="P7" s="519"/>
      <c r="Q7" s="519"/>
      <c r="R7" s="519"/>
      <c r="S7" s="519"/>
      <c r="T7" s="522"/>
    </row>
    <row r="8" spans="1:20">
      <c r="A8" s="144"/>
      <c r="B8" s="511"/>
      <c r="C8" s="512"/>
      <c r="D8" s="512"/>
      <c r="E8" s="512"/>
      <c r="F8" s="513"/>
      <c r="G8" s="145" t="str">
        <f>+Master!G25</f>
        <v>Ostvarenje</v>
      </c>
      <c r="H8" s="145" t="str">
        <f>+Master!G24</f>
        <v>Plan</v>
      </c>
      <c r="I8" s="505" t="str">
        <f>+Master!G260</f>
        <v>Odstupanje</v>
      </c>
      <c r="J8" s="505"/>
      <c r="K8" s="145" t="str">
        <f>+CONCATENATE(Master!G245," ",Master!B4-1)</f>
        <v>Jan - Okt 2021</v>
      </c>
      <c r="L8" s="505" t="str">
        <f>+I8</f>
        <v>Odstupanje</v>
      </c>
      <c r="M8" s="517"/>
      <c r="N8" s="146" t="str">
        <f>+G8</f>
        <v>Ostvarenje</v>
      </c>
      <c r="O8" s="145" t="str">
        <f>+H8</f>
        <v>Plan</v>
      </c>
      <c r="P8" s="505" t="str">
        <f>+I8</f>
        <v>Odstupanje</v>
      </c>
      <c r="Q8" s="505"/>
      <c r="R8" s="145" t="str">
        <f>+CONCATENATE(Master!G244," ",Master!B4-1)</f>
        <v>Oktobar 2021</v>
      </c>
      <c r="S8" s="505" t="str">
        <f>+P8</f>
        <v>Odstupanje</v>
      </c>
      <c r="T8" s="506"/>
    </row>
    <row r="9" spans="1:20" ht="15.75" thickBot="1">
      <c r="A9" s="144"/>
      <c r="B9" s="514"/>
      <c r="C9" s="515"/>
      <c r="D9" s="515"/>
      <c r="E9" s="515"/>
      <c r="F9" s="516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51" t="str">
        <f>+VLOOKUP($A10,Master!$D$29:$G$225,4,FALSE)</f>
        <v>Prihodi budžeta</v>
      </c>
      <c r="C10" s="552"/>
      <c r="D10" s="552"/>
      <c r="E10" s="552"/>
      <c r="F10" s="55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3" t="str">
        <f>+VLOOKUP($A11,Master!$D$29:$G$225,4,FALSE)</f>
        <v>Porezi</v>
      </c>
      <c r="C11" s="554"/>
      <c r="D11" s="554"/>
      <c r="E11" s="554"/>
      <c r="F11" s="55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9" t="str">
        <f>+VLOOKUP($A12,Master!$D$29:$G$225,4,FALSE)</f>
        <v>Porez na dohodak fizičkih lica</v>
      </c>
      <c r="C12" s="540"/>
      <c r="D12" s="540"/>
      <c r="E12" s="540"/>
      <c r="F12" s="540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9" t="str">
        <f>+VLOOKUP($A13,Master!$D$29:$G$225,4,FALSE)</f>
        <v>Porez na dobit pravnih lica</v>
      </c>
      <c r="C13" s="540"/>
      <c r="D13" s="540"/>
      <c r="E13" s="540"/>
      <c r="F13" s="540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9" t="str">
        <f>+VLOOKUP($A14,Master!$D$29:$G$225,4,FALSE)</f>
        <v>Porez na promet nepokretnosti</v>
      </c>
      <c r="C14" s="540"/>
      <c r="D14" s="540"/>
      <c r="E14" s="540"/>
      <c r="F14" s="540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9" t="str">
        <f>+VLOOKUP($A15,Master!$D$29:$G$225,4,FALSE)</f>
        <v>Porez na dodatu vrijednost</v>
      </c>
      <c r="C15" s="540"/>
      <c r="D15" s="540"/>
      <c r="E15" s="540"/>
      <c r="F15" s="540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9" t="str">
        <f>+VLOOKUP($A16,Master!$D$29:$G$225,4,FALSE)</f>
        <v>Akcize</v>
      </c>
      <c r="C16" s="540"/>
      <c r="D16" s="540"/>
      <c r="E16" s="540"/>
      <c r="F16" s="540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9" t="str">
        <f>+VLOOKUP($A17,Master!$D$29:$G$225,4,FALSE)</f>
        <v>Porez na međunarodnu trgovinu i transakcije</v>
      </c>
      <c r="C17" s="540"/>
      <c r="D17" s="540"/>
      <c r="E17" s="540"/>
      <c r="F17" s="540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9" t="e">
        <f>+VLOOKUP($A18,Master!$D$29:$G$225,4,FALSE)</f>
        <v>#N/A</v>
      </c>
      <c r="C18" s="540"/>
      <c r="D18" s="540"/>
      <c r="E18" s="540"/>
      <c r="F18" s="540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9" t="str">
        <f>+VLOOKUP($A19,Master!$D$29:$G$225,4,FALSE)</f>
        <v>Ostali državni porezi</v>
      </c>
      <c r="C19" s="540"/>
      <c r="D19" s="540"/>
      <c r="E19" s="540"/>
      <c r="F19" s="540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9" t="str">
        <f>+VLOOKUP($A20,Master!$D$29:$G$225,4,FALSE)</f>
        <v>Doprinosi</v>
      </c>
      <c r="C20" s="550"/>
      <c r="D20" s="550"/>
      <c r="E20" s="550"/>
      <c r="F20" s="55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9" t="str">
        <f>+VLOOKUP($A21,Master!$D$29:$G$225,4,FALSE)</f>
        <v>Doprinosi za penzijsko i invalidsko osiguranje</v>
      </c>
      <c r="C21" s="540"/>
      <c r="D21" s="540"/>
      <c r="E21" s="540"/>
      <c r="F21" s="540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9" t="str">
        <f>+VLOOKUP($A22,Master!$D$29:$G$225,4,FALSE)</f>
        <v>Doprinosi za zdravstveno osiguranje</v>
      </c>
      <c r="C22" s="540"/>
      <c r="D22" s="540"/>
      <c r="E22" s="540"/>
      <c r="F22" s="540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9" t="str">
        <f>+VLOOKUP($A23,Master!$D$29:$G$225,4,FALSE)</f>
        <v>Doprinosi za osiguranje od nezaposlenosti</v>
      </c>
      <c r="C23" s="540"/>
      <c r="D23" s="540"/>
      <c r="E23" s="540"/>
      <c r="F23" s="540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9" t="str">
        <f>+VLOOKUP($A24,Master!$D$29:$G$225,4,FALSE)</f>
        <v>Ostali doprinosi</v>
      </c>
      <c r="C24" s="540"/>
      <c r="D24" s="540"/>
      <c r="E24" s="540"/>
      <c r="F24" s="540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41" t="str">
        <f>+VLOOKUP($A25,Master!$D$29:$G$225,4,FALSE)</f>
        <v>Takse</v>
      </c>
      <c r="C25" s="542"/>
      <c r="D25" s="542"/>
      <c r="E25" s="542"/>
      <c r="F25" s="542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41" t="str">
        <f>+VLOOKUP($A26,Master!$D$29:$G$225,4,FALSE)</f>
        <v>Naknade</v>
      </c>
      <c r="C26" s="542"/>
      <c r="D26" s="542"/>
      <c r="E26" s="542"/>
      <c r="F26" s="542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41" t="str">
        <f>+VLOOKUP($A27,Master!$D$29:$G$225,4,FALSE)</f>
        <v>Ostali prihodi</v>
      </c>
      <c r="C27" s="542"/>
      <c r="D27" s="542"/>
      <c r="E27" s="542"/>
      <c r="F27" s="542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41" t="str">
        <f>+VLOOKUP($A28,Master!$D$29:$G$225,4,FALSE)</f>
        <v>Primici od otplate kredita i sredstva prenesena iz prethodne godine</v>
      </c>
      <c r="C28" s="542"/>
      <c r="D28" s="542"/>
      <c r="E28" s="542"/>
      <c r="F28" s="542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3" t="str">
        <f>+VLOOKUP($A29,Master!$D$29:$G$225,4,FALSE)</f>
        <v>Donacije i transferi</v>
      </c>
      <c r="C29" s="544"/>
      <c r="D29" s="544"/>
      <c r="E29" s="544"/>
      <c r="F29" s="544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9" t="str">
        <f>+VLOOKUP($A30,Master!$D$29:$G$225,4,FALSE)</f>
        <v>Izdaci budžeta</v>
      </c>
      <c r="C30" s="530"/>
      <c r="D30" s="530"/>
      <c r="E30" s="530"/>
      <c r="F30" s="530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5" t="str">
        <f>+VLOOKUP($A31,Master!$D$29:$G$225,4,FALSE)</f>
        <v>Tekući izdaci</v>
      </c>
      <c r="C31" s="546"/>
      <c r="D31" s="546"/>
      <c r="E31" s="546"/>
      <c r="F31" s="54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7" t="str">
        <f>+VLOOKUP($A32,Master!$D$29:$G$225,4,FALSE)</f>
        <v>Tekuća budžetska potrošnja</v>
      </c>
      <c r="C32" s="548"/>
      <c r="D32" s="548"/>
      <c r="E32" s="548"/>
      <c r="F32" s="54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9" t="str">
        <f>+VLOOKUP($A33,Master!$D$29:$G$225,4,FALSE)</f>
        <v>Bruto zarade i doprinosi na teret poslodavca</v>
      </c>
      <c r="C33" s="540"/>
      <c r="D33" s="540"/>
      <c r="E33" s="540"/>
      <c r="F33" s="540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9" t="str">
        <f>+VLOOKUP($A34,Master!$D$29:$G$225,4,FALSE)</f>
        <v>Ostala lična primanja</v>
      </c>
      <c r="C34" s="540"/>
      <c r="D34" s="540"/>
      <c r="E34" s="540"/>
      <c r="F34" s="540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9" t="str">
        <f>+VLOOKUP($A35,Master!$D$29:$G$225,4,FALSE)</f>
        <v>Rashodi za materijal</v>
      </c>
      <c r="C35" s="540"/>
      <c r="D35" s="540"/>
      <c r="E35" s="540"/>
      <c r="F35" s="540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9" t="str">
        <f>+VLOOKUP($A36,Master!$D$29:$G$225,4,FALSE)</f>
        <v>Rashodi za usluge</v>
      </c>
      <c r="C36" s="540"/>
      <c r="D36" s="540"/>
      <c r="E36" s="540"/>
      <c r="F36" s="540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9" t="str">
        <f>+VLOOKUP($A37,Master!$D$29:$G$225,4,FALSE)</f>
        <v>Rashodi za tekuće održavanje</v>
      </c>
      <c r="C37" s="540"/>
      <c r="D37" s="540"/>
      <c r="E37" s="540"/>
      <c r="F37" s="540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9" t="str">
        <f>+VLOOKUP($A38,Master!$D$29:$G$225,4,FALSE)</f>
        <v>Kamate</v>
      </c>
      <c r="C38" s="540"/>
      <c r="D38" s="540"/>
      <c r="E38" s="540"/>
      <c r="F38" s="540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9" t="str">
        <f>+VLOOKUP($A39,Master!$D$29:$G$225,4,FALSE)</f>
        <v>Renta</v>
      </c>
      <c r="C39" s="540"/>
      <c r="D39" s="540"/>
      <c r="E39" s="540"/>
      <c r="F39" s="540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9" t="str">
        <f>+VLOOKUP($A40,Master!$D$29:$G$225,4,FALSE)</f>
        <v>Subvencije</v>
      </c>
      <c r="C40" s="540"/>
      <c r="D40" s="540"/>
      <c r="E40" s="540"/>
      <c r="F40" s="540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9" t="str">
        <f>+VLOOKUP($A41,Master!$D$29:$G$225,4,FALSE)</f>
        <v>Ostali izdaci</v>
      </c>
      <c r="C41" s="540"/>
      <c r="D41" s="540"/>
      <c r="E41" s="540"/>
      <c r="F41" s="540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9" t="e">
        <f>+VLOOKUP($A42,Master!$D$29:$G$225,4,FALSE)</f>
        <v>#N/A</v>
      </c>
      <c r="C42" s="540"/>
      <c r="D42" s="540"/>
      <c r="E42" s="540"/>
      <c r="F42" s="540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5" t="str">
        <f>+VLOOKUP($A43,Master!$D$29:$G$225,4,FALSE)</f>
        <v>Transferi za socijalnu zaštitu</v>
      </c>
      <c r="C43" s="536"/>
      <c r="D43" s="536"/>
      <c r="E43" s="536"/>
      <c r="F43" s="536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9" t="str">
        <f>+VLOOKUP($A44,Master!$D$29:$G$225,4,FALSE)</f>
        <v>Prava iz oblasti socijalne zaštite</v>
      </c>
      <c r="C44" s="540"/>
      <c r="D44" s="540"/>
      <c r="E44" s="540"/>
      <c r="F44" s="540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9" t="str">
        <f>+VLOOKUP($A45,Master!$D$29:$G$225,4,FALSE)</f>
        <v>Sredstva za tehnološke viškove</v>
      </c>
      <c r="C45" s="540"/>
      <c r="D45" s="540"/>
      <c r="E45" s="540"/>
      <c r="F45" s="540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9" t="str">
        <f>+VLOOKUP($A46,Master!$D$29:$G$225,4,FALSE)</f>
        <v>Prava iz oblasti penzijskog i invalidskog osiguranja</v>
      </c>
      <c r="C46" s="540"/>
      <c r="D46" s="540"/>
      <c r="E46" s="540"/>
      <c r="F46" s="540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9" t="str">
        <f>+VLOOKUP($A47,Master!$D$29:$G$225,4,FALSE)</f>
        <v>Ostala prava iz oblasti zdravstvene zaštite</v>
      </c>
      <c r="C47" s="540"/>
      <c r="D47" s="540"/>
      <c r="E47" s="540"/>
      <c r="F47" s="540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9" t="str">
        <f>+VLOOKUP($A48,Master!$D$29:$G$225,4,FALSE)</f>
        <v>Ostala prava iz zdravstvenog osiguranja</v>
      </c>
      <c r="C48" s="540"/>
      <c r="D48" s="540"/>
      <c r="E48" s="540"/>
      <c r="F48" s="540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7" t="str">
        <f>+VLOOKUP($A49,Master!$D$29:$G$225,4,FALSE)</f>
        <v xml:space="preserve">Transferi institucijama, pojedincima, nevladinom i javnom sektoru </v>
      </c>
      <c r="C49" s="538"/>
      <c r="D49" s="538"/>
      <c r="E49" s="538"/>
      <c r="F49" s="538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7" t="str">
        <f>+VLOOKUP($A50,Master!$D$29:$G$225,4,FALSE)</f>
        <v>Kapitalni izdaci</v>
      </c>
      <c r="C50" s="538"/>
      <c r="D50" s="538"/>
      <c r="E50" s="538"/>
      <c r="F50" s="538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7" t="str">
        <f>+VLOOKUP($A51,Master!$D$29:$G$225,4,FALSE)</f>
        <v>Pozajmice i krediti</v>
      </c>
      <c r="C51" s="508"/>
      <c r="D51" s="508"/>
      <c r="E51" s="508"/>
      <c r="F51" s="508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7" t="str">
        <f>+VLOOKUP($A52,Master!$D$29:$G$225,4,FALSE)</f>
        <v>Rezerve</v>
      </c>
      <c r="C52" s="508"/>
      <c r="D52" s="508"/>
      <c r="E52" s="508"/>
      <c r="F52" s="508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5" t="str">
        <f>+VLOOKUP($A53,Master!$D$29:$G$225,4,FALSE)</f>
        <v>Otplata garancija</v>
      </c>
      <c r="C53" s="526"/>
      <c r="D53" s="526"/>
      <c r="E53" s="526"/>
      <c r="F53" s="52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5" t="str">
        <f>+VLOOKUP($A54,Master!$D$29:$G$225,4,FALSE)</f>
        <v>Otplata obaveza iz prethodnog perioda</v>
      </c>
      <c r="C54" s="526"/>
      <c r="D54" s="526"/>
      <c r="E54" s="526"/>
      <c r="F54" s="52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5" t="str">
        <f>+VLOOKUP($A55,Master!$D$29:$G$227,4,FALSE)</f>
        <v>Neto povećanje obaveza</v>
      </c>
      <c r="C55" s="526"/>
      <c r="D55" s="526"/>
      <c r="E55" s="526"/>
      <c r="F55" s="52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31" t="str">
        <f>+VLOOKUP($A56,Master!$D$29:$G$225,4,FALSE)</f>
        <v>Suficit / deficit</v>
      </c>
      <c r="C56" s="532"/>
      <c r="D56" s="532"/>
      <c r="E56" s="532"/>
      <c r="F56" s="532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3" t="str">
        <f>+VLOOKUP($A57,Master!$D$29:$G$225,4,FALSE)</f>
        <v>Primarni suficit/deficit</v>
      </c>
      <c r="C57" s="534"/>
      <c r="D57" s="534"/>
      <c r="E57" s="534"/>
      <c r="F57" s="534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5" t="str">
        <f>+VLOOKUP($A58,Master!$D$29:$G$225,4,FALSE)</f>
        <v>Otplata dugova</v>
      </c>
      <c r="C58" s="536"/>
      <c r="D58" s="536"/>
      <c r="E58" s="536"/>
      <c r="F58" s="536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3" t="str">
        <f>+VLOOKUP($A59,Master!$D$29:$G$225,4,FALSE)</f>
        <v>Otplata hartija od vrijednosti i kredita rezidentima</v>
      </c>
      <c r="C59" s="524"/>
      <c r="D59" s="524"/>
      <c r="E59" s="524"/>
      <c r="F59" s="524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7" t="str">
        <f>+VLOOKUP($A60,Master!$D$29:$G$225,4,FALSE)</f>
        <v>Otplata hartija od vrijednosti i kredita nerezidentima</v>
      </c>
      <c r="C60" s="508"/>
      <c r="D60" s="508"/>
      <c r="E60" s="508"/>
      <c r="F60" s="508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7" t="str">
        <f>+VLOOKUP($A62,Master!$D$29:$G$225,4,FALSE)</f>
        <v>Nedostajuća sredstva</v>
      </c>
      <c r="C62" s="528"/>
      <c r="D62" s="528"/>
      <c r="E62" s="528"/>
      <c r="F62" s="528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9" t="str">
        <f>+VLOOKUP($A63,Master!$D$29:$G$225,4,FALSE)</f>
        <v>Finansiranje</v>
      </c>
      <c r="C63" s="530"/>
      <c r="D63" s="530"/>
      <c r="E63" s="530"/>
      <c r="F63" s="530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3" t="str">
        <f>+VLOOKUP($A64,Master!$D$29:$G$225,4,FALSE)</f>
        <v>Pozajmice i krediti od domaćih izvora</v>
      </c>
      <c r="C64" s="524"/>
      <c r="D64" s="524"/>
      <c r="E64" s="524"/>
      <c r="F64" s="524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7" t="str">
        <f>+VLOOKUP($A65,Master!$D$29:$G$225,4,FALSE)</f>
        <v>Pozajmice i krediti od inostranih izvora</v>
      </c>
      <c r="C65" s="508"/>
      <c r="D65" s="508"/>
      <c r="E65" s="508"/>
      <c r="F65" s="508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7" t="str">
        <f>+VLOOKUP($A66,Master!$D$29:$G$225,4,FALSE)</f>
        <v>Primici od prodaje imovine</v>
      </c>
      <c r="C66" s="508"/>
      <c r="D66" s="508"/>
      <c r="E66" s="508"/>
      <c r="F66" s="508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G7" sqref="G7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10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838</v>
      </c>
      <c r="G7" s="52" t="str">
        <f t="shared" si="0"/>
        <v>Ministarstvo finansija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824</v>
      </c>
      <c r="F11" s="12" t="s">
        <v>825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Oktobar</v>
      </c>
    </row>
    <row r="245" spans="4:7">
      <c r="D245" s="49"/>
      <c r="E245" s="9"/>
      <c r="F245" s="10"/>
      <c r="G245" s="52" t="str">
        <f>+CONCATENATE("Jan - ",LEFT(G244,3))</f>
        <v>Jan - Okt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Okt</v>
      </c>
      <c r="F253" s="10" t="str">
        <f>+CONCATENATE("Analytics for period ",G245)</f>
        <v>Analytics for period Jan - Okt</v>
      </c>
      <c r="G253" s="52" t="str">
        <f>+IF(ISBLANK(IF($B$2=1,E253,F253)),"",IF($B$2=1,E253,F253))</f>
        <v>Analitika za period Jan - Okt</v>
      </c>
    </row>
    <row r="254" spans="4:7">
      <c r="D254" s="46"/>
      <c r="E254" s="9" t="str">
        <f>+CONCATENATE("Analitika za period ",G244)</f>
        <v>Analitika za period Oktobar</v>
      </c>
      <c r="F254" s="10" t="str">
        <f>+CONCATENATE("Analytics for period ",G244)</f>
        <v>Analytics for period Oktobar</v>
      </c>
      <c r="G254" s="52" t="str">
        <f>+IF(ISBLANK(IF($B$2=1,E254,F254)),"",IF($B$2=1,E254,F254))</f>
        <v>Analitika za period Oktobar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Oktobar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Oktobar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Oktobar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Oktobar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Oktobar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Oktobar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tabSelected="1" zoomScaleNormal="100" workbookViewId="0">
      <pane ySplit="5" topLeftCell="A6" activePane="bottomLeft" state="frozen"/>
      <selection activeCell="DK219" sqref="DK219"/>
      <selection pane="bottomLeft" activeCell="E12" sqref="E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Oktobar</v>
      </c>
      <c r="E11" s="135"/>
      <c r="F11" s="135"/>
      <c r="G11" s="137" t="str">
        <f>+Master!G273</f>
        <v>Prihodi za period Januar - Oktobar</v>
      </c>
      <c r="H11" s="135"/>
      <c r="I11" s="135"/>
      <c r="J11" s="135"/>
      <c r="K11" s="136"/>
    </row>
    <row r="12" spans="3:11">
      <c r="C12" s="134"/>
      <c r="D12" s="138">
        <f>+'Analitika 2022'!N10</f>
        <v>168309058.88999999</v>
      </c>
      <c r="E12" s="455">
        <f>+D12/'2022'!T7</f>
        <v>2.9525833080134727E-2</v>
      </c>
      <c r="F12" s="135"/>
      <c r="G12" s="138">
        <f>+'Analitika 2022'!G10</f>
        <v>1627564657.5700002</v>
      </c>
      <c r="H12" s="455">
        <f>+G12/'2022'!T7</f>
        <v>0.28551762289839311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808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Oktobar</v>
      </c>
      <c r="E15" s="135"/>
      <c r="F15" s="135"/>
      <c r="G15" s="137" t="str">
        <f>+Master!G274</f>
        <v>Rashodi za period Januar - Oktobar</v>
      </c>
      <c r="H15" s="135"/>
      <c r="I15" s="135"/>
      <c r="J15" s="135"/>
      <c r="K15" s="136"/>
    </row>
    <row r="16" spans="3:11">
      <c r="C16" s="134"/>
      <c r="D16" s="138">
        <f>+'Analitika 2022'!N29</f>
        <v>188354534.19</v>
      </c>
      <c r="E16" s="455">
        <f>+D16/'2022'!T7</f>
        <v>3.3042336360606273E-2</v>
      </c>
      <c r="F16" s="135"/>
      <c r="G16" s="138">
        <f>+'Analitika 2022'!G29</f>
        <v>1683561004.45</v>
      </c>
      <c r="H16" s="455">
        <f>+G16/'2022'!T7</f>
        <v>0.29534085405410149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808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Oktobar</v>
      </c>
      <c r="E19" s="135"/>
      <c r="F19" s="135"/>
      <c r="G19" s="137" t="str">
        <f>+Master!G275</f>
        <v>Suficit/Deficit za period Januar - Oktobar</v>
      </c>
      <c r="H19" s="135"/>
      <c r="I19" s="135"/>
      <c r="J19" s="135"/>
      <c r="K19" s="136"/>
    </row>
    <row r="20" spans="3:12">
      <c r="C20" s="134"/>
      <c r="D20" s="138">
        <f>+'Analitika 2022'!N53</f>
        <v>-20045475.300000012</v>
      </c>
      <c r="E20" s="455">
        <f>+D20/'2022'!T7</f>
        <v>-3.5165032804715481E-3</v>
      </c>
      <c r="F20" s="135"/>
      <c r="G20" s="138">
        <f>+'Analitika 2022'!G53</f>
        <v>-55996346.879999995</v>
      </c>
      <c r="H20" s="455">
        <f>+G20/'2022'!T7</f>
        <v>-9.8232311557083698E-3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808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oyB/Ptvyul8Lb6EWu01mBa1YgHIFrQrH56bLO3OP2OOu0mZtPyqH620Cd5Y1kiv96+BQnRbICvREVz2PNKg0oQ==" saltValue="4f+rV7XadqAhV1QpcF9Ck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opLeftCell="C1" zoomScaleNormal="100" workbookViewId="0">
      <pane ySplit="5" topLeftCell="A24" activePane="bottomLeft" state="frozen"/>
      <selection activeCell="DK219" sqref="DK219"/>
      <selection pane="bottomLeft" activeCell="I19" sqref="I19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3"/>
      <c r="P4" s="483"/>
      <c r="Q4" s="483"/>
    </row>
    <row r="5" spans="1:20" s="1" customFormat="1">
      <c r="B5" s="483"/>
      <c r="G5" s="163"/>
      <c r="H5" s="163"/>
      <c r="N5" s="483"/>
      <c r="P5" s="483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2022-10</v>
      </c>
      <c r="O6" s="143" t="str">
        <f>+CONCATENATE(N6,"p")</f>
        <v>2022-10p</v>
      </c>
      <c r="P6" s="130"/>
      <c r="Q6" s="130"/>
      <c r="R6" s="143" t="str">
        <f>+IF(Master!B3-10&gt;=0,CONCATENATE(Master!B4-1,"-",Master!B3),CONCATENATE(Master!B4-1,"-0",Master!B3))</f>
        <v>2021-10</v>
      </c>
      <c r="S6" s="130"/>
      <c r="T6" s="130"/>
    </row>
    <row r="7" spans="1:20" ht="14.25" customHeight="1">
      <c r="A7" s="144"/>
      <c r="B7" s="509" t="str">
        <f>+Master!G253</f>
        <v>Analitika za period Jan - Okt</v>
      </c>
      <c r="C7" s="510"/>
      <c r="D7" s="510"/>
      <c r="E7" s="510"/>
      <c r="F7" s="510"/>
      <c r="G7" s="518" t="str">
        <f>+Master!G245</f>
        <v>Jan - Okt</v>
      </c>
      <c r="H7" s="519"/>
      <c r="I7" s="519"/>
      <c r="J7" s="519"/>
      <c r="K7" s="519"/>
      <c r="L7" s="519"/>
      <c r="M7" s="520"/>
      <c r="N7" s="521" t="str">
        <f>+Master!G244</f>
        <v>Oktobar</v>
      </c>
      <c r="O7" s="519"/>
      <c r="P7" s="519"/>
      <c r="Q7" s="519"/>
      <c r="R7" s="519"/>
      <c r="S7" s="519"/>
      <c r="T7" s="522"/>
    </row>
    <row r="8" spans="1:20">
      <c r="A8" s="144"/>
      <c r="B8" s="511"/>
      <c r="C8" s="512"/>
      <c r="D8" s="512"/>
      <c r="E8" s="512"/>
      <c r="F8" s="513"/>
      <c r="G8" s="357" t="str">
        <f>+Master!G25</f>
        <v>Ostvarenje</v>
      </c>
      <c r="H8" s="145" t="str">
        <f>+Master!G24</f>
        <v>Plan</v>
      </c>
      <c r="I8" s="505" t="str">
        <f>+Master!G260</f>
        <v>Odstupanje</v>
      </c>
      <c r="J8" s="505"/>
      <c r="K8" s="145" t="str">
        <f>+CONCATENATE(Master!G245," ",Master!B4-1)</f>
        <v>Jan - Okt 2021</v>
      </c>
      <c r="L8" s="505" t="str">
        <f>+I8</f>
        <v>Odstupanje</v>
      </c>
      <c r="M8" s="517"/>
      <c r="N8" s="146" t="str">
        <f>+G8</f>
        <v>Ostvarenje</v>
      </c>
      <c r="O8" s="145" t="str">
        <f>+H8</f>
        <v>Plan</v>
      </c>
      <c r="P8" s="505" t="str">
        <f>+I8</f>
        <v>Odstupanje</v>
      </c>
      <c r="Q8" s="505"/>
      <c r="R8" s="145" t="str">
        <f>+CONCATENATE(Master!G244," ",Master!B4-1)</f>
        <v>Oktobar 2021</v>
      </c>
      <c r="S8" s="505" t="str">
        <f>+P8</f>
        <v>Odstupanje</v>
      </c>
      <c r="T8" s="506"/>
    </row>
    <row r="9" spans="1:20" ht="15.75" thickBot="1">
      <c r="A9" s="144"/>
      <c r="B9" s="514"/>
      <c r="C9" s="515"/>
      <c r="D9" s="515"/>
      <c r="E9" s="515"/>
      <c r="F9" s="516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9" t="str">
        <f>+VLOOKUP($A10,Master!$D$29:$G$225,4,FALSE)</f>
        <v>Prihodi budžeta</v>
      </c>
      <c r="C10" s="530"/>
      <c r="D10" s="530"/>
      <c r="E10" s="530"/>
      <c r="F10" s="530"/>
      <c r="G10" s="151">
        <f>'2022'!S10</f>
        <v>1627564657.5700002</v>
      </c>
      <c r="H10" s="151">
        <f>SUM('2022'!G84:P84)</f>
        <v>1598637003.3199999</v>
      </c>
      <c r="I10" s="152">
        <f>+G10-H10</f>
        <v>28927654.250000238</v>
      </c>
      <c r="J10" s="154">
        <f>IF(+IF(ISERROR(G10/H10),"…",G10/H10-1)&gt;200%,"...",IF(ISERROR(G10/H10),"…",G10/H10-1))</f>
        <v>1.8095198716108873E-2</v>
      </c>
      <c r="K10" s="152">
        <f>SUM('2021'!G10:P10)</f>
        <v>1504371706.0100002</v>
      </c>
      <c r="L10" s="152">
        <f>+G10-K10</f>
        <v>123192951.55999994</v>
      </c>
      <c r="M10" s="154">
        <f>IF(+IF(ISERROR(G10/K10),"…",G10/K10-1)&gt;200%,"...",IF(ISERROR(G10/K10),"…",G10/K10-1))</f>
        <v>8.1889968461811069E-2</v>
      </c>
      <c r="N10" s="151">
        <f>'2022'!P10</f>
        <v>168309058.88999999</v>
      </c>
      <c r="O10" s="151">
        <f>'2022'!P84</f>
        <v>140445093.07000002</v>
      </c>
      <c r="P10" s="152">
        <f>+N10-O10</f>
        <v>27863965.819999963</v>
      </c>
      <c r="Q10" s="154">
        <f>IF(+IF(ISERROR(N10/O10),"…",N10/O10-1)&gt;200%,"...",IF(ISERROR(N10/O10),"…",N10/O10-1))</f>
        <v>0.19839757453193552</v>
      </c>
      <c r="R10" s="151">
        <f>'2021'!P10</f>
        <v>160001549.75000003</v>
      </c>
      <c r="S10" s="152">
        <f>+N10-R10</f>
        <v>8307509.1399999559</v>
      </c>
      <c r="T10" s="154">
        <f>IF(+IF(ISERROR(N10/R10),"…",N10/R10-1)&gt;200%,"...",IF(ISERROR(N10/R10),"…",N10/R10-1))</f>
        <v>5.1921429217281378E-2</v>
      </c>
    </row>
    <row r="11" spans="1:20">
      <c r="A11" s="150">
        <v>711</v>
      </c>
      <c r="B11" s="553" t="str">
        <f>+VLOOKUP($A11,Master!$D$29:$G$225,4,FALSE)</f>
        <v>Porezi</v>
      </c>
      <c r="C11" s="554"/>
      <c r="D11" s="554"/>
      <c r="E11" s="554"/>
      <c r="F11" s="554"/>
      <c r="G11" s="277">
        <f>'2022'!S11</f>
        <v>1159198060.6200001</v>
      </c>
      <c r="H11" s="277">
        <f>SUM('2022'!G85:P85)</f>
        <v>1122860368.2766669</v>
      </c>
      <c r="I11" s="158">
        <f t="shared" ref="I11:I57" si="0">+G11-H11</f>
        <v>36337692.343333244</v>
      </c>
      <c r="J11" s="160">
        <f t="shared" ref="J11:J64" si="1">IF(+IF(ISERROR(G11/H11-1),"…",G11/H11-1)&gt;200%,"...",IF(ISERROR(G11/H11-1),"…",G11/H11-1))</f>
        <v>3.2361719560111801E-2</v>
      </c>
      <c r="K11" s="158">
        <f>SUM('2021'!G11:P11)</f>
        <v>965880317.05000007</v>
      </c>
      <c r="L11" s="158">
        <f>+G11-K11</f>
        <v>193317743.57000005</v>
      </c>
      <c r="M11" s="160">
        <f t="shared" ref="M11:M64" si="2">IF(+IF(ISERROR(G11/K11),"…",G11/K11-1)&gt;200%,"...",IF(ISERROR(G11/K11),"…",G11/K11-1))</f>
        <v>0.20014668500589461</v>
      </c>
      <c r="N11" s="277">
        <f>'2022'!P11</f>
        <v>118807466.67</v>
      </c>
      <c r="O11" s="277">
        <f>'2022'!P85</f>
        <v>82469774.326666653</v>
      </c>
      <c r="P11" s="158">
        <f>+N11-O11</f>
        <v>36337692.343333349</v>
      </c>
      <c r="Q11" s="160">
        <f t="shared" ref="Q11:Q64" si="3">IF(+IF(ISERROR(N11/O11),"…",N11/O11-1)&gt;200%,"...",IF(ISERROR(N11/O11),"…",N11/O11-1))</f>
        <v>0.4406183070102514</v>
      </c>
      <c r="R11" s="277">
        <f>'2021'!P11</f>
        <v>104570246.49000001</v>
      </c>
      <c r="S11" s="158">
        <f t="shared" ref="S11:S57" si="4">+N11-R11</f>
        <v>14237220.179999992</v>
      </c>
      <c r="T11" s="160">
        <f t="shared" ref="T11:T64" si="5">IF(+IF(ISERROR(N11/R11),"…",N11/R11-1)&gt;200%,"...",IF(ISERROR(N11/R11),"…",N11/R11-1))</f>
        <v>0.13614981945520688</v>
      </c>
    </row>
    <row r="12" spans="1:20">
      <c r="A12" s="150">
        <v>7111</v>
      </c>
      <c r="B12" s="539" t="str">
        <f>+VLOOKUP($A12,Master!$D$29:$G$225,4,FALSE)</f>
        <v>Porez na dohodak fizičkih lica</v>
      </c>
      <c r="C12" s="540"/>
      <c r="D12" s="540"/>
      <c r="E12" s="540"/>
      <c r="F12" s="540"/>
      <c r="G12" s="163">
        <f>'2022'!S12</f>
        <v>70423283.820000008</v>
      </c>
      <c r="H12" s="163">
        <f>SUM('2022'!G86:P86)</f>
        <v>72536094.930000007</v>
      </c>
      <c r="I12" s="164">
        <f t="shared" si="0"/>
        <v>-2112811.1099999994</v>
      </c>
      <c r="J12" s="166">
        <f t="shared" si="1"/>
        <v>-2.912772064775393E-2</v>
      </c>
      <c r="K12" s="164">
        <f>SUM('2021'!G12:P12)</f>
        <v>96556587.929999992</v>
      </c>
      <c r="L12" s="164">
        <f>+G12-K12</f>
        <v>-26133304.109999985</v>
      </c>
      <c r="M12" s="166">
        <f t="shared" si="2"/>
        <v>-0.27065272986806121</v>
      </c>
      <c r="N12" s="163">
        <f>'2022'!P12</f>
        <v>5264087.58</v>
      </c>
      <c r="O12" s="163">
        <f>'2022'!P86</f>
        <v>7376898.6899999995</v>
      </c>
      <c r="P12" s="164">
        <f t="shared" ref="P12:P57" si="6">+N12-O12</f>
        <v>-2112811.1099999994</v>
      </c>
      <c r="Q12" s="166">
        <f t="shared" si="3"/>
        <v>-0.28640912648889849</v>
      </c>
      <c r="R12" s="163">
        <f>'2021'!P12</f>
        <v>10714688.65</v>
      </c>
      <c r="S12" s="164">
        <f t="shared" si="4"/>
        <v>-5450601.0700000003</v>
      </c>
      <c r="T12" s="166">
        <f t="shared" si="5"/>
        <v>-0.50870363554614351</v>
      </c>
    </row>
    <row r="13" spans="1:20">
      <c r="A13" s="150">
        <v>7112</v>
      </c>
      <c r="B13" s="539" t="str">
        <f>+VLOOKUP($A13,Master!$D$29:$G$225,4,FALSE)</f>
        <v>Porez na dobit pravnih lica</v>
      </c>
      <c r="C13" s="540"/>
      <c r="D13" s="540"/>
      <c r="E13" s="540"/>
      <c r="F13" s="540"/>
      <c r="G13" s="163">
        <f>'2022'!S13</f>
        <v>83272824.299999997</v>
      </c>
      <c r="H13" s="163">
        <f>SUM('2022'!G87:P87)</f>
        <v>82487585.61333333</v>
      </c>
      <c r="I13" s="164">
        <f t="shared" si="0"/>
        <v>785238.68666666746</v>
      </c>
      <c r="J13" s="166">
        <f t="shared" si="1"/>
        <v>9.5194771531745825E-3</v>
      </c>
      <c r="K13" s="164">
        <f>SUM('2021'!G13:P13)</f>
        <v>70745076.549999997</v>
      </c>
      <c r="L13" s="164">
        <f t="shared" ref="L13:L57" si="7">+G13-K13</f>
        <v>12527747.75</v>
      </c>
      <c r="M13" s="166">
        <f t="shared" si="2"/>
        <v>0.1770829626729693</v>
      </c>
      <c r="N13" s="163">
        <f>'2022'!P13</f>
        <v>1233620.1499999999</v>
      </c>
      <c r="O13" s="163">
        <f>'2022'!P87</f>
        <v>448381.46333333803</v>
      </c>
      <c r="P13" s="164">
        <f t="shared" si="6"/>
        <v>785238.68666666187</v>
      </c>
      <c r="Q13" s="166">
        <f t="shared" si="3"/>
        <v>1.7512737498759972</v>
      </c>
      <c r="R13" s="163">
        <f>'2021'!P13</f>
        <v>812369.36</v>
      </c>
      <c r="S13" s="164">
        <f t="shared" si="4"/>
        <v>421250.78999999992</v>
      </c>
      <c r="T13" s="166">
        <f t="shared" si="5"/>
        <v>0.51854588656568712</v>
      </c>
    </row>
    <row r="14" spans="1:20">
      <c r="A14" s="150">
        <v>7113</v>
      </c>
      <c r="B14" s="539" t="str">
        <f>+VLOOKUP($A14,Master!$D$29:$G$225,4,FALSE)</f>
        <v>Porez na promet nepokretnosti</v>
      </c>
      <c r="C14" s="540"/>
      <c r="D14" s="540"/>
      <c r="E14" s="540"/>
      <c r="F14" s="540"/>
      <c r="G14" s="163">
        <f>'2022'!S14</f>
        <v>1481541.77</v>
      </c>
      <c r="H14" s="163">
        <f>SUM('2022'!G88:P88)</f>
        <v>1481566.07</v>
      </c>
      <c r="I14" s="164">
        <f t="shared" si="0"/>
        <v>-24.300000000046566</v>
      </c>
      <c r="J14" s="166">
        <f t="shared" si="1"/>
        <v>-1.6401563515899831E-5</v>
      </c>
      <c r="K14" s="164">
        <f>SUM('2021'!G14:P14)</f>
        <v>1494672.2</v>
      </c>
      <c r="L14" s="164">
        <f t="shared" si="7"/>
        <v>-13130.429999999935</v>
      </c>
      <c r="M14" s="166">
        <f t="shared" si="2"/>
        <v>-8.7848225182751705E-3</v>
      </c>
      <c r="N14" s="163">
        <f>'2022'!P14</f>
        <v>0</v>
      </c>
      <c r="O14" s="163">
        <f>'2022'!P88</f>
        <v>24.3</v>
      </c>
      <c r="P14" s="164">
        <f t="shared" si="6"/>
        <v>-24.3</v>
      </c>
      <c r="Q14" s="166">
        <f t="shared" si="3"/>
        <v>-1</v>
      </c>
      <c r="R14" s="163">
        <f>'2021'!P14</f>
        <v>188590.96</v>
      </c>
      <c r="S14" s="164">
        <f t="shared" si="4"/>
        <v>-188590.96</v>
      </c>
      <c r="T14" s="166">
        <f t="shared" si="5"/>
        <v>-1</v>
      </c>
    </row>
    <row r="15" spans="1:20">
      <c r="A15" s="150">
        <v>7114</v>
      </c>
      <c r="B15" s="539" t="str">
        <f>+VLOOKUP($A15,Master!$D$29:$G$225,4,FALSE)</f>
        <v>Porez na dodatu vrijednost</v>
      </c>
      <c r="C15" s="540"/>
      <c r="D15" s="540"/>
      <c r="E15" s="540"/>
      <c r="F15" s="540"/>
      <c r="G15" s="163">
        <f>'2022'!S15</f>
        <v>753014677.18000007</v>
      </c>
      <c r="H15" s="163">
        <f>SUM('2022'!G89:P89)</f>
        <v>715061424.7700001</v>
      </c>
      <c r="I15" s="164">
        <f t="shared" si="0"/>
        <v>37953252.409999967</v>
      </c>
      <c r="J15" s="166">
        <f t="shared" si="1"/>
        <v>5.3076912129902176E-2</v>
      </c>
      <c r="K15" s="164">
        <f>SUM('2021'!G15:P15)</f>
        <v>559729750.62</v>
      </c>
      <c r="L15" s="164">
        <f t="shared" si="7"/>
        <v>193284926.56000006</v>
      </c>
      <c r="M15" s="166">
        <f t="shared" si="2"/>
        <v>0.34531830110138451</v>
      </c>
      <c r="N15" s="163">
        <f>'2022'!P15</f>
        <v>87831568.400000006</v>
      </c>
      <c r="O15" s="163">
        <f>'2022'!P89</f>
        <v>49878315.989999972</v>
      </c>
      <c r="P15" s="164">
        <f t="shared" si="6"/>
        <v>37953252.410000034</v>
      </c>
      <c r="Q15" s="166">
        <f t="shared" si="3"/>
        <v>0.76091687653627327</v>
      </c>
      <c r="R15" s="163">
        <f>'2021'!P15</f>
        <v>66173641.18</v>
      </c>
      <c r="S15" s="164">
        <f t="shared" si="4"/>
        <v>21657927.220000006</v>
      </c>
      <c r="T15" s="166">
        <f t="shared" si="5"/>
        <v>0.32728933807779947</v>
      </c>
    </row>
    <row r="16" spans="1:20">
      <c r="A16" s="150">
        <v>7115</v>
      </c>
      <c r="B16" s="539" t="str">
        <f>+VLOOKUP($A16,Master!$D$29:$G$225,4,FALSE)</f>
        <v>Akcize</v>
      </c>
      <c r="C16" s="540"/>
      <c r="D16" s="540"/>
      <c r="E16" s="540"/>
      <c r="F16" s="540"/>
      <c r="G16" s="163">
        <f>'2022'!S16</f>
        <v>208466173.85000002</v>
      </c>
      <c r="H16" s="163">
        <f>SUM('2022'!G90:P90)</f>
        <v>212015071.70666668</v>
      </c>
      <c r="I16" s="164">
        <f t="shared" si="0"/>
        <v>-3548897.8566666543</v>
      </c>
      <c r="J16" s="166">
        <f t="shared" si="1"/>
        <v>-1.6738894212090405E-2</v>
      </c>
      <c r="K16" s="164">
        <f>SUM('2021'!G16:P16)</f>
        <v>204720162.66999996</v>
      </c>
      <c r="L16" s="164">
        <f t="shared" si="7"/>
        <v>3746011.1800000668</v>
      </c>
      <c r="M16" s="166">
        <f t="shared" si="2"/>
        <v>1.8298203416526659E-2</v>
      </c>
      <c r="N16" s="163">
        <f>'2022'!P16</f>
        <v>20069000.579999998</v>
      </c>
      <c r="O16" s="163">
        <f>'2022'!P90</f>
        <v>23617898.436666675</v>
      </c>
      <c r="P16" s="164">
        <f t="shared" si="6"/>
        <v>-3548897.8566666767</v>
      </c>
      <c r="Q16" s="166">
        <f t="shared" si="3"/>
        <v>-0.15026306706260661</v>
      </c>
      <c r="R16" s="163">
        <f>'2021'!P16</f>
        <v>23175011.010000002</v>
      </c>
      <c r="S16" s="164">
        <f t="shared" si="4"/>
        <v>-3106010.4300000034</v>
      </c>
      <c r="T16" s="166">
        <f t="shared" si="5"/>
        <v>-0.13402411885197218</v>
      </c>
    </row>
    <row r="17" spans="1:20">
      <c r="A17" s="150">
        <v>7116</v>
      </c>
      <c r="B17" s="539" t="str">
        <f>+VLOOKUP($A17,Master!$D$29:$G$225,4,FALSE)</f>
        <v>Porez na međunarodnu trgovinu i transakcije</v>
      </c>
      <c r="C17" s="540"/>
      <c r="D17" s="540"/>
      <c r="E17" s="540"/>
      <c r="F17" s="540"/>
      <c r="G17" s="163">
        <f>'2022'!S17</f>
        <v>32452282.580000002</v>
      </c>
      <c r="H17" s="163">
        <f>SUM('2022'!G91:P91)</f>
        <v>29236739.690000001</v>
      </c>
      <c r="I17" s="164">
        <f t="shared" si="0"/>
        <v>3215542.8900000006</v>
      </c>
      <c r="J17" s="166">
        <f t="shared" si="1"/>
        <v>0.10998295035953776</v>
      </c>
      <c r="K17" s="164">
        <f>SUM('2021'!G17:P17)</f>
        <v>23356645.169999998</v>
      </c>
      <c r="L17" s="164">
        <f t="shared" si="7"/>
        <v>9095637.4100000039</v>
      </c>
      <c r="M17" s="166">
        <f t="shared" si="2"/>
        <v>0.38942396666121915</v>
      </c>
      <c r="N17" s="163">
        <f>'2022'!P17</f>
        <v>3430898.88</v>
      </c>
      <c r="O17" s="163">
        <f>'2022'!P91</f>
        <v>215355.98999999961</v>
      </c>
      <c r="P17" s="164">
        <f t="shared" si="6"/>
        <v>3215542.89</v>
      </c>
      <c r="Q17" s="166" t="str">
        <f>IF(+IF(ISERROR(N17/O17),"…",N17/O17-1)&gt;200%,"...",IF(ISERROR(N17/O17),"…",N17/O17-1))</f>
        <v>...</v>
      </c>
      <c r="R17" s="163">
        <f>'2021'!P17</f>
        <v>2522288.0299999998</v>
      </c>
      <c r="S17" s="164">
        <f t="shared" si="4"/>
        <v>908610.85000000009</v>
      </c>
      <c r="T17" s="166">
        <f t="shared" si="5"/>
        <v>0.36023278832275163</v>
      </c>
    </row>
    <row r="18" spans="1:20">
      <c r="A18" s="150">
        <v>7118</v>
      </c>
      <c r="B18" s="539" t="str">
        <f>+VLOOKUP($A18,Master!$D$29:$G$225,4,FALSE)</f>
        <v>Ostali državni porezi</v>
      </c>
      <c r="C18" s="540"/>
      <c r="D18" s="540"/>
      <c r="E18" s="540"/>
      <c r="F18" s="540"/>
      <c r="G18" s="163">
        <f>'2022'!S18</f>
        <v>10087277.120000001</v>
      </c>
      <c r="H18" s="163">
        <f>SUM('2022'!G92:P92)</f>
        <v>10041885.496666666</v>
      </c>
      <c r="I18" s="164">
        <f t="shared" si="0"/>
        <v>45391.623333334923</v>
      </c>
      <c r="J18" s="166">
        <f t="shared" si="1"/>
        <v>4.5202291291215335E-3</v>
      </c>
      <c r="K18" s="164">
        <f>SUM('2021'!G18:P18)</f>
        <v>9277421.910000002</v>
      </c>
      <c r="L18" s="164">
        <f t="shared" si="7"/>
        <v>809855.20999999903</v>
      </c>
      <c r="M18" s="166">
        <f t="shared" si="2"/>
        <v>8.7293131416936731E-2</v>
      </c>
      <c r="N18" s="163">
        <f>'2022'!P18</f>
        <v>978291.08</v>
      </c>
      <c r="O18" s="163">
        <f>'2022'!P92</f>
        <v>932899.45666666597</v>
      </c>
      <c r="P18" s="164">
        <f t="shared" si="6"/>
        <v>45391.623333333991</v>
      </c>
      <c r="Q18" s="166">
        <f t="shared" si="3"/>
        <v>4.865650098620744E-2</v>
      </c>
      <c r="R18" s="163">
        <f>'2021'!P18</f>
        <v>983657.3</v>
      </c>
      <c r="S18" s="164">
        <f t="shared" si="4"/>
        <v>-5366.2200000000885</v>
      </c>
      <c r="T18" s="166">
        <f t="shared" si="5"/>
        <v>-5.4553755662669623E-3</v>
      </c>
    </row>
    <row r="19" spans="1:20">
      <c r="A19" s="150">
        <v>712</v>
      </c>
      <c r="B19" s="541" t="str">
        <f>+VLOOKUP($A19,Master!$D$29:$G$225,4,FALSE)</f>
        <v>Doprinosi</v>
      </c>
      <c r="C19" s="542"/>
      <c r="D19" s="542"/>
      <c r="E19" s="542"/>
      <c r="F19" s="542"/>
      <c r="G19" s="169">
        <f>'2022'!S19</f>
        <v>346360876.04999989</v>
      </c>
      <c r="H19" s="169">
        <f>SUM('2022'!G93:P93)</f>
        <v>353454354.31999993</v>
      </c>
      <c r="I19" s="170">
        <f t="shared" si="0"/>
        <v>-7093478.2700000405</v>
      </c>
      <c r="J19" s="172">
        <f t="shared" si="1"/>
        <v>-2.006900801560918E-2</v>
      </c>
      <c r="K19" s="170">
        <f>SUM('2021'!G19:P19)</f>
        <v>420920220.75999999</v>
      </c>
      <c r="L19" s="170">
        <f t="shared" si="7"/>
        <v>-74559344.710000098</v>
      </c>
      <c r="M19" s="172">
        <f t="shared" si="2"/>
        <v>-0.17713414807057293</v>
      </c>
      <c r="N19" s="169">
        <f>'2022'!P19</f>
        <v>39011988.589999996</v>
      </c>
      <c r="O19" s="169">
        <f>'2022'!P93</f>
        <v>46105466.860000037</v>
      </c>
      <c r="P19" s="170">
        <f t="shared" si="6"/>
        <v>-7093478.2700000405</v>
      </c>
      <c r="Q19" s="172">
        <f t="shared" si="3"/>
        <v>-0.1538533009879175</v>
      </c>
      <c r="R19" s="169">
        <f>'2021'!P19</f>
        <v>44583829.93</v>
      </c>
      <c r="S19" s="170">
        <f t="shared" si="4"/>
        <v>-5571841.3400000036</v>
      </c>
      <c r="T19" s="172">
        <f t="shared" si="5"/>
        <v>-0.12497448848042481</v>
      </c>
    </row>
    <row r="20" spans="1:20">
      <c r="A20" s="150">
        <v>7121</v>
      </c>
      <c r="B20" s="539" t="str">
        <f>+VLOOKUP($A20,Master!$D$29:$G$225,4,FALSE)</f>
        <v>Doprinosi za penzijsko i invalidsko osiguranje</v>
      </c>
      <c r="C20" s="540"/>
      <c r="D20" s="540"/>
      <c r="E20" s="540"/>
      <c r="F20" s="540"/>
      <c r="G20" s="163">
        <f>'2022'!S20</f>
        <v>299725958.06999999</v>
      </c>
      <c r="H20" s="163">
        <f>SUM('2022'!G94:P94)</f>
        <v>305775116.45666665</v>
      </c>
      <c r="I20" s="164">
        <f t="shared" si="0"/>
        <v>-6049158.3866666555</v>
      </c>
      <c r="J20" s="166">
        <f t="shared" si="1"/>
        <v>-1.9783030276513403E-2</v>
      </c>
      <c r="K20" s="164">
        <f>SUM('2021'!G20:P20)</f>
        <v>260090610.43000004</v>
      </c>
      <c r="L20" s="164">
        <f t="shared" si="7"/>
        <v>39635347.639999956</v>
      </c>
      <c r="M20" s="166">
        <f t="shared" si="2"/>
        <v>0.15239053641525935</v>
      </c>
      <c r="N20" s="163">
        <f>'2022'!P20</f>
        <v>35325375.350000001</v>
      </c>
      <c r="O20" s="163">
        <f>'2022'!P94</f>
        <v>41374533.736666702</v>
      </c>
      <c r="P20" s="164">
        <f t="shared" si="6"/>
        <v>-6049158.3866667002</v>
      </c>
      <c r="Q20" s="166">
        <f t="shared" si="3"/>
        <v>-0.14620487145951444</v>
      </c>
      <c r="R20" s="163">
        <f>'2021'!P20</f>
        <v>27909453.050000001</v>
      </c>
      <c r="S20" s="164">
        <f t="shared" si="4"/>
        <v>7415922.3000000007</v>
      </c>
      <c r="T20" s="166">
        <f t="shared" si="5"/>
        <v>0.26571363783856028</v>
      </c>
    </row>
    <row r="21" spans="1:20">
      <c r="A21" s="150">
        <v>7122</v>
      </c>
      <c r="B21" s="539" t="str">
        <f>+VLOOKUP($A21,Master!$D$29:$G$225,4,FALSE)</f>
        <v>Doprinosi za zdravstveno osiguranje</v>
      </c>
      <c r="C21" s="540"/>
      <c r="D21" s="540"/>
      <c r="E21" s="540"/>
      <c r="F21" s="540"/>
      <c r="G21" s="163">
        <f>'2022'!S21</f>
        <v>23073524.619999997</v>
      </c>
      <c r="H21" s="163">
        <f>SUM('2022'!G95:P95)</f>
        <v>22151406.453333333</v>
      </c>
      <c r="I21" s="164">
        <f t="shared" si="0"/>
        <v>922118.16666666418</v>
      </c>
      <c r="J21" s="166">
        <f t="shared" si="1"/>
        <v>4.1627973763620929E-2</v>
      </c>
      <c r="K21" s="164">
        <f>SUM('2021'!G21:P21)</f>
        <v>137750908.23000002</v>
      </c>
      <c r="L21" s="164">
        <f t="shared" si="7"/>
        <v>-114677383.61000001</v>
      </c>
      <c r="M21" s="166">
        <f t="shared" si="2"/>
        <v>-0.83249820334052116</v>
      </c>
      <c r="N21" s="163">
        <f>'2022'!P21</f>
        <v>1084172.32</v>
      </c>
      <c r="O21" s="163">
        <f>'2022'!P95</f>
        <v>162054.15333333486</v>
      </c>
      <c r="P21" s="164">
        <f t="shared" si="6"/>
        <v>922118.16666666523</v>
      </c>
      <c r="Q21" s="166" t="str">
        <f t="shared" si="3"/>
        <v>...</v>
      </c>
      <c r="R21" s="163">
        <f>'2021'!P21</f>
        <v>14237401.24</v>
      </c>
      <c r="S21" s="164">
        <f t="shared" si="4"/>
        <v>-13153228.92</v>
      </c>
      <c r="T21" s="166">
        <f t="shared" si="5"/>
        <v>-0.92385040628383663</v>
      </c>
    </row>
    <row r="22" spans="1:20">
      <c r="A22" s="150">
        <v>7123</v>
      </c>
      <c r="B22" s="539" t="str">
        <f>+VLOOKUP($A22,Master!$D$29:$G$225,4,FALSE)</f>
        <v>Doprinosi za osiguranje od nezaposlenosti</v>
      </c>
      <c r="C22" s="540"/>
      <c r="D22" s="540"/>
      <c r="E22" s="540"/>
      <c r="F22" s="540"/>
      <c r="G22" s="163">
        <f>'2022'!S22</f>
        <v>13558734.390000001</v>
      </c>
      <c r="H22" s="163">
        <f>SUM('2022'!G96:P96)</f>
        <v>14598041.48666667</v>
      </c>
      <c r="I22" s="164">
        <f t="shared" si="0"/>
        <v>-1039307.0966666695</v>
      </c>
      <c r="J22" s="166">
        <f t="shared" si="1"/>
        <v>-7.119496801101266E-2</v>
      </c>
      <c r="K22" s="164">
        <f>SUM('2021'!G22:P22)</f>
        <v>12486542.950000001</v>
      </c>
      <c r="L22" s="164">
        <f t="shared" si="7"/>
        <v>1072191.4399999995</v>
      </c>
      <c r="M22" s="166">
        <f t="shared" si="2"/>
        <v>8.5867757336308914E-2</v>
      </c>
      <c r="N22" s="163">
        <f>'2022'!P22</f>
        <v>1538447.23</v>
      </c>
      <c r="O22" s="163">
        <f>'2022'!P96</f>
        <v>2577754.3266666699</v>
      </c>
      <c r="P22" s="164">
        <f t="shared" si="6"/>
        <v>-1039307.0966666699</v>
      </c>
      <c r="Q22" s="166">
        <f t="shared" si="3"/>
        <v>-0.40318314507907838</v>
      </c>
      <c r="R22" s="163">
        <f>'2021'!P22</f>
        <v>1312625.81</v>
      </c>
      <c r="S22" s="164">
        <f t="shared" si="4"/>
        <v>225821.41999999993</v>
      </c>
      <c r="T22" s="166">
        <f t="shared" si="5"/>
        <v>0.1720379245018806</v>
      </c>
    </row>
    <row r="23" spans="1:20">
      <c r="A23" s="150">
        <v>7124</v>
      </c>
      <c r="B23" s="539" t="str">
        <f>+VLOOKUP($A23,Master!$D$29:$G$225,4,FALSE)</f>
        <v>Ostali doprinosi</v>
      </c>
      <c r="C23" s="540"/>
      <c r="D23" s="540"/>
      <c r="E23" s="540"/>
      <c r="F23" s="540"/>
      <c r="G23" s="163">
        <f>'2022'!S23</f>
        <v>10002658.970000001</v>
      </c>
      <c r="H23" s="163">
        <f>SUM('2022'!G97:P97)</f>
        <v>10929789.923333332</v>
      </c>
      <c r="I23" s="164">
        <f t="shared" si="0"/>
        <v>-927130.95333333127</v>
      </c>
      <c r="J23" s="166">
        <f t="shared" si="1"/>
        <v>-8.4826054282530761E-2</v>
      </c>
      <c r="K23" s="164">
        <f>SUM('2021'!G23:P23)</f>
        <v>10592159.15</v>
      </c>
      <c r="L23" s="164">
        <f t="shared" si="7"/>
        <v>-589500.1799999997</v>
      </c>
      <c r="M23" s="166">
        <f t="shared" si="2"/>
        <v>-5.5654392239753991E-2</v>
      </c>
      <c r="N23" s="163">
        <f>'2022'!P23</f>
        <v>1063993.69</v>
      </c>
      <c r="O23" s="163">
        <f>'2022'!P97</f>
        <v>1991124.6433333298</v>
      </c>
      <c r="P23" s="164">
        <f t="shared" si="6"/>
        <v>-927130.95333332988</v>
      </c>
      <c r="Q23" s="166">
        <f t="shared" si="3"/>
        <v>-0.46563180082047773</v>
      </c>
      <c r="R23" s="163">
        <f>'2021'!P23</f>
        <v>1124349.83</v>
      </c>
      <c r="S23" s="164">
        <f t="shared" si="4"/>
        <v>-60356.14000000013</v>
      </c>
      <c r="T23" s="166">
        <f t="shared" si="5"/>
        <v>-5.3680925980128524E-2</v>
      </c>
    </row>
    <row r="24" spans="1:20">
      <c r="A24" s="150">
        <v>713</v>
      </c>
      <c r="B24" s="541" t="str">
        <f>+VLOOKUP($A24,Master!$D$29:$G$225,4,FALSE)</f>
        <v>Takse</v>
      </c>
      <c r="C24" s="542"/>
      <c r="D24" s="542"/>
      <c r="E24" s="542"/>
      <c r="F24" s="542"/>
      <c r="G24" s="175">
        <f>'2022'!S24</f>
        <v>11550998.580000002</v>
      </c>
      <c r="H24" s="175">
        <f>SUM('2022'!G98:P98)</f>
        <v>11223389.403333334</v>
      </c>
      <c r="I24" s="176">
        <f t="shared" si="0"/>
        <v>327609.17666666768</v>
      </c>
      <c r="J24" s="178">
        <f t="shared" si="1"/>
        <v>2.9189861003073414E-2</v>
      </c>
      <c r="K24" s="176">
        <f>SUM('2021'!G24:P24)</f>
        <v>10344216.34</v>
      </c>
      <c r="L24" s="176">
        <f t="shared" si="7"/>
        <v>1206782.2400000021</v>
      </c>
      <c r="M24" s="178">
        <f t="shared" si="2"/>
        <v>0.11666250978660431</v>
      </c>
      <c r="N24" s="175">
        <f>'2022'!P24</f>
        <v>1404191.05</v>
      </c>
      <c r="O24" s="175">
        <f>'2022'!P98</f>
        <v>1076581.8733333331</v>
      </c>
      <c r="P24" s="176">
        <f t="shared" si="6"/>
        <v>327609.17666666699</v>
      </c>
      <c r="Q24" s="178">
        <f t="shared" si="3"/>
        <v>0.30430493470256681</v>
      </c>
      <c r="R24" s="175">
        <f>'2021'!P24</f>
        <v>999355.85</v>
      </c>
      <c r="S24" s="176">
        <f t="shared" si="4"/>
        <v>404835.20000000007</v>
      </c>
      <c r="T24" s="178">
        <f t="shared" si="5"/>
        <v>0.40509614268030769</v>
      </c>
    </row>
    <row r="25" spans="1:20">
      <c r="A25" s="150">
        <v>714</v>
      </c>
      <c r="B25" s="541" t="str">
        <f>+VLOOKUP($A25,Master!$D$29:$G$225,4,FALSE)</f>
        <v>Naknade</v>
      </c>
      <c r="C25" s="542"/>
      <c r="D25" s="542"/>
      <c r="E25" s="542"/>
      <c r="F25" s="542"/>
      <c r="G25" s="175">
        <f>'2022'!S25</f>
        <v>48898098.489999995</v>
      </c>
      <c r="H25" s="175">
        <f>SUM('2022'!G99:P99)</f>
        <v>47393792.306666665</v>
      </c>
      <c r="I25" s="176">
        <f t="shared" si="0"/>
        <v>1504306.1833333299</v>
      </c>
      <c r="J25" s="178">
        <f t="shared" si="1"/>
        <v>3.1740574242288044E-2</v>
      </c>
      <c r="K25" s="176">
        <f>SUM('2021'!G25:P25)</f>
        <v>33621575.920000002</v>
      </c>
      <c r="L25" s="176">
        <f t="shared" si="7"/>
        <v>15276522.569999993</v>
      </c>
      <c r="M25" s="178">
        <f t="shared" si="2"/>
        <v>0.45436664260917814</v>
      </c>
      <c r="N25" s="175">
        <f>'2022'!P25</f>
        <v>5019331.6900000004</v>
      </c>
      <c r="O25" s="175">
        <f>'2022'!P99</f>
        <v>3515025.5066666701</v>
      </c>
      <c r="P25" s="176">
        <f t="shared" si="6"/>
        <v>1504306.1833333303</v>
      </c>
      <c r="Q25" s="178">
        <f t="shared" si="3"/>
        <v>0.42796451419206827</v>
      </c>
      <c r="R25" s="175">
        <f>'2021'!P25</f>
        <v>4441066.2300000004</v>
      </c>
      <c r="S25" s="176">
        <f t="shared" si="4"/>
        <v>578265.46</v>
      </c>
      <c r="T25" s="178">
        <f t="shared" si="5"/>
        <v>0.13020869990493256</v>
      </c>
    </row>
    <row r="26" spans="1:20">
      <c r="A26" s="150">
        <v>715</v>
      </c>
      <c r="B26" s="541" t="str">
        <f>+VLOOKUP($A26,Master!$D$29:$G$225,4,FALSE)</f>
        <v>Ostali prihodi</v>
      </c>
      <c r="C26" s="542"/>
      <c r="D26" s="542"/>
      <c r="E26" s="542"/>
      <c r="F26" s="542"/>
      <c r="G26" s="175">
        <f>'2022'!S26</f>
        <v>23349927.18</v>
      </c>
      <c r="H26" s="175">
        <f>SUM('2022'!G100:P100)</f>
        <v>25434302.609999999</v>
      </c>
      <c r="I26" s="176">
        <f t="shared" si="0"/>
        <v>-2084375.4299999997</v>
      </c>
      <c r="J26" s="178">
        <f t="shared" si="1"/>
        <v>-8.1951349795629347E-2</v>
      </c>
      <c r="K26" s="176">
        <f>SUM('2021'!G26:P26)</f>
        <v>48348217.039999992</v>
      </c>
      <c r="L26" s="176">
        <f t="shared" si="7"/>
        <v>-24998289.859999992</v>
      </c>
      <c r="M26" s="178">
        <f t="shared" si="2"/>
        <v>-0.51704677836037116</v>
      </c>
      <c r="N26" s="175">
        <f>'2022'!P26</f>
        <v>1870482.8</v>
      </c>
      <c r="O26" s="175">
        <f>'2022'!P100</f>
        <v>2305486.89</v>
      </c>
      <c r="P26" s="176">
        <f t="shared" si="6"/>
        <v>-435004.09000000008</v>
      </c>
      <c r="Q26" s="178">
        <f t="shared" si="3"/>
        <v>-0.18868209222391197</v>
      </c>
      <c r="R26" s="175">
        <f>'2021'!P26</f>
        <v>1566793.48</v>
      </c>
      <c r="S26" s="176">
        <f t="shared" si="4"/>
        <v>303689.32000000007</v>
      </c>
      <c r="T26" s="178">
        <f t="shared" si="5"/>
        <v>0.1938285574177907</v>
      </c>
    </row>
    <row r="27" spans="1:20">
      <c r="A27" s="150">
        <v>73</v>
      </c>
      <c r="B27" s="541" t="str">
        <f>+VLOOKUP($A27,Master!$D$29:$G$225,4,FALSE)</f>
        <v>Primici od otplate kredita i sredstva prenesena iz prethodne godine</v>
      </c>
      <c r="C27" s="542"/>
      <c r="D27" s="542"/>
      <c r="E27" s="542"/>
      <c r="F27" s="542"/>
      <c r="G27" s="175">
        <f>'2022'!S27</f>
        <v>12789089.559999999</v>
      </c>
      <c r="H27" s="175">
        <f>SUM('2022'!G101:P101)</f>
        <v>9747904.6300000027</v>
      </c>
      <c r="I27" s="176">
        <f t="shared" si="0"/>
        <v>3041184.929999996</v>
      </c>
      <c r="J27" s="178">
        <f t="shared" si="1"/>
        <v>0.31198345136045869</v>
      </c>
      <c r="K27" s="176">
        <f>SUM('2021'!G27:P27)</f>
        <v>6642251.8499999996</v>
      </c>
      <c r="L27" s="176">
        <f t="shared" si="7"/>
        <v>6146837.709999999</v>
      </c>
      <c r="M27" s="178">
        <f t="shared" si="2"/>
        <v>0.92541473115024986</v>
      </c>
      <c r="N27" s="175">
        <f>'2022'!P27</f>
        <v>328125.15999999997</v>
      </c>
      <c r="O27" s="175">
        <f>'2022'!P101</f>
        <v>0</v>
      </c>
      <c r="P27" s="176">
        <f t="shared" si="6"/>
        <v>328125.15999999997</v>
      </c>
      <c r="Q27" s="178" t="str">
        <f t="shared" si="3"/>
        <v>...</v>
      </c>
      <c r="R27" s="175">
        <f>'2021'!P27</f>
        <v>739287.02</v>
      </c>
      <c r="S27" s="176">
        <f t="shared" si="4"/>
        <v>-411161.86000000004</v>
      </c>
      <c r="T27" s="178">
        <f t="shared" si="5"/>
        <v>-0.55615998776767384</v>
      </c>
    </row>
    <row r="28" spans="1:20" ht="15.75" thickBot="1">
      <c r="A28" s="150">
        <v>74</v>
      </c>
      <c r="B28" s="543" t="str">
        <f>+VLOOKUP($A28,Master!$D$29:$G$225,4,FALSE)</f>
        <v>Donacije i transferi</v>
      </c>
      <c r="C28" s="544"/>
      <c r="D28" s="544"/>
      <c r="E28" s="544"/>
      <c r="F28" s="544"/>
      <c r="G28" s="175">
        <f>'2022'!S28</f>
        <v>25417607.09</v>
      </c>
      <c r="H28" s="175">
        <f>SUM('2022'!G102:P102)</f>
        <v>28522891.77333333</v>
      </c>
      <c r="I28" s="176">
        <f t="shared" si="0"/>
        <v>-3105284.6833333299</v>
      </c>
      <c r="J28" s="178">
        <f t="shared" si="1"/>
        <v>-0.10886991080744934</v>
      </c>
      <c r="K28" s="176">
        <f>SUM('2021'!G28:P28)</f>
        <v>18614907.050000001</v>
      </c>
      <c r="L28" s="176">
        <f t="shared" si="7"/>
        <v>6802700.0399999991</v>
      </c>
      <c r="M28" s="178">
        <f t="shared" si="2"/>
        <v>0.36544367488528495</v>
      </c>
      <c r="N28" s="175">
        <f>'2022'!P28</f>
        <v>1867472.93</v>
      </c>
      <c r="O28" s="175">
        <f>'2022'!P102</f>
        <v>4972757.6133333296</v>
      </c>
      <c r="P28" s="176">
        <f t="shared" si="6"/>
        <v>-3105284.6833333299</v>
      </c>
      <c r="Q28" s="178">
        <f t="shared" si="3"/>
        <v>-0.62445928894808955</v>
      </c>
      <c r="R28" s="175">
        <f>'2021'!P28</f>
        <v>3100970.75</v>
      </c>
      <c r="S28" s="176">
        <f t="shared" si="4"/>
        <v>-1233497.82</v>
      </c>
      <c r="T28" s="178">
        <f t="shared" si="5"/>
        <v>-0.39777796033709767</v>
      </c>
    </row>
    <row r="29" spans="1:20" ht="15.75" thickBot="1">
      <c r="A29" s="150">
        <v>4</v>
      </c>
      <c r="B29" s="529" t="str">
        <f>+VLOOKUP($A29,Master!$D$29:$G$225,4,FALSE)</f>
        <v>Izdaci budžeta</v>
      </c>
      <c r="C29" s="530"/>
      <c r="D29" s="530"/>
      <c r="E29" s="530"/>
      <c r="F29" s="530"/>
      <c r="G29" s="151">
        <f>'2022'!S29</f>
        <v>1683561004.45</v>
      </c>
      <c r="H29" s="151">
        <f>SUM('2022'!G103:P103)</f>
        <v>1783713382.1266668</v>
      </c>
      <c r="I29" s="152">
        <f t="shared" si="0"/>
        <v>-100152377.67666674</v>
      </c>
      <c r="J29" s="154">
        <f t="shared" si="1"/>
        <v>-5.6148245945914277E-2</v>
      </c>
      <c r="K29" s="152">
        <f>SUM('2021'!G29:P29)</f>
        <v>1564233887.9300001</v>
      </c>
      <c r="L29" s="152">
        <f t="shared" si="7"/>
        <v>119327116.51999998</v>
      </c>
      <c r="M29" s="154">
        <f t="shared" si="2"/>
        <v>7.6284702333043963E-2</v>
      </c>
      <c r="N29" s="151">
        <f>'2022'!P29</f>
        <v>188354534.19</v>
      </c>
      <c r="O29" s="151">
        <f>'2022'!P103</f>
        <v>289006911.81666666</v>
      </c>
      <c r="P29" s="152">
        <f t="shared" si="6"/>
        <v>-100652377.62666667</v>
      </c>
      <c r="Q29" s="154">
        <f t="shared" si="3"/>
        <v>-0.34826979394359991</v>
      </c>
      <c r="R29" s="151">
        <f>'2021'!P29</f>
        <v>157199480.03</v>
      </c>
      <c r="S29" s="152">
        <f t="shared" si="4"/>
        <v>31155054.159999996</v>
      </c>
      <c r="T29" s="154">
        <f t="shared" si="5"/>
        <v>0.19818802297599425</v>
      </c>
    </row>
    <row r="30" spans="1:20">
      <c r="A30" s="150">
        <v>41</v>
      </c>
      <c r="B30" s="547" t="str">
        <f>+VLOOKUP($A30,Master!$D$29:$G$225,4,FALSE)</f>
        <v>Tekući izdaci</v>
      </c>
      <c r="C30" s="548"/>
      <c r="D30" s="548"/>
      <c r="E30" s="548"/>
      <c r="F30" s="548"/>
      <c r="G30" s="313">
        <f>'2022'!S30</f>
        <v>682510756.3499999</v>
      </c>
      <c r="H30" s="313">
        <f>SUM('2022'!G104:P104)</f>
        <v>719753480.02999997</v>
      </c>
      <c r="I30" s="188">
        <f t="shared" si="0"/>
        <v>-37242723.680000067</v>
      </c>
      <c r="J30" s="190">
        <f t="shared" si="1"/>
        <v>-5.174372158429541E-2</v>
      </c>
      <c r="K30" s="188">
        <f>SUM('2021'!G30:P30)</f>
        <v>677563297.94000006</v>
      </c>
      <c r="L30" s="188">
        <f t="shared" si="7"/>
        <v>4947458.4099998474</v>
      </c>
      <c r="M30" s="190">
        <f t="shared" si="2"/>
        <v>7.3018394370556461E-3</v>
      </c>
      <c r="N30" s="313">
        <f>'2022'!P30</f>
        <v>70477527.979999989</v>
      </c>
      <c r="O30" s="313">
        <f>'2022'!P104</f>
        <v>107720251.61000003</v>
      </c>
      <c r="P30" s="188">
        <f t="shared" si="6"/>
        <v>-37242723.63000004</v>
      </c>
      <c r="Q30" s="190">
        <f t="shared" si="3"/>
        <v>-0.34573557964603452</v>
      </c>
      <c r="R30" s="313">
        <f>'2021'!P30</f>
        <v>65409325.240000002</v>
      </c>
      <c r="S30" s="188">
        <f t="shared" si="4"/>
        <v>5068202.7399999872</v>
      </c>
      <c r="T30" s="190">
        <f t="shared" si="5"/>
        <v>7.7484406411528095E-2</v>
      </c>
    </row>
    <row r="31" spans="1:20">
      <c r="A31" s="150">
        <v>411</v>
      </c>
      <c r="B31" s="539" t="str">
        <f>+VLOOKUP($A31,Master!$D$29:$G$225,4,FALSE)</f>
        <v>Bruto zarade i doprinosi na teret poslodavca</v>
      </c>
      <c r="C31" s="540"/>
      <c r="D31" s="540"/>
      <c r="E31" s="540"/>
      <c r="F31" s="540"/>
      <c r="G31" s="163">
        <f>'2022'!S31</f>
        <v>444820394.03999996</v>
      </c>
      <c r="H31" s="163">
        <f>SUM('2022'!G105:P105)</f>
        <v>452313861.93333334</v>
      </c>
      <c r="I31" s="164">
        <f t="shared" si="0"/>
        <v>-7493467.8933333755</v>
      </c>
      <c r="J31" s="166">
        <f t="shared" si="1"/>
        <v>-1.6566964941786E-2</v>
      </c>
      <c r="K31" s="164">
        <f>SUM('2021'!G31:P31)</f>
        <v>445275451.96000004</v>
      </c>
      <c r="L31" s="164">
        <f t="shared" si="7"/>
        <v>-455057.92000007629</v>
      </c>
      <c r="M31" s="166">
        <f t="shared" si="2"/>
        <v>-1.0219694752922059E-3</v>
      </c>
      <c r="N31" s="163">
        <f>'2022'!P31</f>
        <v>46473995.969999999</v>
      </c>
      <c r="O31" s="163">
        <f>'2022'!P105</f>
        <v>53967463.813333347</v>
      </c>
      <c r="P31" s="164">
        <f>+N31-O31</f>
        <v>-7493467.8433333486</v>
      </c>
      <c r="Q31" s="166">
        <f>IF(+IF(ISERROR(N31/O31),"…",N31/O31-1)&gt;200%,"...",IF(ISERROR(N31/O31),"…",N31/O31-1))</f>
        <v>-0.13885158415545173</v>
      </c>
      <c r="R31" s="163">
        <f>'2021'!P31</f>
        <v>44324596.259999998</v>
      </c>
      <c r="S31" s="164">
        <f t="shared" si="4"/>
        <v>2149399.7100000009</v>
      </c>
      <c r="T31" s="166">
        <f t="shared" si="5"/>
        <v>4.8492256926425448E-2</v>
      </c>
    </row>
    <row r="32" spans="1:20">
      <c r="A32" s="150">
        <v>412</v>
      </c>
      <c r="B32" s="539" t="str">
        <f>+VLOOKUP($A32,Master!$D$29:$G$225,4,FALSE)</f>
        <v>Ostala lična primanja</v>
      </c>
      <c r="C32" s="540"/>
      <c r="D32" s="540"/>
      <c r="E32" s="540"/>
      <c r="F32" s="540"/>
      <c r="G32" s="163">
        <f>'2022'!S32</f>
        <v>12989581.66</v>
      </c>
      <c r="H32" s="163">
        <f>SUM('2022'!G106:P106)</f>
        <v>14126283.306666667</v>
      </c>
      <c r="I32" s="164">
        <f t="shared" si="0"/>
        <v>-1136701.6466666665</v>
      </c>
      <c r="J32" s="166">
        <f t="shared" si="1"/>
        <v>-8.0467142134280967E-2</v>
      </c>
      <c r="K32" s="164">
        <f>SUM('2021'!G32:P32)</f>
        <v>7831099.8799999999</v>
      </c>
      <c r="L32" s="164">
        <f t="shared" si="7"/>
        <v>5158481.78</v>
      </c>
      <c r="M32" s="166">
        <f t="shared" si="2"/>
        <v>0.65871740356349529</v>
      </c>
      <c r="N32" s="163">
        <f>'2022'!P32</f>
        <v>1460025.08</v>
      </c>
      <c r="O32" s="163">
        <f>'2022'!P106</f>
        <v>2596726.726666667</v>
      </c>
      <c r="P32" s="164">
        <f t="shared" si="6"/>
        <v>-1136701.646666667</v>
      </c>
      <c r="Q32" s="166">
        <f t="shared" si="3"/>
        <v>-0.43774403944531104</v>
      </c>
      <c r="R32" s="163">
        <f>'2021'!P32</f>
        <v>879406.09</v>
      </c>
      <c r="S32" s="164">
        <f t="shared" si="4"/>
        <v>580618.99000000011</v>
      </c>
      <c r="T32" s="166">
        <f t="shared" si="5"/>
        <v>0.66023990122697485</v>
      </c>
    </row>
    <row r="33" spans="1:20">
      <c r="A33" s="150">
        <v>413</v>
      </c>
      <c r="B33" s="539" t="str">
        <f>+VLOOKUP($A33,Master!$D$29:$G$225,4,FALSE)</f>
        <v>Rashodi za materijal</v>
      </c>
      <c r="C33" s="540"/>
      <c r="D33" s="540"/>
      <c r="E33" s="540"/>
      <c r="F33" s="540"/>
      <c r="G33" s="163">
        <f>'2022'!S33</f>
        <v>25699263.569999997</v>
      </c>
      <c r="H33" s="163">
        <f>SUM('2022'!G107:P107)</f>
        <v>31735503.729999997</v>
      </c>
      <c r="I33" s="164">
        <f t="shared" si="0"/>
        <v>-6036240.1600000001</v>
      </c>
      <c r="J33" s="166">
        <f t="shared" si="1"/>
        <v>-0.19020464308224805</v>
      </c>
      <c r="K33" s="164">
        <f>SUM('2021'!G33:P33)</f>
        <v>23244241.48</v>
      </c>
      <c r="L33" s="164">
        <f t="shared" si="7"/>
        <v>2455022.0899999961</v>
      </c>
      <c r="M33" s="166">
        <f t="shared" si="2"/>
        <v>0.10561850736718448</v>
      </c>
      <c r="N33" s="163">
        <f>'2022'!P33</f>
        <v>2200142.2000000002</v>
      </c>
      <c r="O33" s="163">
        <f>'2022'!P107</f>
        <v>8236382.3600000003</v>
      </c>
      <c r="P33" s="164">
        <f t="shared" si="6"/>
        <v>-6036240.1600000001</v>
      </c>
      <c r="Q33" s="166">
        <f t="shared" si="3"/>
        <v>-0.73287517458089457</v>
      </c>
      <c r="R33" s="163">
        <f>'2021'!P33</f>
        <v>3816798.21</v>
      </c>
      <c r="S33" s="164">
        <f t="shared" si="4"/>
        <v>-1616656.0099999998</v>
      </c>
      <c r="T33" s="166">
        <f t="shared" si="5"/>
        <v>-0.42356339556132827</v>
      </c>
    </row>
    <row r="34" spans="1:20">
      <c r="A34" s="150">
        <v>414</v>
      </c>
      <c r="B34" s="539" t="str">
        <f>+VLOOKUP($A34,Master!$D$29:$G$225,4,FALSE)</f>
        <v>Rashodi za usluge</v>
      </c>
      <c r="C34" s="540"/>
      <c r="D34" s="540"/>
      <c r="E34" s="540"/>
      <c r="F34" s="540"/>
      <c r="G34" s="163">
        <f>'2022'!S34</f>
        <v>40657926.25</v>
      </c>
      <c r="H34" s="163">
        <f>SUM('2022'!G108:P108)</f>
        <v>46057550.376666673</v>
      </c>
      <c r="I34" s="164">
        <f t="shared" si="0"/>
        <v>-5399624.1266666725</v>
      </c>
      <c r="J34" s="166">
        <f t="shared" si="1"/>
        <v>-0.11723645922346293</v>
      </c>
      <c r="K34" s="164">
        <f>SUM('2021'!G34:P34)</f>
        <v>41950736.059999995</v>
      </c>
      <c r="L34" s="164">
        <f t="shared" si="7"/>
        <v>-1292809.8099999949</v>
      </c>
      <c r="M34" s="166">
        <f t="shared" si="2"/>
        <v>-3.0817333172675543E-2</v>
      </c>
      <c r="N34" s="163">
        <f>'2022'!P34</f>
        <v>4659013.42</v>
      </c>
      <c r="O34" s="163">
        <f>'2022'!P108</f>
        <v>10058637.546666674</v>
      </c>
      <c r="P34" s="164">
        <f t="shared" si="6"/>
        <v>-5399624.1266666744</v>
      </c>
      <c r="Q34" s="166">
        <f t="shared" si="3"/>
        <v>-0.53681466318030835</v>
      </c>
      <c r="R34" s="163">
        <f>'2021'!P34</f>
        <v>4343483.78</v>
      </c>
      <c r="S34" s="164">
        <f t="shared" si="4"/>
        <v>315529.63999999966</v>
      </c>
      <c r="T34" s="166">
        <f t="shared" si="5"/>
        <v>7.2644369354591953E-2</v>
      </c>
    </row>
    <row r="35" spans="1:20">
      <c r="A35" s="150">
        <v>415</v>
      </c>
      <c r="B35" s="539" t="str">
        <f>+VLOOKUP($A35,Master!$D$29:$G$225,4,FALSE)</f>
        <v>Rashodi za tekuće održavanje</v>
      </c>
      <c r="C35" s="540"/>
      <c r="D35" s="540"/>
      <c r="E35" s="540"/>
      <c r="F35" s="540"/>
      <c r="G35" s="163">
        <f>'2022'!S35</f>
        <v>16578848.82</v>
      </c>
      <c r="H35" s="163">
        <f>SUM('2022'!G109:P109)</f>
        <v>19079835.789999999</v>
      </c>
      <c r="I35" s="164">
        <f t="shared" si="0"/>
        <v>-2500986.9699999988</v>
      </c>
      <c r="J35" s="166">
        <f t="shared" si="1"/>
        <v>-0.13108010978327178</v>
      </c>
      <c r="K35" s="164">
        <f>SUM('2021'!G35:P35)</f>
        <v>15028685.060000001</v>
      </c>
      <c r="L35" s="164">
        <f t="shared" si="7"/>
        <v>1550163.7599999998</v>
      </c>
      <c r="M35" s="166">
        <f t="shared" si="2"/>
        <v>0.10314699881002087</v>
      </c>
      <c r="N35" s="163">
        <f>'2022'!P35</f>
        <v>1960172.98</v>
      </c>
      <c r="O35" s="163">
        <f>'2022'!P109</f>
        <v>4461159.9499999993</v>
      </c>
      <c r="P35" s="164">
        <f t="shared" si="6"/>
        <v>-2500986.9699999993</v>
      </c>
      <c r="Q35" s="166">
        <f t="shared" si="3"/>
        <v>-0.56061360678179661</v>
      </c>
      <c r="R35" s="163">
        <f>'2021'!P35</f>
        <v>1622294.67</v>
      </c>
      <c r="S35" s="164">
        <f t="shared" si="4"/>
        <v>337878.31000000006</v>
      </c>
      <c r="T35" s="166">
        <f t="shared" si="5"/>
        <v>0.20827184866482984</v>
      </c>
    </row>
    <row r="36" spans="1:20">
      <c r="A36" s="150">
        <v>416</v>
      </c>
      <c r="B36" s="539" t="str">
        <f>+VLOOKUP($A36,Master!$D$29:$G$225,4,FALSE)</f>
        <v>Kamate</v>
      </c>
      <c r="C36" s="540"/>
      <c r="D36" s="540"/>
      <c r="E36" s="540"/>
      <c r="F36" s="540"/>
      <c r="G36" s="163">
        <f>'2022'!S36</f>
        <v>58563019.789999999</v>
      </c>
      <c r="H36" s="163">
        <f>SUM('2022'!G110:P110)</f>
        <v>61791770.32</v>
      </c>
      <c r="I36" s="164">
        <f t="shared" si="0"/>
        <v>-3228750.5300000012</v>
      </c>
      <c r="J36" s="166">
        <f t="shared" si="1"/>
        <v>-5.2252112429848285E-2</v>
      </c>
      <c r="K36" s="164">
        <f>SUM('2021'!G36:P36)</f>
        <v>80790733.26000002</v>
      </c>
      <c r="L36" s="164">
        <f t="shared" si="7"/>
        <v>-22227713.470000021</v>
      </c>
      <c r="M36" s="166">
        <f t="shared" si="2"/>
        <v>-0.27512701733337397</v>
      </c>
      <c r="N36" s="163">
        <f>'2022'!P36</f>
        <v>807676.23</v>
      </c>
      <c r="O36" s="163">
        <f>'2022'!P110</f>
        <v>4036426.7599999993</v>
      </c>
      <c r="P36" s="164">
        <f t="shared" si="6"/>
        <v>-3228750.5299999993</v>
      </c>
      <c r="Q36" s="166">
        <f t="shared" si="3"/>
        <v>-0.79990316237027426</v>
      </c>
      <c r="R36" s="163">
        <f>'2021'!P36</f>
        <v>1257915.1499999999</v>
      </c>
      <c r="S36" s="164">
        <f t="shared" si="4"/>
        <v>-450238.91999999993</v>
      </c>
      <c r="T36" s="166">
        <f t="shared" si="5"/>
        <v>-0.35792471376149648</v>
      </c>
    </row>
    <row r="37" spans="1:20">
      <c r="A37" s="150">
        <v>417</v>
      </c>
      <c r="B37" s="539" t="str">
        <f>+VLOOKUP($A37,Master!$D$29:$G$225,4,FALSE)</f>
        <v>Renta</v>
      </c>
      <c r="C37" s="540"/>
      <c r="D37" s="540"/>
      <c r="E37" s="540"/>
      <c r="F37" s="540"/>
      <c r="G37" s="163">
        <f>'2022'!S37</f>
        <v>8340974.6900000004</v>
      </c>
      <c r="H37" s="163">
        <f>SUM('2022'!G111:P111)</f>
        <v>8922881.7633333337</v>
      </c>
      <c r="I37" s="164">
        <f t="shared" si="0"/>
        <v>-581907.07333333325</v>
      </c>
      <c r="J37" s="166">
        <f t="shared" si="1"/>
        <v>-6.5215150079042328E-2</v>
      </c>
      <c r="K37" s="164">
        <f>SUM('2021'!G37:P37)</f>
        <v>7852480.3100000015</v>
      </c>
      <c r="L37" s="164">
        <f t="shared" si="7"/>
        <v>488494.37999999896</v>
      </c>
      <c r="M37" s="166">
        <f t="shared" si="2"/>
        <v>6.220892771649611E-2</v>
      </c>
      <c r="N37" s="163">
        <f>'2022'!P37</f>
        <v>793457.04</v>
      </c>
      <c r="O37" s="163">
        <f>'2022'!P111</f>
        <v>1375364.1133333328</v>
      </c>
      <c r="P37" s="164">
        <f t="shared" si="6"/>
        <v>-581907.07333333278</v>
      </c>
      <c r="Q37" s="166">
        <f t="shared" si="3"/>
        <v>-0.42309310508547637</v>
      </c>
      <c r="R37" s="163">
        <f>'2021'!P37</f>
        <v>956228.2</v>
      </c>
      <c r="S37" s="164">
        <f t="shared" si="4"/>
        <v>-162771.15999999992</v>
      </c>
      <c r="T37" s="166">
        <f t="shared" si="5"/>
        <v>-0.1702220871545097</v>
      </c>
    </row>
    <row r="38" spans="1:20">
      <c r="A38" s="150">
        <v>418</v>
      </c>
      <c r="B38" s="539" t="str">
        <f>+VLOOKUP($A38,Master!$D$29:$G$225,4,FALSE)</f>
        <v>Subvencije</v>
      </c>
      <c r="C38" s="540"/>
      <c r="D38" s="540"/>
      <c r="E38" s="540"/>
      <c r="F38" s="540"/>
      <c r="G38" s="163">
        <f>'2022'!S38</f>
        <v>42392502.050000004</v>
      </c>
      <c r="H38" s="163">
        <f>SUM('2022'!G112:P112)</f>
        <v>45660793.866666675</v>
      </c>
      <c r="I38" s="164">
        <f t="shared" si="0"/>
        <v>-3268291.8166666701</v>
      </c>
      <c r="J38" s="166">
        <f t="shared" si="1"/>
        <v>-7.1577638930465315E-2</v>
      </c>
      <c r="K38" s="164">
        <f>SUM('2021'!G38:P38)</f>
        <v>30555652.459999997</v>
      </c>
      <c r="L38" s="164">
        <f t="shared" si="7"/>
        <v>11836849.590000007</v>
      </c>
      <c r="M38" s="166">
        <f t="shared" si="2"/>
        <v>0.38738657619880557</v>
      </c>
      <c r="N38" s="163">
        <f>'2022'!P38</f>
        <v>7316615.7400000002</v>
      </c>
      <c r="O38" s="163">
        <f>'2022'!P112</f>
        <v>10584907.556666669</v>
      </c>
      <c r="P38" s="164">
        <f t="shared" si="6"/>
        <v>-3268291.8166666683</v>
      </c>
      <c r="Q38" s="166">
        <f t="shared" si="3"/>
        <v>-0.30876904679325301</v>
      </c>
      <c r="R38" s="163">
        <f>'2021'!P38</f>
        <v>5211144.05</v>
      </c>
      <c r="S38" s="164">
        <f t="shared" si="4"/>
        <v>2105471.6900000004</v>
      </c>
      <c r="T38" s="166">
        <f t="shared" si="5"/>
        <v>0.40403252525709799</v>
      </c>
    </row>
    <row r="39" spans="1:20">
      <c r="A39" s="150">
        <v>419</v>
      </c>
      <c r="B39" s="539" t="str">
        <f>+VLOOKUP($A39,Master!$D$29:$G$225,4,FALSE)</f>
        <v>Ostali izdaci</v>
      </c>
      <c r="C39" s="540"/>
      <c r="D39" s="540"/>
      <c r="E39" s="540"/>
      <c r="F39" s="540"/>
      <c r="G39" s="163">
        <f>'2022'!S39</f>
        <v>32468245.48</v>
      </c>
      <c r="H39" s="163">
        <f>SUM('2022'!G113:P113)</f>
        <v>40064998.943333328</v>
      </c>
      <c r="I39" s="164">
        <f t="shared" si="0"/>
        <v>-7596753.4633333273</v>
      </c>
      <c r="J39" s="166">
        <f t="shared" si="1"/>
        <v>-0.18961072416544766</v>
      </c>
      <c r="K39" s="164">
        <f>SUM('2021'!G39:P39)</f>
        <v>25034217.469999999</v>
      </c>
      <c r="L39" s="164">
        <f t="shared" si="7"/>
        <v>7434028.0100000016</v>
      </c>
      <c r="M39" s="166">
        <f t="shared" si="2"/>
        <v>0.2969546788873525</v>
      </c>
      <c r="N39" s="163">
        <f>'2022'!P39</f>
        <v>4806429.32</v>
      </c>
      <c r="O39" s="163">
        <f>'2022'!P113</f>
        <v>12403182.783333331</v>
      </c>
      <c r="P39" s="164">
        <f t="shared" si="6"/>
        <v>-7596753.463333331</v>
      </c>
      <c r="Q39" s="166">
        <f t="shared" si="3"/>
        <v>-0.61248419829315126</v>
      </c>
      <c r="R39" s="163">
        <f>'2021'!P39</f>
        <v>2997458.83</v>
      </c>
      <c r="S39" s="164">
        <f t="shared" si="4"/>
        <v>1808970.4900000002</v>
      </c>
      <c r="T39" s="166">
        <f t="shared" si="5"/>
        <v>0.60350136318636283</v>
      </c>
    </row>
    <row r="40" spans="1:20">
      <c r="A40" s="150">
        <v>42</v>
      </c>
      <c r="B40" s="535" t="str">
        <f>+VLOOKUP($A40,Master!$D$29:$G$225,4,FALSE)</f>
        <v>Transferi za socijalnu zaštitu</v>
      </c>
      <c r="C40" s="536"/>
      <c r="D40" s="536"/>
      <c r="E40" s="536"/>
      <c r="F40" s="536"/>
      <c r="G40" s="193">
        <f>'2022'!S40</f>
        <v>533410429.84999996</v>
      </c>
      <c r="H40" s="193">
        <f>SUM('2022'!G114:P114)</f>
        <v>540819984.53999996</v>
      </c>
      <c r="I40" s="194">
        <f t="shared" si="0"/>
        <v>-7409554.6899999976</v>
      </c>
      <c r="J40" s="196">
        <f t="shared" si="1"/>
        <v>-1.3700593361582691E-2</v>
      </c>
      <c r="K40" s="194">
        <f>SUM('2021'!G40:P40)</f>
        <v>469652516.46999985</v>
      </c>
      <c r="L40" s="194">
        <f t="shared" si="7"/>
        <v>63757913.380000114</v>
      </c>
      <c r="M40" s="196">
        <f t="shared" si="2"/>
        <v>0.13575550251325619</v>
      </c>
      <c r="N40" s="193">
        <f>'2022'!P40</f>
        <v>71199555.839999989</v>
      </c>
      <c r="O40" s="193">
        <f>'2022'!P114</f>
        <v>78609110.530000016</v>
      </c>
      <c r="P40" s="194">
        <f t="shared" si="6"/>
        <v>-7409554.6900000274</v>
      </c>
      <c r="Q40" s="196">
        <f t="shared" si="3"/>
        <v>-9.4258218163812968E-2</v>
      </c>
      <c r="R40" s="193">
        <f>'2021'!P40</f>
        <v>47321393.019999996</v>
      </c>
      <c r="S40" s="194">
        <f t="shared" si="4"/>
        <v>23878162.819999993</v>
      </c>
      <c r="T40" s="196">
        <f t="shared" si="5"/>
        <v>0.50459551792797153</v>
      </c>
    </row>
    <row r="41" spans="1:20">
      <c r="A41" s="150">
        <v>421</v>
      </c>
      <c r="B41" s="539" t="str">
        <f>+VLOOKUP($A41,Master!$D$29:$G$225,4,FALSE)</f>
        <v>Prava iz oblasti socijalne zaštite</v>
      </c>
      <c r="C41" s="540"/>
      <c r="D41" s="540"/>
      <c r="E41" s="540"/>
      <c r="F41" s="540"/>
      <c r="G41" s="163">
        <f>'2022'!S41</f>
        <v>106319022.23999999</v>
      </c>
      <c r="H41" s="163">
        <f>SUM('2022'!G115:P115)</f>
        <v>110691378.99333332</v>
      </c>
      <c r="I41" s="164">
        <f t="shared" si="0"/>
        <v>-4372356.7533333302</v>
      </c>
      <c r="J41" s="166">
        <f t="shared" si="1"/>
        <v>-3.9500427161510587E-2</v>
      </c>
      <c r="K41" s="164">
        <f>SUM('2021'!G41:P41)</f>
        <v>68461213.930000007</v>
      </c>
      <c r="L41" s="164">
        <f t="shared" si="7"/>
        <v>37857808.309999987</v>
      </c>
      <c r="M41" s="166">
        <f t="shared" si="2"/>
        <v>0.5529818438321692</v>
      </c>
      <c r="N41" s="163">
        <f>'2022'!P41</f>
        <v>12711953.75</v>
      </c>
      <c r="O41" s="163">
        <f>'2022'!P115</f>
        <v>17084310.503333334</v>
      </c>
      <c r="P41" s="164">
        <f t="shared" si="6"/>
        <v>-4372356.7533333339</v>
      </c>
      <c r="Q41" s="166">
        <f t="shared" si="3"/>
        <v>-0.25592819519876087</v>
      </c>
      <c r="R41" s="163">
        <f>'2021'!P41</f>
        <v>7587918.79</v>
      </c>
      <c r="S41" s="164">
        <f t="shared" si="4"/>
        <v>5124034.96</v>
      </c>
      <c r="T41" s="166">
        <f t="shared" si="5"/>
        <v>0.67528858726755026</v>
      </c>
    </row>
    <row r="42" spans="1:20">
      <c r="A42" s="150">
        <v>422</v>
      </c>
      <c r="B42" s="539" t="str">
        <f>+VLOOKUP($A42,Master!$D$29:$G$225,4,FALSE)</f>
        <v>Sredstva za tehnološke viškove</v>
      </c>
      <c r="C42" s="540"/>
      <c r="D42" s="540"/>
      <c r="E42" s="540"/>
      <c r="F42" s="540"/>
      <c r="G42" s="163">
        <f>'2022'!S42</f>
        <v>20994510.799999997</v>
      </c>
      <c r="H42" s="163">
        <f>SUM('2022'!G116:P116)</f>
        <v>22390323.926666666</v>
      </c>
      <c r="I42" s="164">
        <f t="shared" si="0"/>
        <v>-1395813.1266666688</v>
      </c>
      <c r="J42" s="166">
        <f t="shared" si="1"/>
        <v>-6.2340014875991501E-2</v>
      </c>
      <c r="K42" s="164">
        <f>SUM('2021'!G42:P42)</f>
        <v>18168651.289999999</v>
      </c>
      <c r="L42" s="164">
        <f t="shared" si="7"/>
        <v>2825859.5099999979</v>
      </c>
      <c r="M42" s="166">
        <f t="shared" si="2"/>
        <v>0.15553490817204185</v>
      </c>
      <c r="N42" s="163">
        <f>'2022'!P42</f>
        <v>2428269.06</v>
      </c>
      <c r="O42" s="163">
        <f>'2022'!P116</f>
        <v>3824082.1866666665</v>
      </c>
      <c r="P42" s="164">
        <f t="shared" si="6"/>
        <v>-1395813.1266666665</v>
      </c>
      <c r="Q42" s="166">
        <f t="shared" si="3"/>
        <v>-0.36500604812663651</v>
      </c>
      <c r="R42" s="163">
        <f>'2021'!P42</f>
        <v>1580041.11</v>
      </c>
      <c r="S42" s="164">
        <f t="shared" si="4"/>
        <v>848227.95</v>
      </c>
      <c r="T42" s="166">
        <f t="shared" si="5"/>
        <v>0.5368391648999562</v>
      </c>
    </row>
    <row r="43" spans="1:20">
      <c r="A43" s="150">
        <v>423</v>
      </c>
      <c r="B43" s="539" t="str">
        <f>+VLOOKUP($A43,Master!$D$29:$G$225,4,FALSE)</f>
        <v>Prava iz oblasti penzijskog i invalidskog osiguranja</v>
      </c>
      <c r="C43" s="540"/>
      <c r="D43" s="540"/>
      <c r="E43" s="540"/>
      <c r="F43" s="540"/>
      <c r="G43" s="163">
        <f>'2022'!S43</f>
        <v>384437427.10000002</v>
      </c>
      <c r="H43" s="163">
        <f>SUM('2022'!G117:P117)</f>
        <v>385553634.82333338</v>
      </c>
      <c r="I43" s="164">
        <f t="shared" si="0"/>
        <v>-1116207.7233333588</v>
      </c>
      <c r="J43" s="166">
        <f t="shared" si="1"/>
        <v>-2.8950776818504886E-3</v>
      </c>
      <c r="K43" s="164">
        <f>SUM('2021'!G43:P43)</f>
        <v>359333320.55000001</v>
      </c>
      <c r="L43" s="164">
        <f t="shared" si="7"/>
        <v>25104106.550000012</v>
      </c>
      <c r="M43" s="166">
        <f t="shared" si="2"/>
        <v>6.9863007726573612E-2</v>
      </c>
      <c r="N43" s="163">
        <f>'2022'!P43</f>
        <v>53631777.979999997</v>
      </c>
      <c r="O43" s="163">
        <f>'2022'!P117</f>
        <v>54747985.703333363</v>
      </c>
      <c r="P43" s="164">
        <f t="shared" si="6"/>
        <v>-1116207.7233333662</v>
      </c>
      <c r="Q43" s="166">
        <f t="shared" si="3"/>
        <v>-2.0388105772180087E-2</v>
      </c>
      <c r="R43" s="163">
        <f>'2021'!P43</f>
        <v>35842810.990000002</v>
      </c>
      <c r="S43" s="164">
        <f t="shared" si="4"/>
        <v>17788966.989999995</v>
      </c>
      <c r="T43" s="166">
        <f t="shared" si="5"/>
        <v>0.49630501901659008</v>
      </c>
    </row>
    <row r="44" spans="1:20">
      <c r="A44" s="150">
        <v>424</v>
      </c>
      <c r="B44" s="539" t="str">
        <f>+VLOOKUP($A44,Master!$D$29:$G$225,4,FALSE)</f>
        <v>Ostala prava iz oblasti zdravstvene zaštite</v>
      </c>
      <c r="C44" s="540"/>
      <c r="D44" s="540"/>
      <c r="E44" s="540"/>
      <c r="F44" s="540"/>
      <c r="G44" s="163">
        <f>'2022'!S44</f>
        <v>11824596.34</v>
      </c>
      <c r="H44" s="163">
        <f>SUM('2022'!G118:P118)</f>
        <v>11931131.699999999</v>
      </c>
      <c r="I44" s="164">
        <f t="shared" si="0"/>
        <v>-106535.3599999994</v>
      </c>
      <c r="J44" s="166">
        <f t="shared" si="1"/>
        <v>-8.929191520029911E-3</v>
      </c>
      <c r="K44" s="164">
        <f>SUM('2021'!G44:P44)</f>
        <v>14567092.789999999</v>
      </c>
      <c r="L44" s="164">
        <f t="shared" si="7"/>
        <v>-2742496.4499999993</v>
      </c>
      <c r="M44" s="166">
        <f t="shared" si="2"/>
        <v>-0.18826656008415521</v>
      </c>
      <c r="N44" s="163">
        <f>'2022'!P44</f>
        <v>1267872.27</v>
      </c>
      <c r="O44" s="163">
        <f>'2022'!P118</f>
        <v>1374407.6299999994</v>
      </c>
      <c r="P44" s="164">
        <f t="shared" si="6"/>
        <v>-106535.3599999994</v>
      </c>
      <c r="Q44" s="166">
        <f t="shared" si="3"/>
        <v>-7.7513655828583716E-2</v>
      </c>
      <c r="R44" s="163">
        <f>'2021'!P44</f>
        <v>978865.16</v>
      </c>
      <c r="S44" s="164">
        <f t="shared" si="4"/>
        <v>289007.11</v>
      </c>
      <c r="T44" s="166">
        <f t="shared" si="5"/>
        <v>0.29524711043960328</v>
      </c>
    </row>
    <row r="45" spans="1:20">
      <c r="A45" s="150">
        <v>425</v>
      </c>
      <c r="B45" s="539" t="str">
        <f>+VLOOKUP($A45,Master!$D$29:$G$225,4,FALSE)</f>
        <v>Ostala prava iz zdravstvenog osiguranja</v>
      </c>
      <c r="C45" s="540"/>
      <c r="D45" s="540"/>
      <c r="E45" s="540"/>
      <c r="F45" s="540"/>
      <c r="G45" s="163">
        <f>'2022'!S45</f>
        <v>9834873.3699999992</v>
      </c>
      <c r="H45" s="163">
        <f>SUM('2022'!G119:P119)</f>
        <v>10253515.096666668</v>
      </c>
      <c r="I45" s="164">
        <f t="shared" si="0"/>
        <v>-418641.72666666843</v>
      </c>
      <c r="J45" s="166">
        <f t="shared" si="1"/>
        <v>-4.0829093507919634E-2</v>
      </c>
      <c r="K45" s="164">
        <f>SUM('2021'!G45:P45)</f>
        <v>9122237.9100000001</v>
      </c>
      <c r="L45" s="164">
        <f t="shared" si="7"/>
        <v>712635.45999999903</v>
      </c>
      <c r="M45" s="166">
        <f t="shared" si="2"/>
        <v>7.8120683436549321E-2</v>
      </c>
      <c r="N45" s="163">
        <f>'2022'!P45</f>
        <v>1159682.78</v>
      </c>
      <c r="O45" s="163">
        <f>'2022'!P119</f>
        <v>1578324.5066666668</v>
      </c>
      <c r="P45" s="164">
        <f t="shared" si="6"/>
        <v>-418641.7266666668</v>
      </c>
      <c r="Q45" s="166">
        <f t="shared" si="3"/>
        <v>-0.26524439359483476</v>
      </c>
      <c r="R45" s="163">
        <f>'2021'!P45</f>
        <v>1331756.97</v>
      </c>
      <c r="S45" s="164">
        <f t="shared" si="4"/>
        <v>-172074.18999999994</v>
      </c>
      <c r="T45" s="166">
        <f t="shared" si="5"/>
        <v>-0.12920840204050144</v>
      </c>
    </row>
    <row r="46" spans="1:20">
      <c r="A46" s="150">
        <v>43</v>
      </c>
      <c r="B46" s="537" t="str">
        <f>+VLOOKUP($A46,Master!$D$29:$G$225,4,FALSE)</f>
        <v xml:space="preserve">Transferi institucijama, pojedincima, nevladinom i javnom sektoru </v>
      </c>
      <c r="C46" s="538"/>
      <c r="D46" s="538"/>
      <c r="E46" s="538"/>
      <c r="F46" s="538"/>
      <c r="G46" s="175">
        <f>'2022'!S46</f>
        <v>235486590.81999999</v>
      </c>
      <c r="H46" s="175">
        <f>SUM('2022'!G120:P120)</f>
        <v>239522498.58666664</v>
      </c>
      <c r="I46" s="176">
        <f t="shared" si="0"/>
        <v>-4035907.7666666508</v>
      </c>
      <c r="J46" s="178">
        <f t="shared" si="1"/>
        <v>-1.6849806554628644E-2</v>
      </c>
      <c r="K46" s="176">
        <f>SUM('2021'!G46:P46)</f>
        <v>200562335.26000002</v>
      </c>
      <c r="L46" s="176">
        <f t="shared" si="7"/>
        <v>34924255.559999973</v>
      </c>
      <c r="M46" s="178">
        <f t="shared" si="2"/>
        <v>0.17413167589380985</v>
      </c>
      <c r="N46" s="175">
        <f>'2022'!P46</f>
        <v>32184558.100000001</v>
      </c>
      <c r="O46" s="175">
        <f>'2022'!P120</f>
        <v>36220465.866666652</v>
      </c>
      <c r="P46" s="176">
        <f t="shared" si="6"/>
        <v>-4035907.7666666508</v>
      </c>
      <c r="Q46" s="178">
        <f t="shared" si="3"/>
        <v>-0.11142616943480177</v>
      </c>
      <c r="R46" s="175">
        <f>'2021'!P46</f>
        <v>20455248.059999999</v>
      </c>
      <c r="S46" s="176">
        <f t="shared" si="4"/>
        <v>11729310.040000003</v>
      </c>
      <c r="T46" s="178">
        <f t="shared" si="5"/>
        <v>0.57341323877350248</v>
      </c>
    </row>
    <row r="47" spans="1:20">
      <c r="A47" s="150">
        <v>44</v>
      </c>
      <c r="B47" s="537" t="str">
        <f>+VLOOKUP($A47,Master!$D$29:$G$225,4,FALSE)</f>
        <v>Kapitalni izdaci</v>
      </c>
      <c r="C47" s="538"/>
      <c r="D47" s="538"/>
      <c r="E47" s="538"/>
      <c r="F47" s="538"/>
      <c r="G47" s="175">
        <f>'2022'!S47</f>
        <v>163603529.53999996</v>
      </c>
      <c r="H47" s="175">
        <f>SUM('2022'!G121:P121)</f>
        <v>194058206.10666662</v>
      </c>
      <c r="I47" s="176">
        <f t="shared" si="0"/>
        <v>-30454676.566666663</v>
      </c>
      <c r="J47" s="178">
        <f t="shared" si="1"/>
        <v>-0.15693578322540436</v>
      </c>
      <c r="K47" s="176">
        <f>SUM('2021'!G47:P47)</f>
        <v>125540501.31</v>
      </c>
      <c r="L47" s="176">
        <f t="shared" si="7"/>
        <v>38063028.229999959</v>
      </c>
      <c r="M47" s="178">
        <f t="shared" si="2"/>
        <v>0.30319321520000986</v>
      </c>
      <c r="N47" s="175">
        <f>'2022'!P47</f>
        <v>11359865.449999999</v>
      </c>
      <c r="O47" s="175">
        <f>'2022'!P121</f>
        <v>41814542.016666658</v>
      </c>
      <c r="P47" s="176">
        <f t="shared" si="6"/>
        <v>-30454676.566666659</v>
      </c>
      <c r="Q47" s="178">
        <f t="shared" si="3"/>
        <v>-0.72832739754815146</v>
      </c>
      <c r="R47" s="175">
        <f>'2021'!P47</f>
        <v>20452763.75</v>
      </c>
      <c r="S47" s="176">
        <f t="shared" si="4"/>
        <v>-9092898.3000000007</v>
      </c>
      <c r="T47" s="178">
        <f t="shared" si="5"/>
        <v>-0.44458042009114784</v>
      </c>
    </row>
    <row r="48" spans="1:20">
      <c r="A48" s="150">
        <v>451</v>
      </c>
      <c r="B48" s="507" t="str">
        <f>+VLOOKUP($A48,Master!$D$29:$G$225,4,FALSE)</f>
        <v>Pozajmice i krediti</v>
      </c>
      <c r="C48" s="508"/>
      <c r="D48" s="508"/>
      <c r="E48" s="508"/>
      <c r="F48" s="508"/>
      <c r="G48" s="163">
        <f>'2022'!S48</f>
        <v>1646868</v>
      </c>
      <c r="H48" s="163">
        <f>SUM('2022'!G122:P122)</f>
        <v>1434069.6666666667</v>
      </c>
      <c r="I48" s="164">
        <f>G48-H48</f>
        <v>212798.33333333326</v>
      </c>
      <c r="J48" s="282">
        <f t="shared" si="1"/>
        <v>0.14838772360896457</v>
      </c>
      <c r="K48" s="279">
        <f>SUM('2021'!G48:P48)</f>
        <v>1149478</v>
      </c>
      <c r="L48" s="279">
        <f t="shared" si="7"/>
        <v>497390</v>
      </c>
      <c r="M48" s="282">
        <f t="shared" si="2"/>
        <v>0.43270945594435029</v>
      </c>
      <c r="N48" s="163">
        <f>'2022'!P48</f>
        <v>832764</v>
      </c>
      <c r="O48" s="163">
        <f>'2022'!P122</f>
        <v>619965.66666666674</v>
      </c>
      <c r="P48" s="164">
        <f t="shared" si="6"/>
        <v>212798.33333333326</v>
      </c>
      <c r="Q48" s="282">
        <f t="shared" si="3"/>
        <v>0.34324212577363133</v>
      </c>
      <c r="R48" s="163">
        <f>'2021'!P48</f>
        <v>320698</v>
      </c>
      <c r="S48" s="279">
        <f>+N48-R48-S58</f>
        <v>1018409.98</v>
      </c>
      <c r="T48" s="282">
        <f t="shared" si="5"/>
        <v>1.5967233970900971</v>
      </c>
    </row>
    <row r="49" spans="1:23">
      <c r="A49" s="150">
        <v>47</v>
      </c>
      <c r="B49" s="507" t="str">
        <f>+VLOOKUP($A49,Master!$D$29:$G$225,4,FALSE)</f>
        <v>Rezerve</v>
      </c>
      <c r="C49" s="508"/>
      <c r="D49" s="508"/>
      <c r="E49" s="508"/>
      <c r="F49" s="508"/>
      <c r="G49" s="163">
        <f>'2022'!S49</f>
        <v>34088029.729999997</v>
      </c>
      <c r="H49" s="163">
        <f>SUM('2022'!G123:P123)</f>
        <v>55079265.096666664</v>
      </c>
      <c r="I49" s="164">
        <f t="shared" ref="I49:I50" si="8">G49-H49</f>
        <v>-20991235.366666667</v>
      </c>
      <c r="J49" s="283">
        <f t="shared" si="1"/>
        <v>-0.38110957598700845</v>
      </c>
      <c r="K49" s="280">
        <f>SUM('2021'!G49:P49)</f>
        <v>60191268.329999998</v>
      </c>
      <c r="L49" s="280">
        <f t="shared" si="7"/>
        <v>-26103238.600000001</v>
      </c>
      <c r="M49" s="283">
        <f t="shared" si="2"/>
        <v>-0.43367151622206068</v>
      </c>
      <c r="N49" s="163">
        <f>'2022'!P49</f>
        <v>1452808.88</v>
      </c>
      <c r="O49" s="163">
        <f>'2022'!P123</f>
        <v>22444044.24666667</v>
      </c>
      <c r="P49" s="164">
        <f t="shared" si="6"/>
        <v>-20991235.366666671</v>
      </c>
      <c r="Q49" s="283">
        <f t="shared" si="3"/>
        <v>-0.93526973730611107</v>
      </c>
      <c r="R49" s="163">
        <f>'2021'!P49</f>
        <v>2434932.13</v>
      </c>
      <c r="S49" s="280">
        <f t="shared" si="4"/>
        <v>-982123.25</v>
      </c>
      <c r="T49" s="283">
        <f t="shared" si="5"/>
        <v>-0.40334727933463999</v>
      </c>
      <c r="W49" s="344"/>
    </row>
    <row r="50" spans="1:23" ht="15.7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63">
        <f>'2022'!S50</f>
        <v>500000</v>
      </c>
      <c r="H50" s="163">
        <f>SUM('2022'!G124:P124)</f>
        <v>0</v>
      </c>
      <c r="I50" s="164">
        <f t="shared" si="8"/>
        <v>500000</v>
      </c>
      <c r="J50" s="284" t="str">
        <f t="shared" si="1"/>
        <v>...</v>
      </c>
      <c r="K50" s="280">
        <f>SUM('2021'!G50:P50)</f>
        <v>7711252.0800000001</v>
      </c>
      <c r="L50" s="280">
        <f t="shared" si="7"/>
        <v>-7211252.0800000001</v>
      </c>
      <c r="M50" s="284">
        <f t="shared" si="2"/>
        <v>-0.93515968680406569</v>
      </c>
      <c r="N50" s="163">
        <f>'2022'!P50</f>
        <v>0</v>
      </c>
      <c r="O50" s="163">
        <f>'2022'!P124</f>
        <v>0</v>
      </c>
      <c r="P50" s="164">
        <f t="shared" si="6"/>
        <v>0</v>
      </c>
      <c r="Q50" s="284" t="str">
        <f t="shared" si="3"/>
        <v>...</v>
      </c>
      <c r="R50" s="163">
        <f>'2021'!P50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5" t="str">
        <f>+VLOOKUP($A51,Master!$D$29:$G$225,4,FALSE)</f>
        <v>Otplata obaveza iz prethodnog perioda</v>
      </c>
      <c r="C51" s="526"/>
      <c r="D51" s="526"/>
      <c r="E51" s="526"/>
      <c r="F51" s="526"/>
      <c r="G51" s="314">
        <f>'2022'!S51</f>
        <v>32314800.159999993</v>
      </c>
      <c r="H51" s="314">
        <f>SUM('2022'!G125:P125)</f>
        <v>33045878.099999987</v>
      </c>
      <c r="I51" s="281">
        <f>G51-H51</f>
        <v>-731077.93999999389</v>
      </c>
      <c r="J51" s="285">
        <f t="shared" si="1"/>
        <v>-2.2123120402117391E-2</v>
      </c>
      <c r="K51" s="287">
        <f>SUM('2021'!G51:P51)</f>
        <v>21863238.539999999</v>
      </c>
      <c r="L51" s="287">
        <f t="shared" si="7"/>
        <v>10451561.619999994</v>
      </c>
      <c r="M51" s="285">
        <f t="shared" si="2"/>
        <v>0.47804270171952279</v>
      </c>
      <c r="N51" s="314">
        <f>'2022'!P51</f>
        <v>847453.94</v>
      </c>
      <c r="O51" s="314">
        <f>'2022'!P125</f>
        <v>1578531.8799999962</v>
      </c>
      <c r="P51" s="281">
        <f>N51-O51</f>
        <v>-731077.93999999622</v>
      </c>
      <c r="Q51" s="285">
        <f t="shared" si="3"/>
        <v>-0.46313790000870814</v>
      </c>
      <c r="R51" s="314">
        <f>'2021'!P51</f>
        <v>805119.83</v>
      </c>
      <c r="S51" s="287">
        <f>+N51-R51</f>
        <v>42334.109999999986</v>
      </c>
      <c r="T51" s="285">
        <f t="shared" si="5"/>
        <v>5.2581129445041785E-2</v>
      </c>
    </row>
    <row r="52" spans="1:23" ht="15.75" thickBot="1">
      <c r="A52" s="144">
        <v>1005</v>
      </c>
      <c r="B52" s="525" t="str">
        <f>+VLOOKUP($A52,Master!$D$29:$G$227,4,FALSE)</f>
        <v>Neto povećanje obaveza</v>
      </c>
      <c r="C52" s="526"/>
      <c r="D52" s="526"/>
      <c r="E52" s="526"/>
      <c r="F52" s="526"/>
      <c r="G52" s="163">
        <f>'2022'!S52</f>
        <v>0</v>
      </c>
      <c r="H52" s="163">
        <f>SUM('2022'!G126:P126)</f>
        <v>0</v>
      </c>
      <c r="I52" s="281">
        <f>G52-H52</f>
        <v>0</v>
      </c>
      <c r="J52" s="285" t="str">
        <f t="shared" si="1"/>
        <v>...</v>
      </c>
      <c r="K52" s="287">
        <f>SUM('2021'!G52:P52)</f>
        <v>0</v>
      </c>
      <c r="L52" s="287">
        <f t="shared" si="7"/>
        <v>0</v>
      </c>
      <c r="M52" s="285" t="str">
        <f t="shared" si="2"/>
        <v>...</v>
      </c>
      <c r="N52" s="163">
        <f>'2022'!P52</f>
        <v>0</v>
      </c>
      <c r="O52" s="163">
        <f>'2022'!P126</f>
        <v>0</v>
      </c>
      <c r="P52" s="281">
        <f>N52-O52</f>
        <v>0</v>
      </c>
      <c r="Q52" s="285" t="str">
        <f t="shared" si="3"/>
        <v>...</v>
      </c>
      <c r="R52" s="163">
        <f>'2021'!P52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31" t="str">
        <f>+VLOOKUP($A53,Master!$D$29:$G$225,4,FALSE)</f>
        <v>Suficit / deficit</v>
      </c>
      <c r="C53" s="532"/>
      <c r="D53" s="532"/>
      <c r="E53" s="532"/>
      <c r="F53" s="532"/>
      <c r="G53" s="151">
        <f>'2022'!S53</f>
        <v>-55996346.879999995</v>
      </c>
      <c r="H53" s="151">
        <f>SUM('2022'!G127:P127)</f>
        <v>-185076378.80666664</v>
      </c>
      <c r="I53" s="320">
        <f>+G53-H53</f>
        <v>129080031.92666665</v>
      </c>
      <c r="J53" s="286">
        <f t="shared" si="1"/>
        <v>-0.69744195752557614</v>
      </c>
      <c r="K53" s="288">
        <f>SUM('2021'!G53:P53)</f>
        <v>-59862181.919999927</v>
      </c>
      <c r="L53" s="288">
        <f t="shared" si="7"/>
        <v>3865835.0399999321</v>
      </c>
      <c r="M53" s="286">
        <f t="shared" si="2"/>
        <v>-6.4578919712052096E-2</v>
      </c>
      <c r="N53" s="151">
        <f>'2022'!P53</f>
        <v>-20045475.300000012</v>
      </c>
      <c r="O53" s="151">
        <f>'2022'!P127</f>
        <v>-148561818.74666664</v>
      </c>
      <c r="P53" s="320">
        <f>N53-O53</f>
        <v>128516343.44666663</v>
      </c>
      <c r="Q53" s="286">
        <f t="shared" si="3"/>
        <v>-0.86506980414542223</v>
      </c>
      <c r="R53" s="151">
        <f>'2021'!P53</f>
        <v>2802069.7200000286</v>
      </c>
      <c r="S53" s="288">
        <f t="shared" si="4"/>
        <v>-22847545.020000041</v>
      </c>
      <c r="T53" s="286">
        <f t="shared" si="5"/>
        <v>-8.1538103270320512</v>
      </c>
    </row>
    <row r="54" spans="1:23" ht="15.75" thickBot="1">
      <c r="A54" s="144">
        <v>1001</v>
      </c>
      <c r="B54" s="533" t="str">
        <f>+VLOOKUP($A54,Master!$D$29:$G$225,4,FALSE)</f>
        <v>Primarni suficit/deficit</v>
      </c>
      <c r="C54" s="534"/>
      <c r="D54" s="534"/>
      <c r="E54" s="534"/>
      <c r="F54" s="534"/>
      <c r="G54" s="151">
        <f>'2022'!S54</f>
        <v>2566672.91</v>
      </c>
      <c r="H54" s="151">
        <f>SUM('2022'!G128:P128)</f>
        <v>-123284608.48666665</v>
      </c>
      <c r="I54" s="206">
        <f t="shared" si="0"/>
        <v>125851281.39666665</v>
      </c>
      <c r="J54" s="208">
        <f t="shared" si="1"/>
        <v>-1.0208190863523534</v>
      </c>
      <c r="K54" s="206">
        <f>SUM('2021'!G54:P54)</f>
        <v>20928551.340000071</v>
      </c>
      <c r="L54" s="206">
        <f t="shared" si="7"/>
        <v>-18361878.43000007</v>
      </c>
      <c r="M54" s="208">
        <f t="shared" si="2"/>
        <v>-0.87736022105388634</v>
      </c>
      <c r="N54" s="151">
        <f>'2022'!P54</f>
        <v>-19237799.070000011</v>
      </c>
      <c r="O54" s="151">
        <f>'2022'!P128</f>
        <v>-144525391.98666665</v>
      </c>
      <c r="P54" s="206">
        <f t="shared" si="6"/>
        <v>125287592.91666664</v>
      </c>
      <c r="Q54" s="208">
        <f t="shared" si="3"/>
        <v>-0.86688983295215816</v>
      </c>
      <c r="R54" s="151">
        <f>'2021'!P54</f>
        <v>4059984.8700000285</v>
      </c>
      <c r="S54" s="206">
        <f t="shared" si="4"/>
        <v>-23297783.940000039</v>
      </c>
      <c r="T54" s="208">
        <f t="shared" si="5"/>
        <v>-5.7383918132679828</v>
      </c>
    </row>
    <row r="55" spans="1:23">
      <c r="A55" s="144">
        <v>46</v>
      </c>
      <c r="B55" s="555" t="str">
        <f>+VLOOKUP($A55,Master!$D$29:$G$225,4,FALSE)</f>
        <v>Otplata dugova</v>
      </c>
      <c r="C55" s="556"/>
      <c r="D55" s="556"/>
      <c r="E55" s="556"/>
      <c r="F55" s="556"/>
      <c r="G55" s="490">
        <f>'2022'!S55</f>
        <v>222998459.42000002</v>
      </c>
      <c r="H55" s="490">
        <f>SUM('2022'!G129:P129)</f>
        <v>222679118.56333336</v>
      </c>
      <c r="I55" s="491">
        <f t="shared" si="0"/>
        <v>319340.85666665435</v>
      </c>
      <c r="J55" s="492">
        <f t="shared" si="1"/>
        <v>1.4340853274745768E-3</v>
      </c>
      <c r="K55" s="491">
        <f>SUM('2021'!G55:P55)</f>
        <v>407788371.56999999</v>
      </c>
      <c r="L55" s="491">
        <f t="shared" si="7"/>
        <v>-184789912.14999998</v>
      </c>
      <c r="M55" s="492">
        <f t="shared" si="2"/>
        <v>-0.45315149973147129</v>
      </c>
      <c r="N55" s="490">
        <f>'2022'!P55</f>
        <v>6097736.1299999999</v>
      </c>
      <c r="O55" s="490">
        <f>'2022'!P129</f>
        <v>5778395.2733333334</v>
      </c>
      <c r="P55" s="491">
        <f t="shared" si="6"/>
        <v>319340.85666666646</v>
      </c>
      <c r="Q55" s="492">
        <f t="shared" si="3"/>
        <v>5.5264626520167281E-2</v>
      </c>
      <c r="R55" s="490">
        <f>'2021'!P55</f>
        <v>7558722.7800000003</v>
      </c>
      <c r="S55" s="491">
        <f t="shared" si="4"/>
        <v>-1460986.6500000004</v>
      </c>
      <c r="T55" s="492">
        <f t="shared" si="5"/>
        <v>-0.19328485678370122</v>
      </c>
    </row>
    <row r="56" spans="1:23">
      <c r="A56" s="144">
        <v>4611</v>
      </c>
      <c r="B56" s="507" t="str">
        <f>+VLOOKUP($A56,Master!$D$29:$G$225,4,FALSE)</f>
        <v>Otplata hartija od vrijednosti i kredita rezidentima</v>
      </c>
      <c r="C56" s="508"/>
      <c r="D56" s="508"/>
      <c r="E56" s="508"/>
      <c r="F56" s="508"/>
      <c r="G56" s="163">
        <f>'2022'!S56</f>
        <v>29999509.879999995</v>
      </c>
      <c r="H56" s="163">
        <f>SUM('2022'!G130:P130)</f>
        <v>29975171.953333329</v>
      </c>
      <c r="I56" s="212">
        <f t="shared" si="0"/>
        <v>24337.926666665822</v>
      </c>
      <c r="J56" s="214">
        <f t="shared" si="1"/>
        <v>8.1193618186925498E-4</v>
      </c>
      <c r="K56" s="212">
        <f>SUM('2021'!G56:P56)</f>
        <v>74212315.400000006</v>
      </c>
      <c r="L56" s="212">
        <f t="shared" si="7"/>
        <v>-44212805.520000011</v>
      </c>
      <c r="M56" s="214">
        <f t="shared" si="2"/>
        <v>-0.59576103078977649</v>
      </c>
      <c r="N56" s="163">
        <f>'2022'!P56</f>
        <v>2482187.25</v>
      </c>
      <c r="O56" s="163">
        <f>'2022'!P130</f>
        <v>2457849.3233333332</v>
      </c>
      <c r="P56" s="212">
        <f t="shared" si="6"/>
        <v>24337.926666666754</v>
      </c>
      <c r="Q56" s="214">
        <f t="shared" si="3"/>
        <v>9.9021231430329593E-3</v>
      </c>
      <c r="R56" s="163">
        <f>'2021'!P56</f>
        <v>3875503.62</v>
      </c>
      <c r="S56" s="212">
        <f t="shared" si="4"/>
        <v>-1393316.37</v>
      </c>
      <c r="T56" s="214">
        <f t="shared" si="5"/>
        <v>-0.35951878945735571</v>
      </c>
    </row>
    <row r="57" spans="1:23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163">
        <f>'2022'!S57</f>
        <v>192998949.53999999</v>
      </c>
      <c r="H57" s="163">
        <f>SUM('2022'!G131:P131)</f>
        <v>192703946.60999998</v>
      </c>
      <c r="I57" s="212">
        <f t="shared" si="0"/>
        <v>295002.93000000715</v>
      </c>
      <c r="J57" s="214">
        <f t="shared" si="1"/>
        <v>1.5308608629436282E-3</v>
      </c>
      <c r="K57" s="212">
        <f>SUM('2021'!G57:P57)</f>
        <v>333576056.17000002</v>
      </c>
      <c r="L57" s="212">
        <f t="shared" si="7"/>
        <v>-140577106.63000003</v>
      </c>
      <c r="M57" s="214">
        <f t="shared" si="2"/>
        <v>-0.42142445187480082</v>
      </c>
      <c r="N57" s="163">
        <f>'2022'!P57</f>
        <v>3615548.88</v>
      </c>
      <c r="O57" s="163">
        <f>'2022'!P131</f>
        <v>3320545.95</v>
      </c>
      <c r="P57" s="212">
        <f t="shared" si="6"/>
        <v>295002.9299999997</v>
      </c>
      <c r="Q57" s="214">
        <f t="shared" si="3"/>
        <v>8.8841694842379582E-2</v>
      </c>
      <c r="R57" s="163">
        <f>'2021'!P57</f>
        <v>3683219.16</v>
      </c>
      <c r="S57" s="212">
        <f t="shared" si="4"/>
        <v>-67670.280000000261</v>
      </c>
      <c r="T57" s="214">
        <f t="shared" si="5"/>
        <v>-1.8372591219904533E-2</v>
      </c>
    </row>
    <row r="58" spans="1:23" ht="15.75" thickBot="1">
      <c r="A58" s="144">
        <v>4418</v>
      </c>
      <c r="B58" s="535" t="str">
        <f>+VLOOKUP($A58,Master!$D$29:$G$225,4,FALSE)</f>
        <v>Izdaci za kupovinu hartija od vrijednosti</v>
      </c>
      <c r="C58" s="536"/>
      <c r="D58" s="536"/>
      <c r="E58" s="536"/>
      <c r="F58" s="536"/>
      <c r="G58" s="335">
        <f>'2022'!S58</f>
        <v>0</v>
      </c>
      <c r="H58" s="335">
        <f>SUM('2022'!G132:P132)</f>
        <v>3536336.666666667</v>
      </c>
      <c r="I58" s="336">
        <f t="shared" ref="I58:I64" si="9">+G58-H58</f>
        <v>-3536336.666666667</v>
      </c>
      <c r="J58" s="337">
        <f t="shared" si="1"/>
        <v>-1</v>
      </c>
      <c r="K58" s="336">
        <f>SUM('2021'!G58:P58)</f>
        <v>506343.98</v>
      </c>
      <c r="L58" s="336">
        <f t="shared" ref="L58:L64" si="10">+G58-K58</f>
        <v>-506343.98</v>
      </c>
      <c r="M58" s="337">
        <f t="shared" si="2"/>
        <v>-1</v>
      </c>
      <c r="N58" s="335">
        <f>'2022'!P58</f>
        <v>0</v>
      </c>
      <c r="O58" s="335">
        <f>'2022'!P132</f>
        <v>3536336.666666667</v>
      </c>
      <c r="P58" s="336">
        <f t="shared" ref="P58:P64" si="11">+N58-O58</f>
        <v>-3536336.666666667</v>
      </c>
      <c r="Q58" s="337">
        <f t="shared" si="3"/>
        <v>-1</v>
      </c>
      <c r="R58" s="335">
        <f>'2021'!P58</f>
        <v>506343.98</v>
      </c>
      <c r="S58" s="336">
        <f t="shared" ref="S58:S64" si="12">+N58-R58</f>
        <v>-506343.98</v>
      </c>
      <c r="T58" s="337">
        <f t="shared" si="5"/>
        <v>-1</v>
      </c>
    </row>
    <row r="59" spans="1:23" ht="15.75" thickBot="1">
      <c r="A59" s="144">
        <v>1002</v>
      </c>
      <c r="B59" s="527" t="str">
        <f>+VLOOKUP($A59,Master!$D$29:$G$225,4,FALSE)</f>
        <v>Nedostajuća sredstva</v>
      </c>
      <c r="C59" s="528"/>
      <c r="D59" s="528"/>
      <c r="E59" s="528"/>
      <c r="F59" s="528"/>
      <c r="G59" s="319">
        <f>'2022'!S59</f>
        <v>-278994806.30000001</v>
      </c>
      <c r="H59" s="319">
        <f>SUM('2022'!G133:P133)</f>
        <v>-411291834.03666663</v>
      </c>
      <c r="I59" s="321">
        <f t="shared" si="9"/>
        <v>132297027.73666662</v>
      </c>
      <c r="J59" s="322">
        <f t="shared" si="1"/>
        <v>-0.32166217947539499</v>
      </c>
      <c r="K59" s="321">
        <f>SUM('2021'!G59:P59)</f>
        <v>-468156897.46999985</v>
      </c>
      <c r="L59" s="321">
        <f t="shared" si="10"/>
        <v>189162091.16999984</v>
      </c>
      <c r="M59" s="322">
        <f t="shared" si="2"/>
        <v>-0.40405704197089531</v>
      </c>
      <c r="N59" s="319">
        <f>'2022'!P59</f>
        <v>-26143211.430000011</v>
      </c>
      <c r="O59" s="319">
        <f>'2022'!P133</f>
        <v>-157876550.68666664</v>
      </c>
      <c r="P59" s="321">
        <f t="shared" si="11"/>
        <v>131733339.25666663</v>
      </c>
      <c r="Q59" s="322">
        <f t="shared" si="3"/>
        <v>-0.83440725480577704</v>
      </c>
      <c r="R59" s="319">
        <f>'2021'!P59</f>
        <v>-5262997.0399999712</v>
      </c>
      <c r="S59" s="321">
        <f t="shared" si="12"/>
        <v>-20880214.390000038</v>
      </c>
      <c r="T59" s="322" t="str">
        <f t="shared" si="5"/>
        <v>...</v>
      </c>
    </row>
    <row r="60" spans="1:23" ht="15.75" thickBot="1">
      <c r="A60" s="144">
        <v>1003</v>
      </c>
      <c r="B60" s="529" t="str">
        <f>+VLOOKUP($A60,Master!$D$29:$G$225,4,FALSE)</f>
        <v>Finansiranje</v>
      </c>
      <c r="C60" s="530"/>
      <c r="D60" s="530"/>
      <c r="E60" s="530"/>
      <c r="F60" s="530"/>
      <c r="G60" s="151">
        <f>'2022'!S60</f>
        <v>278994806.30000001</v>
      </c>
      <c r="H60" s="151">
        <f>SUM('2022'!G134:P134)</f>
        <v>411291834.03666663</v>
      </c>
      <c r="I60" s="320">
        <f t="shared" si="9"/>
        <v>-132297027.73666662</v>
      </c>
      <c r="J60" s="323">
        <f t="shared" si="1"/>
        <v>-0.32166217947539499</v>
      </c>
      <c r="K60" s="320">
        <f>SUM('2021'!G60:P60)</f>
        <v>468156897.46999985</v>
      </c>
      <c r="L60" s="320">
        <f t="shared" si="10"/>
        <v>-189162091.16999984</v>
      </c>
      <c r="M60" s="323">
        <f t="shared" si="2"/>
        <v>-0.40405704197089531</v>
      </c>
      <c r="N60" s="151">
        <f>'2022'!P60</f>
        <v>26143211.430000011</v>
      </c>
      <c r="O60" s="151">
        <f>'2022'!P134</f>
        <v>157876550.68666664</v>
      </c>
      <c r="P60" s="320">
        <f t="shared" si="11"/>
        <v>-131733339.25666663</v>
      </c>
      <c r="Q60" s="323">
        <f t="shared" si="3"/>
        <v>-0.83440725480577704</v>
      </c>
      <c r="R60" s="151">
        <f>'2021'!P60</f>
        <v>5262997.0399999712</v>
      </c>
      <c r="S60" s="320">
        <f t="shared" si="12"/>
        <v>20880214.390000038</v>
      </c>
      <c r="T60" s="323" t="str">
        <f t="shared" si="5"/>
        <v>...</v>
      </c>
    </row>
    <row r="61" spans="1:23">
      <c r="A61" s="144">
        <v>7511</v>
      </c>
      <c r="B61" s="523" t="str">
        <f>+VLOOKUP($A61,Master!$D$29:$G$225,4,FALSE)</f>
        <v>Pozajmice i krediti od domaćih izvora</v>
      </c>
      <c r="C61" s="524"/>
      <c r="D61" s="524"/>
      <c r="E61" s="524"/>
      <c r="F61" s="524"/>
      <c r="G61" s="482">
        <f>'2022'!S61</f>
        <v>0</v>
      </c>
      <c r="H61" s="163">
        <f>SUM('2022'!G135:P135)</f>
        <v>116666666.66666667</v>
      </c>
      <c r="I61" s="212">
        <f t="shared" si="9"/>
        <v>-116666666.66666667</v>
      </c>
      <c r="J61" s="214">
        <f t="shared" si="1"/>
        <v>-1</v>
      </c>
      <c r="K61" s="212">
        <f>SUM('2021'!G61:P61)</f>
        <v>0</v>
      </c>
      <c r="L61" s="212">
        <f t="shared" si="10"/>
        <v>0</v>
      </c>
      <c r="M61" s="214" t="str">
        <f t="shared" si="2"/>
        <v>...</v>
      </c>
      <c r="N61" s="482">
        <f>'2022'!P61</f>
        <v>0</v>
      </c>
      <c r="O61" s="163">
        <f>'2022'!P135</f>
        <v>116666666.66666667</v>
      </c>
      <c r="P61" s="212">
        <f t="shared" si="11"/>
        <v>-116666666.66666667</v>
      </c>
      <c r="Q61" s="214">
        <f t="shared" si="3"/>
        <v>-1</v>
      </c>
      <c r="R61" s="482">
        <f>'2021'!P61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163">
        <f>'2022'!S62</f>
        <v>70046847.149999991</v>
      </c>
      <c r="H62" s="163">
        <f>SUM('2022'!G136:P136)</f>
        <v>79839510.539999992</v>
      </c>
      <c r="I62" s="212">
        <f t="shared" si="9"/>
        <v>-9792663.3900000006</v>
      </c>
      <c r="J62" s="214">
        <f t="shared" si="1"/>
        <v>-0.12265435150800219</v>
      </c>
      <c r="K62" s="212">
        <f>SUM('2021'!G62:P62)</f>
        <v>92344810.579999998</v>
      </c>
      <c r="L62" s="212">
        <f t="shared" si="10"/>
        <v>-22297963.430000007</v>
      </c>
      <c r="M62" s="214">
        <f t="shared" si="2"/>
        <v>-0.24146417421781241</v>
      </c>
      <c r="N62" s="163">
        <f>'2022'!P62</f>
        <v>287581.34000000003</v>
      </c>
      <c r="O62" s="163">
        <f>'2022'!P136</f>
        <v>10080244.730000004</v>
      </c>
      <c r="P62" s="212">
        <f t="shared" si="11"/>
        <v>-9792663.3900000043</v>
      </c>
      <c r="Q62" s="214">
        <f t="shared" si="3"/>
        <v>-0.97147079781266388</v>
      </c>
      <c r="R62" s="163">
        <f>'2021'!P62</f>
        <v>7427156.0800000001</v>
      </c>
      <c r="S62" s="212">
        <f t="shared" si="12"/>
        <v>-7139574.7400000002</v>
      </c>
      <c r="T62" s="214">
        <f t="shared" si="5"/>
        <v>-0.96127975002781951</v>
      </c>
    </row>
    <row r="63" spans="1:23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163">
        <f>'2022'!S63</f>
        <v>4003371.2600000002</v>
      </c>
      <c r="H63" s="163">
        <f>SUM('2022'!G137:P137)</f>
        <v>4285669.4666666668</v>
      </c>
      <c r="I63" s="212">
        <f t="shared" si="9"/>
        <v>-282298.20666666655</v>
      </c>
      <c r="J63" s="214">
        <f t="shared" si="1"/>
        <v>-6.5870270412205612E-2</v>
      </c>
      <c r="K63" s="212">
        <f>SUM('2021'!G63:P63)</f>
        <v>1543180.2200000002</v>
      </c>
      <c r="L63" s="212">
        <f t="shared" si="10"/>
        <v>2460191.04</v>
      </c>
      <c r="M63" s="214">
        <f t="shared" si="2"/>
        <v>1.5942344310245238</v>
      </c>
      <c r="N63" s="163">
        <f>'2022'!P63</f>
        <v>574867.06000000006</v>
      </c>
      <c r="O63" s="163">
        <f>'2022'!P137</f>
        <v>857165.2666666666</v>
      </c>
      <c r="P63" s="212">
        <f t="shared" si="11"/>
        <v>-282298.20666666655</v>
      </c>
      <c r="Q63" s="214">
        <f t="shared" si="3"/>
        <v>-0.32933929738481382</v>
      </c>
      <c r="R63" s="163">
        <f>'2021'!P63</f>
        <v>306257.21000000002</v>
      </c>
      <c r="S63" s="212">
        <f t="shared" si="12"/>
        <v>268609.85000000003</v>
      </c>
      <c r="T63" s="214">
        <f t="shared" si="5"/>
        <v>0.87707273895690485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204944587.88999999</v>
      </c>
      <c r="H64" s="317">
        <f>SUM('2022'!G138:P138)</f>
        <v>210499987.36333328</v>
      </c>
      <c r="I64" s="226">
        <f t="shared" si="9"/>
        <v>-5555399.4733332992</v>
      </c>
      <c r="J64" s="228">
        <f t="shared" si="1"/>
        <v>-2.6391448013459495E-2</v>
      </c>
      <c r="K64" s="226">
        <f>SUM('2021'!G64:P64)</f>
        <v>374268906.66999996</v>
      </c>
      <c r="L64" s="226">
        <f t="shared" si="10"/>
        <v>-169324318.77999997</v>
      </c>
      <c r="M64" s="228">
        <f t="shared" si="2"/>
        <v>-0.45241353412586971</v>
      </c>
      <c r="N64" s="317">
        <f>'2022'!P64</f>
        <v>25280763.030000012</v>
      </c>
      <c r="O64" s="317">
        <f>'2022'!P138</f>
        <v>30272474.023333296</v>
      </c>
      <c r="P64" s="226">
        <f t="shared" si="11"/>
        <v>-4991710.9933332838</v>
      </c>
      <c r="Q64" s="228">
        <f t="shared" si="3"/>
        <v>-0.16489273356005829</v>
      </c>
      <c r="R64" s="317">
        <f>'2021'!P64</f>
        <v>-2470416.2500000289</v>
      </c>
      <c r="S64" s="226">
        <f t="shared" si="12"/>
        <v>27751179.280000042</v>
      </c>
      <c r="T64" s="228">
        <f t="shared" si="5"/>
        <v>-11.233402176657362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0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63sBO90tt+Of/TOcIGYPFnhmLByaWV955ZXioRWHPchFjWTGUSV/+IAMZrL8WRNRnqtJ+UmdCTRXVw4vmMd9gA==" saltValue="GWJXvyGXIwQ88j6h7jurWQ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6"/>
  <sheetViews>
    <sheetView zoomScaleNormal="100" workbookViewId="0">
      <pane ySplit="1" topLeftCell="A2" activePane="bottomLeft" state="frozen"/>
      <selection pane="bottomLeft" activeCell="G12" sqref="G12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1" s="1" customFormat="1" ht="3" customHeight="1">
      <c r="A1" s="69"/>
      <c r="U1" s="501"/>
    </row>
    <row r="2" spans="1:21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9"/>
      <c r="M2" s="126"/>
      <c r="N2" s="126"/>
      <c r="O2" s="126"/>
      <c r="P2" s="126"/>
      <c r="Q2" s="126"/>
      <c r="R2" s="126"/>
      <c r="S2" s="126"/>
      <c r="T2" s="126"/>
      <c r="U2" s="501"/>
    </row>
    <row r="3" spans="1:21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501"/>
    </row>
    <row r="4" spans="1:21" s="1" customFormat="1" ht="15">
      <c r="A4" s="231"/>
      <c r="B4" s="499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9"/>
      <c r="T4" s="362"/>
      <c r="U4" s="501"/>
    </row>
    <row r="5" spans="1:21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501"/>
    </row>
    <row r="6" spans="1:21" ht="13.5" thickBot="1">
      <c r="A6" s="144"/>
      <c r="B6" s="233"/>
      <c r="C6" s="233"/>
      <c r="D6" s="233"/>
      <c r="E6" s="233"/>
      <c r="F6" s="233"/>
      <c r="G6" s="234" t="s">
        <v>826</v>
      </c>
      <c r="H6" s="234" t="s">
        <v>827</v>
      </c>
      <c r="I6" s="234" t="s">
        <v>828</v>
      </c>
      <c r="J6" s="234" t="s">
        <v>829</v>
      </c>
      <c r="K6" s="234" t="s">
        <v>830</v>
      </c>
      <c r="L6" s="234" t="s">
        <v>831</v>
      </c>
      <c r="M6" s="234" t="s">
        <v>832</v>
      </c>
      <c r="N6" s="234" t="s">
        <v>833</v>
      </c>
      <c r="O6" s="234" t="s">
        <v>834</v>
      </c>
      <c r="P6" s="234" t="s">
        <v>835</v>
      </c>
      <c r="Q6" s="234" t="s">
        <v>836</v>
      </c>
      <c r="R6" s="234" t="s">
        <v>837</v>
      </c>
      <c r="S6" s="233"/>
      <c r="T6" s="233"/>
    </row>
    <row r="7" spans="1:21" ht="15" customHeight="1" thickBot="1">
      <c r="A7" s="144"/>
      <c r="B7" s="606" t="str">
        <f>+Master!G251</f>
        <v>Ostvarenje budžeta</v>
      </c>
      <c r="C7" s="510"/>
      <c r="D7" s="510"/>
      <c r="E7" s="510"/>
      <c r="F7" s="510"/>
      <c r="G7" s="518">
        <v>2022</v>
      </c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22"/>
      <c r="S7" s="235" t="str">
        <f>+Master!G248</f>
        <v>BDP</v>
      </c>
      <c r="T7" s="236">
        <v>5700400000</v>
      </c>
    </row>
    <row r="8" spans="1:21" ht="16.5" customHeight="1">
      <c r="A8" s="144"/>
      <c r="B8" s="511"/>
      <c r="C8" s="512"/>
      <c r="D8" s="512"/>
      <c r="E8" s="512"/>
      <c r="F8" s="513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8" t="str">
        <f>+Master!G246</f>
        <v>Jan - Dec</v>
      </c>
      <c r="T8" s="522"/>
    </row>
    <row r="9" spans="1:21" ht="13.5" thickBot="1">
      <c r="A9" s="144"/>
      <c r="B9" s="514"/>
      <c r="C9" s="515"/>
      <c r="D9" s="515"/>
      <c r="E9" s="515"/>
      <c r="F9" s="51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1" ht="13.5" thickBot="1">
      <c r="A10" s="150">
        <v>7</v>
      </c>
      <c r="B10" s="529" t="str">
        <f>+VLOOKUP($A10,Master!$D$29:$G$225,4,FALSE)</f>
        <v>Prihodi budžeta</v>
      </c>
      <c r="C10" s="530"/>
      <c r="D10" s="530"/>
      <c r="E10" s="530"/>
      <c r="F10" s="530"/>
      <c r="G10" s="151">
        <f>+G11+G19+SUM(G24:G28)</f>
        <v>107815206.69999999</v>
      </c>
      <c r="H10" s="151">
        <f t="shared" ref="H10:R10" si="1">+H11+H19+SUM(H24:H28)</f>
        <v>124649774.65000001</v>
      </c>
      <c r="I10" s="151">
        <f t="shared" si="1"/>
        <v>184180987.21000001</v>
      </c>
      <c r="J10" s="151">
        <f t="shared" si="1"/>
        <v>181957324.32000002</v>
      </c>
      <c r="K10" s="151">
        <f t="shared" si="1"/>
        <v>154730235.27000001</v>
      </c>
      <c r="L10" s="151">
        <f t="shared" si="1"/>
        <v>169061326.09000003</v>
      </c>
      <c r="M10" s="151">
        <f t="shared" si="1"/>
        <v>165802775.70999998</v>
      </c>
      <c r="N10" s="151">
        <f t="shared" si="1"/>
        <v>195454162.69999996</v>
      </c>
      <c r="O10" s="151">
        <f t="shared" si="1"/>
        <v>175603806.03</v>
      </c>
      <c r="P10" s="151">
        <f t="shared" si="1"/>
        <v>168309058.88999999</v>
      </c>
      <c r="Q10" s="151">
        <f t="shared" si="1"/>
        <v>0</v>
      </c>
      <c r="R10" s="151">
        <f t="shared" si="1"/>
        <v>0</v>
      </c>
      <c r="S10" s="239">
        <f>+SUM(G10:R10)</f>
        <v>1627564657.5700002</v>
      </c>
      <c r="T10" s="462">
        <f>+S10/$T$7*100</f>
        <v>28.55176228983931</v>
      </c>
    </row>
    <row r="11" spans="1:21">
      <c r="A11" s="150">
        <v>711</v>
      </c>
      <c r="B11" s="553" t="str">
        <f>+VLOOKUP($A11,Master!$D$29:$G$225,4,FALSE)</f>
        <v>Porezi</v>
      </c>
      <c r="C11" s="554"/>
      <c r="D11" s="554"/>
      <c r="E11" s="554"/>
      <c r="F11" s="554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0</v>
      </c>
      <c r="R11" s="240">
        <f t="shared" si="2"/>
        <v>0</v>
      </c>
      <c r="S11" s="241">
        <f>+SUM(G11:R11)</f>
        <v>1159198060.6200001</v>
      </c>
      <c r="T11" s="463">
        <f t="shared" ref="T11:T64" si="3">+S11/$T$7*100</f>
        <v>20.335381036769352</v>
      </c>
    </row>
    <row r="12" spans="1:21">
      <c r="A12" s="150">
        <v>7111</v>
      </c>
      <c r="B12" s="539" t="str">
        <f>+VLOOKUP($A12,Master!$D$29:$G$225,4,FALSE)</f>
        <v>Porez na dohodak fizičkih lica</v>
      </c>
      <c r="C12" s="540"/>
      <c r="D12" s="540"/>
      <c r="E12" s="540"/>
      <c r="F12" s="540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0</v>
      </c>
      <c r="R12" s="163">
        <v>0</v>
      </c>
      <c r="S12" s="242">
        <f t="shared" ref="S12:S63" si="4">+SUM(G12:R12)</f>
        <v>70423283.820000008</v>
      </c>
      <c r="T12" s="464">
        <f t="shared" si="3"/>
        <v>1.2354095119640729</v>
      </c>
    </row>
    <row r="13" spans="1:21">
      <c r="A13" s="150">
        <v>7112</v>
      </c>
      <c r="B13" s="539" t="str">
        <f>+VLOOKUP($A13,Master!$D$29:$G$225,4,FALSE)</f>
        <v>Porez na dobit pravnih lica</v>
      </c>
      <c r="C13" s="540"/>
      <c r="D13" s="540"/>
      <c r="E13" s="540"/>
      <c r="F13" s="540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0</v>
      </c>
      <c r="R13" s="163">
        <v>0</v>
      </c>
      <c r="S13" s="242">
        <f t="shared" si="4"/>
        <v>83272824.299999997</v>
      </c>
      <c r="T13" s="464">
        <f t="shared" si="3"/>
        <v>1.4608242281243422</v>
      </c>
    </row>
    <row r="14" spans="1:21">
      <c r="A14" s="150">
        <v>7113</v>
      </c>
      <c r="B14" s="539" t="str">
        <f>+VLOOKUP($A14,Master!$D$29:$G$225,4,FALSE)</f>
        <v>Porez na promet nepokretnosti</v>
      </c>
      <c r="C14" s="540"/>
      <c r="D14" s="540"/>
      <c r="E14" s="540"/>
      <c r="F14" s="540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4">
        <f t="shared" si="3"/>
        <v>2.5990137007929268E-2</v>
      </c>
    </row>
    <row r="15" spans="1:21">
      <c r="A15" s="150">
        <v>7114</v>
      </c>
      <c r="B15" s="539" t="str">
        <f>+VLOOKUP($A15,Master!$D$29:$G$225,4,FALSE)</f>
        <v>Porez na dodatu vrijednost</v>
      </c>
      <c r="C15" s="540"/>
      <c r="D15" s="540"/>
      <c r="E15" s="540"/>
      <c r="F15" s="540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0</v>
      </c>
      <c r="R15" s="163">
        <v>0</v>
      </c>
      <c r="S15" s="242">
        <f t="shared" si="4"/>
        <v>753014677.18000007</v>
      </c>
      <c r="T15" s="464">
        <f t="shared" si="3"/>
        <v>13.209856802680514</v>
      </c>
    </row>
    <row r="16" spans="1:21">
      <c r="A16" s="150">
        <v>7115</v>
      </c>
      <c r="B16" s="539" t="str">
        <f>+VLOOKUP($A16,Master!$D$29:$G$225,4,FALSE)</f>
        <v>Akcize</v>
      </c>
      <c r="C16" s="540"/>
      <c r="D16" s="540"/>
      <c r="E16" s="540"/>
      <c r="F16" s="540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0</v>
      </c>
      <c r="R16" s="163">
        <v>0</v>
      </c>
      <c r="S16" s="242">
        <f t="shared" si="4"/>
        <v>208466173.85000002</v>
      </c>
      <c r="T16" s="464">
        <f t="shared" si="3"/>
        <v>3.6570446609009899</v>
      </c>
    </row>
    <row r="17" spans="1:23">
      <c r="A17" s="150">
        <v>7116</v>
      </c>
      <c r="B17" s="539" t="str">
        <f>+VLOOKUP($A17,Master!$D$29:$G$225,4,FALSE)</f>
        <v>Porez na međunarodnu trgovinu i transakcije</v>
      </c>
      <c r="C17" s="540"/>
      <c r="D17" s="540"/>
      <c r="E17" s="540"/>
      <c r="F17" s="540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0</v>
      </c>
      <c r="R17" s="163">
        <v>0</v>
      </c>
      <c r="S17" s="242">
        <f t="shared" si="4"/>
        <v>32452282.580000002</v>
      </c>
      <c r="T17" s="464">
        <f t="shared" si="3"/>
        <v>0.56929834011648306</v>
      </c>
    </row>
    <row r="18" spans="1:23">
      <c r="A18" s="150">
        <v>7118</v>
      </c>
      <c r="B18" s="539" t="str">
        <f>+VLOOKUP($A18,Master!$D$29:$G$225,4,FALSE)</f>
        <v>Ostali državni porezi</v>
      </c>
      <c r="C18" s="540"/>
      <c r="D18" s="540"/>
      <c r="E18" s="540"/>
      <c r="F18" s="540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0</v>
      </c>
      <c r="R18" s="163">
        <v>0</v>
      </c>
      <c r="S18" s="242">
        <f t="shared" si="4"/>
        <v>10087277.120000001</v>
      </c>
      <c r="T18" s="464">
        <f t="shared" si="3"/>
        <v>0.17695735597501933</v>
      </c>
    </row>
    <row r="19" spans="1:23">
      <c r="A19" s="150">
        <v>712</v>
      </c>
      <c r="B19" s="541" t="str">
        <f>+VLOOKUP($A19,Master!$D$29:$G$225,4,FALSE)</f>
        <v>Doprinosi</v>
      </c>
      <c r="C19" s="542"/>
      <c r="D19" s="542"/>
      <c r="E19" s="542"/>
      <c r="F19" s="542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0</v>
      </c>
      <c r="R19" s="169">
        <f t="shared" si="5"/>
        <v>0</v>
      </c>
      <c r="S19" s="243">
        <f t="shared" si="4"/>
        <v>346360876.04999989</v>
      </c>
      <c r="T19" s="465">
        <f t="shared" si="3"/>
        <v>6.0760802057750318</v>
      </c>
    </row>
    <row r="20" spans="1:23">
      <c r="A20" s="150">
        <v>7121</v>
      </c>
      <c r="B20" s="539" t="str">
        <f>+VLOOKUP($A20,Master!$D$29:$G$225,4,FALSE)</f>
        <v>Doprinosi za penzijsko i invalidsko osiguranje</v>
      </c>
      <c r="C20" s="540"/>
      <c r="D20" s="540"/>
      <c r="E20" s="540"/>
      <c r="F20" s="540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0</v>
      </c>
      <c r="R20" s="163">
        <v>0</v>
      </c>
      <c r="S20" s="242">
        <f>+SUM(G20:R20)</f>
        <v>299725958.06999999</v>
      </c>
      <c r="T20" s="464">
        <f t="shared" si="3"/>
        <v>5.2579811604448805</v>
      </c>
    </row>
    <row r="21" spans="1:23">
      <c r="A21" s="150">
        <v>7122</v>
      </c>
      <c r="B21" s="539" t="str">
        <f>+VLOOKUP($A21,Master!$D$29:$G$225,4,FALSE)</f>
        <v>Doprinosi za zdravstveno osiguranje</v>
      </c>
      <c r="C21" s="540"/>
      <c r="D21" s="540"/>
      <c r="E21" s="540"/>
      <c r="F21" s="540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0</v>
      </c>
      <c r="R21" s="163">
        <v>0</v>
      </c>
      <c r="S21" s="242">
        <f t="shared" si="4"/>
        <v>23073524.619999997</v>
      </c>
      <c r="T21" s="464">
        <f t="shared" si="3"/>
        <v>0.40477027261244819</v>
      </c>
    </row>
    <row r="22" spans="1:23">
      <c r="A22" s="150">
        <v>7123</v>
      </c>
      <c r="B22" s="539" t="str">
        <f>+VLOOKUP($A22,Master!$D$29:$G$225,4,FALSE)</f>
        <v>Doprinosi za osiguranje od nezaposlenosti</v>
      </c>
      <c r="C22" s="540"/>
      <c r="D22" s="540"/>
      <c r="E22" s="540"/>
      <c r="F22" s="540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0</v>
      </c>
      <c r="R22" s="163">
        <v>0</v>
      </c>
      <c r="S22" s="242">
        <f t="shared" si="4"/>
        <v>13558734.390000001</v>
      </c>
      <c r="T22" s="464">
        <f t="shared" si="3"/>
        <v>0.23785584151989336</v>
      </c>
    </row>
    <row r="23" spans="1:23">
      <c r="A23" s="150">
        <v>7124</v>
      </c>
      <c r="B23" s="539" t="str">
        <f>+VLOOKUP($A23,Master!$D$29:$G$225,4,FALSE)</f>
        <v>Ostali doprinosi</v>
      </c>
      <c r="C23" s="540"/>
      <c r="D23" s="540"/>
      <c r="E23" s="540"/>
      <c r="F23" s="540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0</v>
      </c>
      <c r="R23" s="163">
        <v>0</v>
      </c>
      <c r="S23" s="242">
        <f t="shared" si="4"/>
        <v>10002658.970000001</v>
      </c>
      <c r="T23" s="464">
        <f t="shared" si="3"/>
        <v>0.17547293119781071</v>
      </c>
      <c r="W23" s="305"/>
    </row>
    <row r="24" spans="1:23">
      <c r="A24" s="150">
        <v>713</v>
      </c>
      <c r="B24" s="541" t="str">
        <f>+VLOOKUP($A24,Master!$D$29:$G$225,4,FALSE)</f>
        <v>Takse</v>
      </c>
      <c r="C24" s="542"/>
      <c r="D24" s="542"/>
      <c r="E24" s="542"/>
      <c r="F24" s="542"/>
      <c r="G24" s="175">
        <v>635258.53</v>
      </c>
      <c r="H24" s="175">
        <v>808672.01</v>
      </c>
      <c r="I24" s="175">
        <v>976895.25</v>
      </c>
      <c r="J24" s="175">
        <v>1014885.9700000001</v>
      </c>
      <c r="K24" s="175">
        <v>989967.5199999999</v>
      </c>
      <c r="L24" s="175">
        <v>1292686.0099999998</v>
      </c>
      <c r="M24" s="175">
        <v>1450241.7799999998</v>
      </c>
      <c r="N24" s="175">
        <v>1794328.3</v>
      </c>
      <c r="O24" s="175">
        <v>1183872.1599999999</v>
      </c>
      <c r="P24" s="175">
        <v>1404191.05</v>
      </c>
      <c r="Q24" s="175">
        <v>0</v>
      </c>
      <c r="R24" s="175">
        <v>0</v>
      </c>
      <c r="S24" s="243">
        <f t="shared" si="4"/>
        <v>11550998.580000002</v>
      </c>
      <c r="T24" s="465">
        <f t="shared" si="3"/>
        <v>0.20263487790330506</v>
      </c>
      <c r="W24" s="305"/>
    </row>
    <row r="25" spans="1:23">
      <c r="A25" s="150">
        <v>714</v>
      </c>
      <c r="B25" s="541" t="str">
        <f>+VLOOKUP($A25,Master!$D$29:$G$225,4,FALSE)</f>
        <v>Naknade</v>
      </c>
      <c r="C25" s="542"/>
      <c r="D25" s="542"/>
      <c r="E25" s="542"/>
      <c r="F25" s="542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0</v>
      </c>
      <c r="R25" s="175">
        <v>0</v>
      </c>
      <c r="S25" s="243">
        <f t="shared" si="4"/>
        <v>48898098.489999995</v>
      </c>
      <c r="T25" s="465">
        <f t="shared" si="3"/>
        <v>0.85780118044347753</v>
      </c>
    </row>
    <row r="26" spans="1:23">
      <c r="A26" s="150">
        <v>715</v>
      </c>
      <c r="B26" s="541" t="str">
        <f>+VLOOKUP($A26,Master!$D$29:$G$225,4,FALSE)</f>
        <v>Ostali prihodi</v>
      </c>
      <c r="C26" s="542"/>
      <c r="D26" s="542"/>
      <c r="E26" s="542"/>
      <c r="F26" s="542"/>
      <c r="G26" s="175">
        <v>1280630.6100000001</v>
      </c>
      <c r="H26" s="175">
        <v>1589565.7</v>
      </c>
      <c r="I26" s="175">
        <v>1733963.47</v>
      </c>
      <c r="J26" s="175">
        <v>1783311.93</v>
      </c>
      <c r="K26" s="175">
        <v>3422423.95</v>
      </c>
      <c r="L26" s="175">
        <v>2748963.77</v>
      </c>
      <c r="M26" s="175">
        <v>3152431.28</v>
      </c>
      <c r="N26" s="175">
        <v>3601917.47</v>
      </c>
      <c r="O26" s="175">
        <v>2166236.2000000002</v>
      </c>
      <c r="P26" s="175">
        <v>1870482.8</v>
      </c>
      <c r="Q26" s="175">
        <v>0</v>
      </c>
      <c r="R26" s="175">
        <v>0</v>
      </c>
      <c r="S26" s="243">
        <f t="shared" si="4"/>
        <v>23349927.18</v>
      </c>
      <c r="T26" s="465">
        <f t="shared" si="3"/>
        <v>0.40961910006315344</v>
      </c>
    </row>
    <row r="27" spans="1:23">
      <c r="A27" s="150">
        <v>73</v>
      </c>
      <c r="B27" s="541" t="str">
        <f>+VLOOKUP($A27,Master!$D$29:$G$225,4,FALSE)</f>
        <v>Primici od otplate kredita i sredstva prenesena iz prethodne godine</v>
      </c>
      <c r="C27" s="542"/>
      <c r="D27" s="542"/>
      <c r="E27" s="542"/>
      <c r="F27" s="542"/>
      <c r="G27" s="175">
        <v>124509.95</v>
      </c>
      <c r="H27" s="175">
        <v>574574.73</v>
      </c>
      <c r="I27" s="175">
        <v>672855.19</v>
      </c>
      <c r="J27" s="175">
        <v>2399823.7000000002</v>
      </c>
      <c r="K27" s="175">
        <v>894295.88</v>
      </c>
      <c r="L27" s="175">
        <v>3753999.56</v>
      </c>
      <c r="M27" s="175">
        <v>308101.69</v>
      </c>
      <c r="N27" s="175">
        <v>2588648.09</v>
      </c>
      <c r="O27" s="175">
        <v>1144155.6099999999</v>
      </c>
      <c r="P27" s="175">
        <v>328125.15999999997</v>
      </c>
      <c r="Q27" s="175">
        <v>0</v>
      </c>
      <c r="R27" s="175">
        <v>0</v>
      </c>
      <c r="S27" s="243">
        <f t="shared" si="4"/>
        <v>12789089.559999999</v>
      </c>
      <c r="T27" s="465">
        <f t="shared" si="3"/>
        <v>0.22435424812293875</v>
      </c>
    </row>
    <row r="28" spans="1:23" ht="13.5" thickBot="1">
      <c r="A28" s="150">
        <v>74</v>
      </c>
      <c r="B28" s="543" t="str">
        <f>+VLOOKUP($A28,Master!$D$29:$G$225,4,FALSE)</f>
        <v>Donacije i transferi</v>
      </c>
      <c r="C28" s="544"/>
      <c r="D28" s="544"/>
      <c r="E28" s="544"/>
      <c r="F28" s="544"/>
      <c r="G28" s="175">
        <v>944706.6</v>
      </c>
      <c r="H28" s="175">
        <v>1117937.32</v>
      </c>
      <c r="I28" s="175">
        <v>4945090.66</v>
      </c>
      <c r="J28" s="175">
        <v>2104525.41</v>
      </c>
      <c r="K28" s="175">
        <v>651019.71</v>
      </c>
      <c r="L28" s="175">
        <v>3347743.2</v>
      </c>
      <c r="M28" s="175">
        <v>1853223.08</v>
      </c>
      <c r="N28" s="175">
        <v>6896634.3600000003</v>
      </c>
      <c r="O28" s="175">
        <v>1689253.82</v>
      </c>
      <c r="P28" s="175">
        <v>1867472.93</v>
      </c>
      <c r="Q28" s="175">
        <v>0</v>
      </c>
      <c r="R28" s="175">
        <v>0</v>
      </c>
      <c r="S28" s="243">
        <f t="shared" si="4"/>
        <v>25417607.09</v>
      </c>
      <c r="T28" s="466">
        <f t="shared" si="3"/>
        <v>0.44589164076205173</v>
      </c>
    </row>
    <row r="29" spans="1:23" ht="13.5" thickBot="1">
      <c r="A29" s="150">
        <v>4</v>
      </c>
      <c r="B29" s="529" t="str">
        <f>+VLOOKUP($A29,Master!$D$29:$G$225,4,FALSE)</f>
        <v>Izdaci budžeta</v>
      </c>
      <c r="C29" s="530"/>
      <c r="D29" s="530"/>
      <c r="E29" s="530"/>
      <c r="F29" s="530"/>
      <c r="G29" s="151">
        <f>+G30+G40+G46+SUM(G47:G51)</f>
        <v>135523250.91000003</v>
      </c>
      <c r="H29" s="151">
        <f t="shared" ref="H29:R29" si="6">+H30+H40+H46+SUM(H47:H51)</f>
        <v>150834089.17000002</v>
      </c>
      <c r="I29" s="151">
        <f t="shared" si="6"/>
        <v>152224116.23999998</v>
      </c>
      <c r="J29" s="151">
        <f t="shared" si="6"/>
        <v>202740908.68999994</v>
      </c>
      <c r="K29" s="151">
        <f t="shared" si="6"/>
        <v>146275241.75</v>
      </c>
      <c r="L29" s="151">
        <f t="shared" si="6"/>
        <v>179868475.11000001</v>
      </c>
      <c r="M29" s="151">
        <f t="shared" si="6"/>
        <v>178564947.84</v>
      </c>
      <c r="N29" s="151">
        <f t="shared" si="6"/>
        <v>147040975.06</v>
      </c>
      <c r="O29" s="151">
        <f t="shared" si="6"/>
        <v>202134465.49000001</v>
      </c>
      <c r="P29" s="151">
        <f t="shared" si="6"/>
        <v>188354534.19</v>
      </c>
      <c r="Q29" s="151">
        <f t="shared" si="6"/>
        <v>0</v>
      </c>
      <c r="R29" s="151">
        <f t="shared" si="6"/>
        <v>0</v>
      </c>
      <c r="S29" s="245">
        <f t="shared" si="4"/>
        <v>1683561004.45</v>
      </c>
      <c r="T29" s="467">
        <f t="shared" si="3"/>
        <v>29.534085405410149</v>
      </c>
    </row>
    <row r="30" spans="1:23">
      <c r="A30" s="150">
        <v>41</v>
      </c>
      <c r="B30" s="547" t="str">
        <f>+VLOOKUP($A30,Master!$D$29:$G$225,4,FALSE)</f>
        <v>Tekući izdaci</v>
      </c>
      <c r="C30" s="548"/>
      <c r="D30" s="548"/>
      <c r="E30" s="548"/>
      <c r="F30" s="548"/>
      <c r="G30" s="187">
        <f t="shared" ref="G30:R30" si="7">+SUM(G31:G39)</f>
        <v>50898622.75</v>
      </c>
      <c r="H30" s="187">
        <f t="shared" si="7"/>
        <v>61674016.410000004</v>
      </c>
      <c r="I30" s="187">
        <f t="shared" si="7"/>
        <v>59813922.179999992</v>
      </c>
      <c r="J30" s="187">
        <f t="shared" si="7"/>
        <v>96816184.329999983</v>
      </c>
      <c r="K30" s="187">
        <f t="shared" si="7"/>
        <v>58712954.390000008</v>
      </c>
      <c r="L30" s="187">
        <f t="shared" si="7"/>
        <v>71887625.940000013</v>
      </c>
      <c r="M30" s="187">
        <f t="shared" si="7"/>
        <v>67839356.109999999</v>
      </c>
      <c r="N30" s="187">
        <f t="shared" si="7"/>
        <v>64016075.710000008</v>
      </c>
      <c r="O30" s="187">
        <f t="shared" si="7"/>
        <v>80374470.550000012</v>
      </c>
      <c r="P30" s="187">
        <f t="shared" si="7"/>
        <v>70477527.979999989</v>
      </c>
      <c r="Q30" s="187">
        <f t="shared" si="7"/>
        <v>0</v>
      </c>
      <c r="R30" s="246">
        <f t="shared" si="7"/>
        <v>0</v>
      </c>
      <c r="S30" s="424">
        <f t="shared" si="4"/>
        <v>682510756.3499999</v>
      </c>
      <c r="T30" s="463">
        <f t="shared" si="3"/>
        <v>11.973032705599605</v>
      </c>
      <c r="U30" s="502"/>
    </row>
    <row r="31" spans="1:23">
      <c r="A31" s="150">
        <v>411</v>
      </c>
      <c r="B31" s="539" t="str">
        <f>+VLOOKUP($A31,Master!$D$29:$G$225,4,FALSE)</f>
        <v>Bruto zarade i doprinosi na teret poslodavca</v>
      </c>
      <c r="C31" s="540"/>
      <c r="D31" s="540"/>
      <c r="E31" s="540"/>
      <c r="F31" s="540"/>
      <c r="G31" s="163">
        <v>44240125.009999998</v>
      </c>
      <c r="H31" s="163">
        <v>44550830.43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43889720.32</v>
      </c>
      <c r="O31" s="163">
        <v>44535467.409999996</v>
      </c>
      <c r="P31" s="163">
        <v>46473995.969999999</v>
      </c>
      <c r="Q31" s="163">
        <v>0</v>
      </c>
      <c r="R31" s="163">
        <v>0</v>
      </c>
      <c r="S31" s="242">
        <f t="shared" si="4"/>
        <v>444820394.03999996</v>
      </c>
      <c r="T31" s="464">
        <f t="shared" si="3"/>
        <v>7.8033189607746811</v>
      </c>
      <c r="U31" s="502"/>
    </row>
    <row r="32" spans="1:23">
      <c r="A32" s="150">
        <v>412</v>
      </c>
      <c r="B32" s="539" t="str">
        <f>+VLOOKUP($A32,Master!$D$29:$G$225,4,FALSE)</f>
        <v>Ostala lična primanja</v>
      </c>
      <c r="C32" s="540"/>
      <c r="D32" s="540"/>
      <c r="E32" s="540"/>
      <c r="F32" s="540"/>
      <c r="G32" s="163">
        <v>137001.32999999999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2203226.2300000004</v>
      </c>
      <c r="M32" s="163">
        <v>1651284.02</v>
      </c>
      <c r="N32" s="163">
        <v>1322412.92</v>
      </c>
      <c r="O32" s="163">
        <v>1530315.4199999992</v>
      </c>
      <c r="P32" s="163">
        <v>1460025.08</v>
      </c>
      <c r="Q32" s="163">
        <v>0</v>
      </c>
      <c r="R32" s="163">
        <v>0</v>
      </c>
      <c r="S32" s="242">
        <f t="shared" si="4"/>
        <v>12989581.66</v>
      </c>
      <c r="T32" s="464">
        <f t="shared" si="3"/>
        <v>0.22787140656796012</v>
      </c>
      <c r="U32" s="502"/>
    </row>
    <row r="33" spans="1:21">
      <c r="A33" s="150">
        <v>413</v>
      </c>
      <c r="B33" s="539" t="str">
        <f>+VLOOKUP($A33,Master!$D$29:$G$225,4,FALSE)</f>
        <v>Rashodi za materijal</v>
      </c>
      <c r="C33" s="540"/>
      <c r="D33" s="540"/>
      <c r="E33" s="540"/>
      <c r="F33" s="540"/>
      <c r="G33" s="163">
        <v>140825.03</v>
      </c>
      <c r="H33" s="163">
        <v>3489117.82</v>
      </c>
      <c r="I33" s="163">
        <v>2628375.67</v>
      </c>
      <c r="J33" s="163">
        <v>2038640.9</v>
      </c>
      <c r="K33" s="163">
        <v>1012773.5900000001</v>
      </c>
      <c r="L33" s="163">
        <v>4898255.55</v>
      </c>
      <c r="M33" s="163">
        <v>2338020.8000000012</v>
      </c>
      <c r="N33" s="163">
        <v>4632464.3099999996</v>
      </c>
      <c r="O33" s="163">
        <v>2320647.6999999997</v>
      </c>
      <c r="P33" s="163">
        <v>2200142.2000000002</v>
      </c>
      <c r="Q33" s="163">
        <v>0</v>
      </c>
      <c r="R33" s="163">
        <v>0</v>
      </c>
      <c r="S33" s="242">
        <f t="shared" si="4"/>
        <v>25699263.569999997</v>
      </c>
      <c r="T33" s="464">
        <f t="shared" si="3"/>
        <v>0.45083263577994526</v>
      </c>
      <c r="U33" s="502"/>
    </row>
    <row r="34" spans="1:21" s="361" customFormat="1">
      <c r="A34" s="360">
        <v>414</v>
      </c>
      <c r="B34" s="604" t="str">
        <f>+VLOOKUP($A34,Master!$D$29:$G$225,4,FALSE)</f>
        <v>Rashodi za usluge</v>
      </c>
      <c r="C34" s="605"/>
      <c r="D34" s="605"/>
      <c r="E34" s="605"/>
      <c r="F34" s="605"/>
      <c r="G34" s="163">
        <v>1088181.68</v>
      </c>
      <c r="H34" s="163">
        <v>2912682.95</v>
      </c>
      <c r="I34" s="163">
        <v>4471137.08</v>
      </c>
      <c r="J34" s="163">
        <v>6152655.29</v>
      </c>
      <c r="K34" s="163">
        <v>2627348.3200000003</v>
      </c>
      <c r="L34" s="163">
        <v>5667722.6900000004</v>
      </c>
      <c r="M34" s="163">
        <v>3971417.36</v>
      </c>
      <c r="N34" s="163">
        <v>4243743.3099999996</v>
      </c>
      <c r="O34" s="163">
        <v>4864024.1500000004</v>
      </c>
      <c r="P34" s="163">
        <v>4659013.42</v>
      </c>
      <c r="Q34" s="163">
        <v>0</v>
      </c>
      <c r="R34" s="163">
        <v>0</v>
      </c>
      <c r="S34" s="242">
        <f t="shared" si="4"/>
        <v>40657926.25</v>
      </c>
      <c r="T34" s="464">
        <f t="shared" si="3"/>
        <v>0.71324689934039709</v>
      </c>
      <c r="U34" s="502"/>
    </row>
    <row r="35" spans="1:21">
      <c r="A35" s="150">
        <v>415</v>
      </c>
      <c r="B35" s="539" t="str">
        <f>+VLOOKUP($A35,Master!$D$29:$G$225,4,FALSE)</f>
        <v>Rashodi za tekuće održavanje</v>
      </c>
      <c r="C35" s="540"/>
      <c r="D35" s="540"/>
      <c r="E35" s="540"/>
      <c r="F35" s="540"/>
      <c r="G35" s="163">
        <v>51153.02</v>
      </c>
      <c r="H35" s="163">
        <v>1786959.03</v>
      </c>
      <c r="I35" s="163">
        <v>1812618.69</v>
      </c>
      <c r="J35" s="163">
        <v>1718005.5900000003</v>
      </c>
      <c r="K35" s="163">
        <v>1522624.21</v>
      </c>
      <c r="L35" s="163">
        <v>1758456.5100000002</v>
      </c>
      <c r="M35" s="163">
        <v>1898548.19</v>
      </c>
      <c r="N35" s="163">
        <v>1129451.4900000002</v>
      </c>
      <c r="O35" s="163">
        <v>2940859.11</v>
      </c>
      <c r="P35" s="163">
        <v>1960172.98</v>
      </c>
      <c r="Q35" s="163">
        <v>0</v>
      </c>
      <c r="R35" s="163">
        <v>0</v>
      </c>
      <c r="S35" s="242">
        <f t="shared" si="4"/>
        <v>16578848.82</v>
      </c>
      <c r="T35" s="464">
        <f t="shared" si="3"/>
        <v>0.2908365872570346</v>
      </c>
      <c r="U35" s="502"/>
    </row>
    <row r="36" spans="1:21">
      <c r="A36" s="150">
        <v>416</v>
      </c>
      <c r="B36" s="539" t="str">
        <f>+VLOOKUP($A36,Master!$D$29:$G$225,4,FALSE)</f>
        <v>Kamate</v>
      </c>
      <c r="C36" s="540"/>
      <c r="D36" s="540"/>
      <c r="E36" s="540"/>
      <c r="F36" s="540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1331665.0299999998</v>
      </c>
      <c r="O36" s="163">
        <v>13564532.83</v>
      </c>
      <c r="P36" s="163">
        <v>807676.23</v>
      </c>
      <c r="Q36" s="163">
        <v>0</v>
      </c>
      <c r="R36" s="163">
        <v>0</v>
      </c>
      <c r="S36" s="242">
        <f>+SUM(G36:R36)</f>
        <v>58563019.789999999</v>
      </c>
      <c r="T36" s="464">
        <f t="shared" si="3"/>
        <v>1.0273493051364817</v>
      </c>
      <c r="U36" s="502"/>
    </row>
    <row r="37" spans="1:21">
      <c r="A37" s="150">
        <v>417</v>
      </c>
      <c r="B37" s="539" t="str">
        <f>+VLOOKUP($A37,Master!$D$29:$G$225,4,FALSE)</f>
        <v>Renta</v>
      </c>
      <c r="C37" s="540"/>
      <c r="D37" s="540"/>
      <c r="E37" s="540"/>
      <c r="F37" s="540"/>
      <c r="G37" s="163">
        <v>222069.04</v>
      </c>
      <c r="H37" s="163">
        <v>743329.49</v>
      </c>
      <c r="I37" s="163">
        <v>821318.4</v>
      </c>
      <c r="J37" s="163">
        <v>1247632.42</v>
      </c>
      <c r="K37" s="163">
        <v>498993.7</v>
      </c>
      <c r="L37" s="163">
        <v>995508.2</v>
      </c>
      <c r="M37" s="163">
        <v>1038790.1100000001</v>
      </c>
      <c r="N37" s="163">
        <v>884250.45000000007</v>
      </c>
      <c r="O37" s="163">
        <v>1095625.8400000003</v>
      </c>
      <c r="P37" s="163">
        <v>793457.04</v>
      </c>
      <c r="Q37" s="163">
        <v>0</v>
      </c>
      <c r="R37" s="163">
        <v>0</v>
      </c>
      <c r="S37" s="242">
        <f t="shared" si="4"/>
        <v>8340974.6900000004</v>
      </c>
      <c r="T37" s="464">
        <f t="shared" si="3"/>
        <v>0.14632262104413726</v>
      </c>
      <c r="U37" s="502"/>
    </row>
    <row r="38" spans="1:21">
      <c r="A38" s="150">
        <v>418</v>
      </c>
      <c r="B38" s="539" t="str">
        <f>+VLOOKUP($A38,Master!$D$29:$G$225,4,FALSE)</f>
        <v>Subvencije</v>
      </c>
      <c r="C38" s="540"/>
      <c r="D38" s="540"/>
      <c r="E38" s="540"/>
      <c r="F38" s="540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0</v>
      </c>
      <c r="R38" s="163">
        <v>0</v>
      </c>
      <c r="S38" s="242">
        <f t="shared" si="4"/>
        <v>42392502.050000004</v>
      </c>
      <c r="T38" s="464">
        <f t="shared" si="3"/>
        <v>0.74367591835660662</v>
      </c>
      <c r="U38" s="502"/>
    </row>
    <row r="39" spans="1:21" s="361" customFormat="1">
      <c r="A39" s="360">
        <v>419</v>
      </c>
      <c r="B39" s="604" t="str">
        <f>+VLOOKUP($A39,Master!$D$29:$G$225,4,FALSE)</f>
        <v>Ostali izdaci</v>
      </c>
      <c r="C39" s="605"/>
      <c r="D39" s="605"/>
      <c r="E39" s="605"/>
      <c r="F39" s="605"/>
      <c r="G39" s="163">
        <v>653499.35</v>
      </c>
      <c r="H39" s="163">
        <v>3022013.14</v>
      </c>
      <c r="I39" s="163">
        <v>3078694.62</v>
      </c>
      <c r="J39" s="163">
        <v>3065313.290000001</v>
      </c>
      <c r="K39" s="163">
        <v>2982573.9299999988</v>
      </c>
      <c r="L39" s="163">
        <v>4726257.419999999</v>
      </c>
      <c r="M39" s="163">
        <v>4643967.5999999996</v>
      </c>
      <c r="N39" s="163">
        <v>2835259.1899999995</v>
      </c>
      <c r="O39" s="163">
        <v>2654237.6199999996</v>
      </c>
      <c r="P39" s="163">
        <v>4806429.32</v>
      </c>
      <c r="Q39" s="163">
        <v>0</v>
      </c>
      <c r="R39" s="163">
        <v>0</v>
      </c>
      <c r="S39" s="242">
        <f t="shared" si="4"/>
        <v>32468245.48</v>
      </c>
      <c r="T39" s="464">
        <f t="shared" si="3"/>
        <v>0.56957837134236189</v>
      </c>
      <c r="U39" s="502"/>
    </row>
    <row r="40" spans="1:21">
      <c r="A40" s="150">
        <v>42</v>
      </c>
      <c r="B40" s="535" t="str">
        <f>+VLOOKUP($A40,Master!$D$29:$G$225,4,FALSE)</f>
        <v>Transferi za socijalnu zaštitu</v>
      </c>
      <c r="C40" s="536"/>
      <c r="D40" s="536"/>
      <c r="E40" s="536"/>
      <c r="F40" s="536"/>
      <c r="G40" s="193">
        <f>+SUM(G41:G45)</f>
        <v>43461857.619999997</v>
      </c>
      <c r="H40" s="193">
        <f t="shared" ref="H40:R40" si="8">+SUM(H41:H45)</f>
        <v>49030666.979999997</v>
      </c>
      <c r="I40" s="193">
        <f t="shared" si="8"/>
        <v>50283198.670000002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54392412.859999999</v>
      </c>
      <c r="O40" s="193">
        <f t="shared" si="8"/>
        <v>55114295.500000015</v>
      </c>
      <c r="P40" s="193">
        <f t="shared" si="8"/>
        <v>71199555.839999989</v>
      </c>
      <c r="Q40" s="193">
        <f t="shared" si="8"/>
        <v>0</v>
      </c>
      <c r="R40" s="247">
        <f t="shared" si="8"/>
        <v>0</v>
      </c>
      <c r="S40" s="488">
        <f t="shared" si="4"/>
        <v>533410429.84999996</v>
      </c>
      <c r="T40" s="489">
        <f t="shared" si="3"/>
        <v>9.3574210555399624</v>
      </c>
      <c r="U40" s="502"/>
    </row>
    <row r="41" spans="1:21">
      <c r="A41" s="150">
        <v>421</v>
      </c>
      <c r="B41" s="539" t="str">
        <f>+VLOOKUP($A41,Master!$D$29:$G$225,4,FALSE)</f>
        <v>Prava iz oblasti socijalne zaštite</v>
      </c>
      <c r="C41" s="540"/>
      <c r="D41" s="540"/>
      <c r="E41" s="540"/>
      <c r="F41" s="540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12016260.289999999</v>
      </c>
      <c r="O41" s="163">
        <v>12319371.459999999</v>
      </c>
      <c r="P41" s="163">
        <v>12711953.75</v>
      </c>
      <c r="Q41" s="163">
        <v>0</v>
      </c>
      <c r="R41" s="163">
        <v>0</v>
      </c>
      <c r="S41" s="242">
        <f t="shared" si="4"/>
        <v>106319022.23999999</v>
      </c>
      <c r="T41" s="464">
        <f t="shared" si="3"/>
        <v>1.8651151189390216</v>
      </c>
      <c r="U41" s="502"/>
    </row>
    <row r="42" spans="1:21">
      <c r="A42" s="150">
        <v>422</v>
      </c>
      <c r="B42" s="539" t="str">
        <f>+VLOOKUP($A42,Master!$D$29:$G$225,4,FALSE)</f>
        <v>Sredstva za tehnološke viškove</v>
      </c>
      <c r="C42" s="540"/>
      <c r="D42" s="540"/>
      <c r="E42" s="540"/>
      <c r="F42" s="540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0</v>
      </c>
      <c r="R42" s="163">
        <v>0</v>
      </c>
      <c r="S42" s="242">
        <f t="shared" si="4"/>
        <v>20994510.799999997</v>
      </c>
      <c r="T42" s="464">
        <f t="shared" si="3"/>
        <v>0.36829890533997611</v>
      </c>
      <c r="U42" s="502"/>
    </row>
    <row r="43" spans="1:21">
      <c r="A43" s="150">
        <v>423</v>
      </c>
      <c r="B43" s="539" t="str">
        <f>+VLOOKUP($A43,Master!$D$29:$G$225,4,FALSE)</f>
        <v>Prava iz oblasti penzijskog i invalidskog osiguranja</v>
      </c>
      <c r="C43" s="540"/>
      <c r="D43" s="540"/>
      <c r="E43" s="540"/>
      <c r="F43" s="540"/>
      <c r="G43" s="163">
        <v>35149513.420000002</v>
      </c>
      <c r="H43" s="163">
        <v>36354430.689999998</v>
      </c>
      <c r="I43" s="163">
        <v>36069832.590000004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38038058.110000014</v>
      </c>
      <c r="P43" s="163">
        <v>53631777.979999997</v>
      </c>
      <c r="Q43" s="163">
        <v>0</v>
      </c>
      <c r="R43" s="163">
        <v>0</v>
      </c>
      <c r="S43" s="242">
        <f t="shared" si="4"/>
        <v>384437427.10000002</v>
      </c>
      <c r="T43" s="464">
        <f t="shared" si="3"/>
        <v>6.7440429987369308</v>
      </c>
      <c r="U43" s="502"/>
    </row>
    <row r="44" spans="1:21">
      <c r="A44" s="150">
        <v>424</v>
      </c>
      <c r="B44" s="539" t="str">
        <f>+VLOOKUP($A44,Master!$D$29:$G$225,4,FALSE)</f>
        <v>Ostala prava iz oblasti zdravstvene zaštite</v>
      </c>
      <c r="C44" s="540"/>
      <c r="D44" s="540"/>
      <c r="E44" s="540"/>
      <c r="F44" s="540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0</v>
      </c>
      <c r="R44" s="163">
        <v>0</v>
      </c>
      <c r="S44" s="242">
        <f t="shared" si="4"/>
        <v>11824596.34</v>
      </c>
      <c r="T44" s="464">
        <f t="shared" si="3"/>
        <v>0.20743450178934811</v>
      </c>
      <c r="U44" s="502"/>
    </row>
    <row r="45" spans="1:21" s="361" customFormat="1">
      <c r="A45" s="360">
        <v>425</v>
      </c>
      <c r="B45" s="600" t="str">
        <f>+VLOOKUP($A45,Master!$D$29:$G$225,4,FALSE)</f>
        <v>Ostala prava iz zdravstvenog osiguranja</v>
      </c>
      <c r="C45" s="601"/>
      <c r="D45" s="601"/>
      <c r="E45" s="601"/>
      <c r="F45" s="601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0</v>
      </c>
      <c r="R45" s="163">
        <v>0</v>
      </c>
      <c r="S45" s="242">
        <f t="shared" si="4"/>
        <v>9834873.3699999992</v>
      </c>
      <c r="T45" s="464">
        <f t="shared" si="3"/>
        <v>0.17252953073468527</v>
      </c>
      <c r="U45" s="502"/>
    </row>
    <row r="46" spans="1:21">
      <c r="A46" s="150">
        <v>43</v>
      </c>
      <c r="B46" s="537" t="str">
        <f>+VLOOKUP($A46,Master!$D$29:$G$225,4,FALSE)</f>
        <v xml:space="preserve">Transferi institucijama, pojedincima, nevladinom i javnom sektoru </v>
      </c>
      <c r="C46" s="538"/>
      <c r="D46" s="538"/>
      <c r="E46" s="538"/>
      <c r="F46" s="538"/>
      <c r="G46" s="175">
        <v>7351440.8700000001</v>
      </c>
      <c r="H46" s="175">
        <v>23788257.170000002</v>
      </c>
      <c r="I46" s="175">
        <v>30704364.969999999</v>
      </c>
      <c r="J46" s="175">
        <v>28731832.689999998</v>
      </c>
      <c r="K46" s="175">
        <v>16386723.549999999</v>
      </c>
      <c r="L46" s="175">
        <v>26579249.149999995</v>
      </c>
      <c r="M46" s="175">
        <v>21692065.57</v>
      </c>
      <c r="N46" s="175">
        <v>18751731.399999999</v>
      </c>
      <c r="O46" s="175">
        <v>29316367.350000001</v>
      </c>
      <c r="P46" s="175">
        <v>32184558.100000001</v>
      </c>
      <c r="Q46" s="175">
        <v>0</v>
      </c>
      <c r="R46" s="175">
        <v>0</v>
      </c>
      <c r="S46" s="243">
        <f t="shared" si="4"/>
        <v>235486590.81999999</v>
      </c>
      <c r="T46" s="465">
        <f t="shared" si="3"/>
        <v>4.1310538000842039</v>
      </c>
      <c r="U46" s="502"/>
    </row>
    <row r="47" spans="1:21">
      <c r="A47" s="150">
        <v>44</v>
      </c>
      <c r="B47" s="537" t="str">
        <f>+VLOOKUP($A47,Master!$D$29:$G$225,4,FALSE)</f>
        <v>Kapitalni izdaci</v>
      </c>
      <c r="C47" s="538"/>
      <c r="D47" s="538"/>
      <c r="E47" s="538"/>
      <c r="F47" s="538"/>
      <c r="G47" s="175">
        <v>16016474.34</v>
      </c>
      <c r="H47" s="175">
        <v>11650538.710000001</v>
      </c>
      <c r="I47" s="175">
        <v>7995861.7599999998</v>
      </c>
      <c r="J47" s="175">
        <v>25620437.929999996</v>
      </c>
      <c r="K47" s="175">
        <v>18640717.440000001</v>
      </c>
      <c r="L47" s="175">
        <v>23469892.199999999</v>
      </c>
      <c r="M47" s="175">
        <v>25045170.949999999</v>
      </c>
      <c r="N47" s="175">
        <v>7683091.5899999999</v>
      </c>
      <c r="O47" s="175">
        <v>16121479.17</v>
      </c>
      <c r="P47" s="175">
        <v>11359865.449999999</v>
      </c>
      <c r="Q47" s="175">
        <v>0</v>
      </c>
      <c r="R47" s="175">
        <v>0</v>
      </c>
      <c r="S47" s="243">
        <f t="shared" si="4"/>
        <v>163603529.53999996</v>
      </c>
      <c r="T47" s="465">
        <f t="shared" si="3"/>
        <v>2.8700359543189946</v>
      </c>
      <c r="U47" s="502"/>
    </row>
    <row r="48" spans="1:21">
      <c r="A48" s="150">
        <v>451</v>
      </c>
      <c r="B48" s="602" t="str">
        <f>+VLOOKUP($A48,Master!$D$29:$G$225,4,FALSE)</f>
        <v>Pozajmice i krediti</v>
      </c>
      <c r="C48" s="603"/>
      <c r="D48" s="603"/>
      <c r="E48" s="603"/>
      <c r="F48" s="603"/>
      <c r="G48" s="163">
        <v>0</v>
      </c>
      <c r="H48" s="163">
        <v>248510</v>
      </c>
      <c r="I48" s="163">
        <v>1730</v>
      </c>
      <c r="J48" s="163">
        <v>302436</v>
      </c>
      <c r="K48" s="163">
        <v>260378</v>
      </c>
      <c r="L48" s="163">
        <v>700</v>
      </c>
      <c r="M48" s="163">
        <v>0</v>
      </c>
      <c r="N48" s="163">
        <v>350</v>
      </c>
      <c r="O48" s="163">
        <v>0</v>
      </c>
      <c r="P48" s="163">
        <v>832764</v>
      </c>
      <c r="Q48" s="163">
        <v>0</v>
      </c>
      <c r="R48" s="163">
        <v>0</v>
      </c>
      <c r="S48" s="242">
        <f t="shared" si="4"/>
        <v>1646868</v>
      </c>
      <c r="T48" s="464">
        <f t="shared" si="3"/>
        <v>2.8890393656585502E-2</v>
      </c>
      <c r="U48" s="502"/>
    </row>
    <row r="49" spans="1:21" s="361" customFormat="1">
      <c r="A49" s="360">
        <v>47</v>
      </c>
      <c r="B49" s="594" t="str">
        <f>+VLOOKUP($A49,Master!$D$29:$G$225,4,FALSE)</f>
        <v>Rezerve</v>
      </c>
      <c r="C49" s="595"/>
      <c r="D49" s="595"/>
      <c r="E49" s="595"/>
      <c r="F49" s="595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20100803.789999999</v>
      </c>
      <c r="P49" s="163">
        <v>1452808.88</v>
      </c>
      <c r="Q49" s="163">
        <v>0</v>
      </c>
      <c r="R49" s="163">
        <v>0</v>
      </c>
      <c r="S49" s="242">
        <f t="shared" si="4"/>
        <v>34088029.729999997</v>
      </c>
      <c r="T49" s="464">
        <f t="shared" si="3"/>
        <v>0.59799364483194151</v>
      </c>
      <c r="U49" s="502"/>
    </row>
    <row r="50" spans="1:21" ht="13.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4">
        <f t="shared" si="3"/>
        <v>8.7713142937337722E-3</v>
      </c>
      <c r="U50" s="502"/>
    </row>
    <row r="51" spans="1:21" ht="13.5" thickBot="1">
      <c r="A51" s="144">
        <v>4630</v>
      </c>
      <c r="B51" s="596" t="str">
        <f>+VLOOKUP($A51,Master!$D$29:$G$225,4,TRUE)</f>
        <v>Otplata obaveza iz prethodnog perioda</v>
      </c>
      <c r="C51" s="597"/>
      <c r="D51" s="597"/>
      <c r="E51" s="597"/>
      <c r="F51" s="597"/>
      <c r="G51" s="458">
        <v>17529055.329999998</v>
      </c>
      <c r="H51" s="458">
        <v>3946389.9</v>
      </c>
      <c r="I51" s="458">
        <v>2323374.4</v>
      </c>
      <c r="J51" s="458">
        <v>1211074.6399999999</v>
      </c>
      <c r="K51" s="458">
        <v>1145121.3300000003</v>
      </c>
      <c r="L51" s="458">
        <v>1002974.65</v>
      </c>
      <c r="M51" s="458">
        <v>2410972.5299999993</v>
      </c>
      <c r="N51" s="458">
        <v>791334.30999999994</v>
      </c>
      <c r="O51" s="458">
        <v>1107049.1300000001</v>
      </c>
      <c r="P51" s="458">
        <v>847453.94</v>
      </c>
      <c r="Q51" s="458">
        <v>0</v>
      </c>
      <c r="R51" s="458">
        <v>0</v>
      </c>
      <c r="S51" s="425">
        <f>+SUM(G51:R51)</f>
        <v>32314800.159999993</v>
      </c>
      <c r="T51" s="468">
        <f t="shared" si="3"/>
        <v>0.56688653708511672</v>
      </c>
      <c r="U51" s="502"/>
    </row>
    <row r="52" spans="1:21" ht="13.5" thickBot="1">
      <c r="A52" s="70">
        <v>1005</v>
      </c>
      <c r="B52" s="598" t="str">
        <f>+VLOOKUP($A52,Master!$D$29:$G$227,4,FALSE)</f>
        <v>Neto povećanje obaveza</v>
      </c>
      <c r="C52" s="599"/>
      <c r="D52" s="599"/>
      <c r="E52" s="599"/>
      <c r="F52" s="599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</row>
    <row r="53" spans="1:21" ht="13.5" thickBot="1">
      <c r="A53" s="144">
        <v>1000</v>
      </c>
      <c r="B53" s="531" t="str">
        <f>+VLOOKUP($A53,Master!$D$29:$G$225,4,FALSE)</f>
        <v>Suficit / deficit</v>
      </c>
      <c r="C53" s="532"/>
      <c r="D53" s="532"/>
      <c r="E53" s="532"/>
      <c r="F53" s="532"/>
      <c r="G53" s="151">
        <f t="shared" ref="G53:R53" si="9">+G10-G29</f>
        <v>-27708044.210000038</v>
      </c>
      <c r="H53" s="151">
        <f t="shared" si="9"/>
        <v>-26184314.520000011</v>
      </c>
      <c r="I53" s="151">
        <f t="shared" si="9"/>
        <v>31956870.970000029</v>
      </c>
      <c r="J53" s="151">
        <f t="shared" si="9"/>
        <v>-20783584.369999915</v>
      </c>
      <c r="K53" s="151">
        <f t="shared" si="9"/>
        <v>8454993.5200000107</v>
      </c>
      <c r="L53" s="151">
        <f t="shared" si="9"/>
        <v>-10807149.019999981</v>
      </c>
      <c r="M53" s="151">
        <f t="shared" si="9"/>
        <v>-12762172.130000025</v>
      </c>
      <c r="N53" s="151">
        <f t="shared" si="9"/>
        <v>48413187.639999956</v>
      </c>
      <c r="O53" s="151">
        <f t="shared" si="9"/>
        <v>-26530659.460000008</v>
      </c>
      <c r="P53" s="151">
        <f t="shared" si="9"/>
        <v>-20045475.300000012</v>
      </c>
      <c r="Q53" s="151">
        <f t="shared" si="9"/>
        <v>0</v>
      </c>
      <c r="R53" s="151">
        <f t="shared" si="9"/>
        <v>0</v>
      </c>
      <c r="S53" s="248">
        <f t="shared" si="4"/>
        <v>-55996346.879999995</v>
      </c>
      <c r="T53" s="470">
        <f t="shared" si="3"/>
        <v>-0.98232311557083696</v>
      </c>
    </row>
    <row r="54" spans="1:21" ht="13.5" thickBot="1">
      <c r="A54" s="144">
        <v>1001</v>
      </c>
      <c r="B54" s="533" t="str">
        <f>+VLOOKUP($A54,Master!$D$29:$G$225,4,FALSE)</f>
        <v>Primarni suficit/deficit</v>
      </c>
      <c r="C54" s="534"/>
      <c r="D54" s="534"/>
      <c r="E54" s="534"/>
      <c r="F54" s="534"/>
      <c r="G54" s="205">
        <f t="shared" ref="G54:R54" si="10">+G53+G36</f>
        <v>-23853281.960000038</v>
      </c>
      <c r="H54" s="205">
        <f t="shared" si="10"/>
        <v>-24913970.330000009</v>
      </c>
      <c r="I54" s="205">
        <f t="shared" si="10"/>
        <v>32905953.530000027</v>
      </c>
      <c r="J54" s="205">
        <f t="shared" si="10"/>
        <v>6412036.7000000849</v>
      </c>
      <c r="K54" s="205">
        <f t="shared" si="10"/>
        <v>13043467.300000012</v>
      </c>
      <c r="L54" s="205">
        <f t="shared" si="10"/>
        <v>-9590349.9899999816</v>
      </c>
      <c r="M54" s="205">
        <f t="shared" si="10"/>
        <v>-8978109.3100000247</v>
      </c>
      <c r="N54" s="205">
        <f t="shared" si="10"/>
        <v>49744852.669999957</v>
      </c>
      <c r="O54" s="205">
        <f t="shared" si="10"/>
        <v>-12966126.630000008</v>
      </c>
      <c r="P54" s="205">
        <f t="shared" si="10"/>
        <v>-19237799.070000011</v>
      </c>
      <c r="Q54" s="205">
        <f t="shared" si="10"/>
        <v>0</v>
      </c>
      <c r="R54" s="205">
        <f t="shared" si="10"/>
        <v>0</v>
      </c>
      <c r="S54" s="248">
        <f t="shared" si="4"/>
        <v>2566672.91</v>
      </c>
      <c r="T54" s="470">
        <f t="shared" si="3"/>
        <v>4.5026189565644519E-2</v>
      </c>
    </row>
    <row r="55" spans="1:21">
      <c r="A55" s="144">
        <v>46</v>
      </c>
      <c r="B55" s="555" t="str">
        <f>+VLOOKUP($A55,Master!$D$29:$G$225,4,FALSE)</f>
        <v>Otplata dugova</v>
      </c>
      <c r="C55" s="556"/>
      <c r="D55" s="556"/>
      <c r="E55" s="556"/>
      <c r="F55" s="556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6097736.1299999999</v>
      </c>
      <c r="Q55" s="193">
        <f t="shared" si="11"/>
        <v>0</v>
      </c>
      <c r="R55" s="193">
        <f t="shared" si="11"/>
        <v>0</v>
      </c>
      <c r="S55" s="249">
        <f t="shared" si="4"/>
        <v>222998459.42000002</v>
      </c>
      <c r="T55" s="471">
        <f t="shared" si="3"/>
        <v>3.9119791491825135</v>
      </c>
    </row>
    <row r="56" spans="1:21">
      <c r="A56" s="144">
        <v>4611</v>
      </c>
      <c r="B56" s="523" t="str">
        <f>+VLOOKUP($A56,Master!$D$29:$G$225,4,FALSE)</f>
        <v>Otplata hartija od vrijednosti i kredita rezidentima</v>
      </c>
      <c r="C56" s="524"/>
      <c r="D56" s="524"/>
      <c r="E56" s="524"/>
      <c r="F56" s="524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2482187.25</v>
      </c>
      <c r="Q56" s="211">
        <v>0</v>
      </c>
      <c r="R56" s="211">
        <v>0</v>
      </c>
      <c r="S56" s="250">
        <f t="shared" si="4"/>
        <v>29999509.879999995</v>
      </c>
      <c r="T56" s="472">
        <f t="shared" si="3"/>
        <v>0.52627025963090301</v>
      </c>
    </row>
    <row r="57" spans="1:21" ht="13.5" thickBot="1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0</v>
      </c>
      <c r="R57" s="211">
        <v>0</v>
      </c>
      <c r="S57" s="250">
        <f t="shared" si="4"/>
        <v>192998949.53999999</v>
      </c>
      <c r="T57" s="472">
        <f t="shared" si="3"/>
        <v>3.3857088895516099</v>
      </c>
    </row>
    <row r="58" spans="1:21" ht="13.5" thickBot="1">
      <c r="A58" s="144">
        <v>4418</v>
      </c>
      <c r="B58" s="545" t="str">
        <f>+VLOOKUP($A58,Master!$D$29:$G$225,4,FALSE)</f>
        <v>Izdaci za kupovinu hartija od vrijednosti</v>
      </c>
      <c r="C58" s="546"/>
      <c r="D58" s="546"/>
      <c r="E58" s="546"/>
      <c r="F58" s="546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27" t="str">
        <f>+VLOOKUP($A59,Master!$D$29:$G$225,4,FALSE)</f>
        <v>Nedostajuća sredstva</v>
      </c>
      <c r="C59" s="528"/>
      <c r="D59" s="528"/>
      <c r="E59" s="528"/>
      <c r="F59" s="528"/>
      <c r="G59" s="217">
        <f>+G53-G55-G58</f>
        <v>-56139303.180000037</v>
      </c>
      <c r="H59" s="217">
        <f t="shared" ref="H59:R59" si="12">+H53-H55-H58</f>
        <v>-40393315.650000013</v>
      </c>
      <c r="I59" s="217">
        <f t="shared" si="12"/>
        <v>20285187.980000027</v>
      </c>
      <c r="J59" s="217">
        <f t="shared" si="12"/>
        <v>-78257809.999999911</v>
      </c>
      <c r="K59" s="217">
        <f t="shared" si="12"/>
        <v>-30626992.629999988</v>
      </c>
      <c r="L59" s="217">
        <f t="shared" si="12"/>
        <v>-22435325.589999981</v>
      </c>
      <c r="M59" s="217">
        <f t="shared" si="12"/>
        <v>-43161781.550000027</v>
      </c>
      <c r="N59" s="217">
        <f t="shared" si="12"/>
        <v>34467720.209999956</v>
      </c>
      <c r="O59" s="217">
        <f t="shared" si="12"/>
        <v>-36589974.460000008</v>
      </c>
      <c r="P59" s="217">
        <f t="shared" si="12"/>
        <v>-26143211.430000011</v>
      </c>
      <c r="Q59" s="217">
        <f t="shared" si="12"/>
        <v>0</v>
      </c>
      <c r="R59" s="217">
        <f t="shared" si="12"/>
        <v>0</v>
      </c>
      <c r="S59" s="251">
        <f t="shared" si="4"/>
        <v>-278994806.30000001</v>
      </c>
      <c r="T59" s="474">
        <f t="shared" si="3"/>
        <v>-4.8943022647533505</v>
      </c>
    </row>
    <row r="60" spans="1:21" ht="13.5" thickBot="1">
      <c r="A60" s="144">
        <v>1003</v>
      </c>
      <c r="B60" s="529" t="str">
        <f>+VLOOKUP($A60,Master!$D$29:$G$225,4,FALSE)</f>
        <v>Finansiranje</v>
      </c>
      <c r="C60" s="530"/>
      <c r="D60" s="530"/>
      <c r="E60" s="530"/>
      <c r="F60" s="530"/>
      <c r="G60" s="151">
        <f>+SUM(G61:G64)</f>
        <v>56139303.180000037</v>
      </c>
      <c r="H60" s="151">
        <f t="shared" ref="H60:R60" si="13">+SUM(H61:H64)</f>
        <v>40393315.650000013</v>
      </c>
      <c r="I60" s="151">
        <f t="shared" si="13"/>
        <v>-20285187.980000027</v>
      </c>
      <c r="J60" s="151">
        <f t="shared" si="13"/>
        <v>78257809.999999911</v>
      </c>
      <c r="K60" s="151">
        <f t="shared" si="13"/>
        <v>30626992.629999988</v>
      </c>
      <c r="L60" s="151">
        <f t="shared" si="13"/>
        <v>22435325.589999981</v>
      </c>
      <c r="M60" s="151">
        <f t="shared" si="13"/>
        <v>43161781.550000027</v>
      </c>
      <c r="N60" s="151">
        <f t="shared" si="13"/>
        <v>-34467720.209999956</v>
      </c>
      <c r="O60" s="151">
        <f t="shared" si="13"/>
        <v>36589974.460000008</v>
      </c>
      <c r="P60" s="151">
        <f t="shared" si="13"/>
        <v>26143211.430000011</v>
      </c>
      <c r="Q60" s="151">
        <f t="shared" si="13"/>
        <v>0</v>
      </c>
      <c r="R60" s="151">
        <f t="shared" si="13"/>
        <v>0</v>
      </c>
      <c r="S60" s="252">
        <f t="shared" si="4"/>
        <v>278994806.30000001</v>
      </c>
      <c r="T60" s="475">
        <f t="shared" si="3"/>
        <v>4.8943022647533505</v>
      </c>
    </row>
    <row r="61" spans="1:21">
      <c r="A61" s="144">
        <v>7511</v>
      </c>
      <c r="B61" s="523" t="str">
        <f>+VLOOKUP($A61,Master!$D$29:$G$225,4,FALSE)</f>
        <v>Pozajmice i krediti od domaćih izvora</v>
      </c>
      <c r="C61" s="524"/>
      <c r="D61" s="524"/>
      <c r="E61" s="524"/>
      <c r="F61" s="52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211">
        <v>12789994.92</v>
      </c>
      <c r="H62" s="211">
        <v>10460525.210000001</v>
      </c>
      <c r="I62" s="211">
        <v>1259301.6499999999</v>
      </c>
      <c r="J62" s="211">
        <v>8146150.04</v>
      </c>
      <c r="K62" s="211">
        <v>11238716.789999999</v>
      </c>
      <c r="L62" s="211">
        <v>12964517.649999999</v>
      </c>
      <c r="M62" s="211">
        <v>8206743.4400000004</v>
      </c>
      <c r="N62" s="211">
        <v>2667369.89</v>
      </c>
      <c r="O62" s="211">
        <v>2025946.22</v>
      </c>
      <c r="P62" s="211">
        <v>287581.34000000003</v>
      </c>
      <c r="Q62" s="211">
        <v>0</v>
      </c>
      <c r="R62" s="211">
        <v>0</v>
      </c>
      <c r="S62" s="250">
        <f t="shared" si="4"/>
        <v>70046847.149999991</v>
      </c>
      <c r="T62" s="472">
        <f t="shared" si="3"/>
        <v>1.2288058232755594</v>
      </c>
    </row>
    <row r="63" spans="1:21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211">
        <v>710212.98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209628.7</v>
      </c>
      <c r="N63" s="211">
        <v>313064.5</v>
      </c>
      <c r="O63" s="211">
        <v>705089.56</v>
      </c>
      <c r="P63" s="211">
        <v>574867.06000000006</v>
      </c>
      <c r="Q63" s="211">
        <v>0</v>
      </c>
      <c r="R63" s="211">
        <v>0</v>
      </c>
      <c r="S63" s="250">
        <f t="shared" si="4"/>
        <v>4003371.2600000002</v>
      </c>
      <c r="T63" s="472">
        <f t="shared" si="3"/>
        <v>7.0229655111921974E-2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42639095.280000038</v>
      </c>
      <c r="H64" s="225">
        <f t="shared" ref="H64:L64" si="14">-H59-SUM(H61:H63)</f>
        <v>29862251.220000014</v>
      </c>
      <c r="I64" s="225">
        <f t="shared" si="14"/>
        <v>-21928282.110000025</v>
      </c>
      <c r="J64" s="225">
        <f t="shared" si="14"/>
        <v>69345392.219999909</v>
      </c>
      <c r="K64" s="225">
        <f t="shared" si="14"/>
        <v>19361862.209999986</v>
      </c>
      <c r="L64" s="225">
        <f t="shared" si="14"/>
        <v>9227312.5499999821</v>
      </c>
      <c r="M64" s="225">
        <f t="shared" ref="M64:R64" si="15">-M59-SUM(M61:M63)</f>
        <v>34745409.410000026</v>
      </c>
      <c r="N64" s="225">
        <f t="shared" si="15"/>
        <v>-37448154.599999957</v>
      </c>
      <c r="O64" s="225">
        <f t="shared" si="15"/>
        <v>33858938.680000007</v>
      </c>
      <c r="P64" s="225">
        <f t="shared" si="15"/>
        <v>25280763.030000012</v>
      </c>
      <c r="Q64" s="225">
        <f t="shared" si="15"/>
        <v>0</v>
      </c>
      <c r="R64" s="225">
        <f t="shared" si="15"/>
        <v>0</v>
      </c>
      <c r="S64" s="253">
        <f>+SUM(G64:R64)</f>
        <v>204944587.88999999</v>
      </c>
      <c r="T64" s="476">
        <f t="shared" si="3"/>
        <v>3.5952667863658685</v>
      </c>
    </row>
    <row r="65" spans="7:18">
      <c r="R65" s="312"/>
    </row>
    <row r="67" spans="7:18">
      <c r="G67" s="311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6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6">+CONCATENATE(G6,"p")</f>
        <v>2022-01p</v>
      </c>
      <c r="H80" s="68" t="str">
        <f t="shared" si="16"/>
        <v>2022-02p</v>
      </c>
      <c r="I80" s="68" t="str">
        <f t="shared" si="16"/>
        <v>2022-03p</v>
      </c>
      <c r="J80" s="68" t="str">
        <f t="shared" si="16"/>
        <v>2022-04p</v>
      </c>
      <c r="K80" s="68" t="str">
        <f t="shared" si="16"/>
        <v>2022-05p</v>
      </c>
      <c r="L80" s="68" t="str">
        <f t="shared" si="16"/>
        <v>2022-06p</v>
      </c>
      <c r="M80" s="68" t="str">
        <f t="shared" si="16"/>
        <v>2022-07p</v>
      </c>
      <c r="N80" s="68" t="str">
        <f t="shared" si="16"/>
        <v>2022-08p</v>
      </c>
      <c r="O80" s="68" t="str">
        <f t="shared" si="16"/>
        <v>2022-09p</v>
      </c>
      <c r="P80" s="68" t="str">
        <f t="shared" si="16"/>
        <v>2022-10p</v>
      </c>
      <c r="Q80" s="68" t="str">
        <f t="shared" si="16"/>
        <v>2022-11p</v>
      </c>
      <c r="R80" s="68" t="str">
        <f t="shared" si="16"/>
        <v>2022-12p</v>
      </c>
    </row>
    <row r="81" spans="1:26" ht="15.75" customHeight="1" thickBot="1">
      <c r="B81" s="583" t="str">
        <f>+Master!G252</f>
        <v>Plan ostvarenja budžeta</v>
      </c>
      <c r="C81" s="584"/>
      <c r="D81" s="584"/>
      <c r="E81" s="584"/>
      <c r="F81" s="584"/>
      <c r="G81" s="591">
        <v>2022</v>
      </c>
      <c r="H81" s="592"/>
      <c r="I81" s="592"/>
      <c r="J81" s="592"/>
      <c r="K81" s="592"/>
      <c r="L81" s="592"/>
      <c r="M81" s="592"/>
      <c r="N81" s="592"/>
      <c r="O81" s="592"/>
      <c r="P81" s="592"/>
      <c r="Q81" s="592"/>
      <c r="R81" s="593"/>
      <c r="S81" s="107" t="str">
        <f>+S7</f>
        <v>BDP</v>
      </c>
      <c r="T81" s="108">
        <v>5700400000</v>
      </c>
    </row>
    <row r="82" spans="1:26" ht="15.75" customHeight="1">
      <c r="B82" s="585"/>
      <c r="C82" s="586"/>
      <c r="D82" s="586"/>
      <c r="E82" s="586"/>
      <c r="F82" s="587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591" t="str">
        <f>+Master!G246</f>
        <v>Jan - Dec</v>
      </c>
      <c r="T82" s="593">
        <f>+T8</f>
        <v>0</v>
      </c>
    </row>
    <row r="83" spans="1:26" ht="13.5" thickBot="1">
      <c r="B83" s="588"/>
      <c r="C83" s="589"/>
      <c r="D83" s="589"/>
      <c r="E83" s="589"/>
      <c r="F83" s="590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57" t="str">
        <f>+VLOOKUP(LEFT($A84,LEN(A84)-1)*1,Master!$D$29:$G$225,4,FALSE)</f>
        <v>Prihodi budžeta</v>
      </c>
      <c r="C84" s="558"/>
      <c r="D84" s="558"/>
      <c r="E84" s="558"/>
      <c r="F84" s="558"/>
      <c r="G84" s="93">
        <f t="shared" ref="G84:R84" si="19">+G85+G93+SUM(G98:G102)</f>
        <v>107815206.69999999</v>
      </c>
      <c r="H84" s="93">
        <f t="shared" si="19"/>
        <v>124649774.65000001</v>
      </c>
      <c r="I84" s="93">
        <f t="shared" si="19"/>
        <v>184180987.21000001</v>
      </c>
      <c r="J84" s="93">
        <f t="shared" si="19"/>
        <v>181957324.32000002</v>
      </c>
      <c r="K84" s="93">
        <f t="shared" si="19"/>
        <v>154730235.27000001</v>
      </c>
      <c r="L84" s="93">
        <f t="shared" si="19"/>
        <v>169061326.09000003</v>
      </c>
      <c r="M84" s="93">
        <f t="shared" si="19"/>
        <v>165802775.70999998</v>
      </c>
      <c r="N84" s="93">
        <f t="shared" si="19"/>
        <v>194390474.26999995</v>
      </c>
      <c r="O84" s="93">
        <f t="shared" si="19"/>
        <v>175603806.03</v>
      </c>
      <c r="P84" s="93">
        <f t="shared" si="19"/>
        <v>140445093.07000002</v>
      </c>
      <c r="Q84" s="93">
        <f t="shared" si="19"/>
        <v>136281404.65000004</v>
      </c>
      <c r="R84" s="93">
        <f t="shared" si="19"/>
        <v>196108732.88999999</v>
      </c>
      <c r="S84" s="453">
        <f>+SUM(G84:R84)</f>
        <v>1931027140.8600001</v>
      </c>
      <c r="T84" s="477">
        <f>+S84/$T$81*100</f>
        <v>33.875291924426357</v>
      </c>
    </row>
    <row r="85" spans="1:26">
      <c r="A85" s="116" t="str">
        <f t="shared" si="18"/>
        <v>711p</v>
      </c>
      <c r="B85" s="581" t="str">
        <f>+VLOOKUP(LEFT($A85,LEN(A85)-1)*1,Master!$D$29:$G$225,4,FALSE)</f>
        <v>Porezi</v>
      </c>
      <c r="C85" s="582"/>
      <c r="D85" s="582"/>
      <c r="E85" s="582"/>
      <c r="F85" s="582"/>
      <c r="G85" s="79">
        <f t="shared" ref="G85:R85" si="20">+SUM(G86:G92)</f>
        <v>80559495.530000001</v>
      </c>
      <c r="H85" s="79">
        <f t="shared" si="20"/>
        <v>83215985.099999994</v>
      </c>
      <c r="I85" s="79">
        <f t="shared" si="20"/>
        <v>136363333.32000002</v>
      </c>
      <c r="J85" s="79">
        <f t="shared" si="20"/>
        <v>133978505.54000001</v>
      </c>
      <c r="K85" s="79">
        <f t="shared" si="20"/>
        <v>112630389.3</v>
      </c>
      <c r="L85" s="79">
        <f t="shared" si="20"/>
        <v>115551273.18000002</v>
      </c>
      <c r="M85" s="79">
        <f t="shared" si="20"/>
        <v>118591394.48</v>
      </c>
      <c r="N85" s="79">
        <f t="shared" si="20"/>
        <v>138239036.15999997</v>
      </c>
      <c r="O85" s="79">
        <f t="shared" si="20"/>
        <v>121261181.33999999</v>
      </c>
      <c r="P85" s="79">
        <f t="shared" si="20"/>
        <v>82469774.326666653</v>
      </c>
      <c r="Q85" s="79">
        <f t="shared" si="20"/>
        <v>76569750.026666671</v>
      </c>
      <c r="R85" s="80">
        <f t="shared" si="20"/>
        <v>98169750.026666671</v>
      </c>
      <c r="S85" s="111">
        <f t="shared" ref="S85:S137" si="21">+SUM(G85:R85)</f>
        <v>1297599868.3300002</v>
      </c>
      <c r="T85" s="463">
        <f t="shared" ref="T85:T138" si="22">+S85/$T$81*100</f>
        <v>22.763312545259986</v>
      </c>
      <c r="V85" s="311"/>
    </row>
    <row r="86" spans="1:26">
      <c r="A86" s="116" t="str">
        <f t="shared" si="18"/>
        <v>7111p</v>
      </c>
      <c r="B86" s="573" t="str">
        <f>+VLOOKUP(LEFT($A86,LEN(A86)-1)*1,Master!$D$29:$G$228,4,FALSE)</f>
        <v>Porez na dohodak fizičkih lica</v>
      </c>
      <c r="C86" s="574"/>
      <c r="D86" s="574"/>
      <c r="E86" s="574"/>
      <c r="F86" s="574"/>
      <c r="G86" s="87">
        <v>6139790.5700000003</v>
      </c>
      <c r="H86" s="87">
        <v>7672775.8099999996</v>
      </c>
      <c r="I86" s="87">
        <v>6664350.6399999997</v>
      </c>
      <c r="J86" s="87">
        <v>8050769.3899999997</v>
      </c>
      <c r="K86" s="87">
        <v>8176244.7699999996</v>
      </c>
      <c r="L86" s="87">
        <v>7322347.5800000001</v>
      </c>
      <c r="M86" s="87">
        <v>8156090.4900000002</v>
      </c>
      <c r="N86" s="87">
        <v>7377958</v>
      </c>
      <c r="O86" s="87">
        <v>5598868.9900000002</v>
      </c>
      <c r="P86" s="87">
        <v>7376898.6899999995</v>
      </c>
      <c r="Q86" s="87">
        <v>6576898.6899999995</v>
      </c>
      <c r="R86" s="87">
        <v>15676898.689999999</v>
      </c>
      <c r="S86" s="112">
        <f t="shared" si="21"/>
        <v>94789892.310000002</v>
      </c>
      <c r="T86" s="464">
        <f t="shared" si="22"/>
        <v>1.6628638746403763</v>
      </c>
      <c r="V86" s="311"/>
    </row>
    <row r="87" spans="1:26">
      <c r="A87" s="116" t="str">
        <f t="shared" si="18"/>
        <v>7112p</v>
      </c>
      <c r="B87" s="573" t="str">
        <f>+VLOOKUP(LEFT($A87,LEN(A87)-1)*1,Master!$D$29:$G$228,4,FALSE)</f>
        <v>Porez na dobit pravnih lica</v>
      </c>
      <c r="C87" s="574"/>
      <c r="D87" s="574"/>
      <c r="E87" s="574"/>
      <c r="F87" s="574"/>
      <c r="G87" s="87">
        <v>395935.5</v>
      </c>
      <c r="H87" s="87">
        <v>2173083.29</v>
      </c>
      <c r="I87" s="87">
        <v>38679260.32</v>
      </c>
      <c r="J87" s="87">
        <v>28771681.68</v>
      </c>
      <c r="K87" s="87">
        <v>2149499.0699999998</v>
      </c>
      <c r="L87" s="87">
        <v>3024620.31</v>
      </c>
      <c r="M87" s="87">
        <v>1873254.93</v>
      </c>
      <c r="N87" s="87">
        <v>2349199.71</v>
      </c>
      <c r="O87" s="87">
        <v>2622669.34</v>
      </c>
      <c r="P87" s="87">
        <v>448381.46333333803</v>
      </c>
      <c r="Q87" s="87">
        <v>348381.46333333803</v>
      </c>
      <c r="R87" s="87">
        <v>1448381.463333338</v>
      </c>
      <c r="S87" s="112">
        <f t="shared" si="21"/>
        <v>84284348.540000007</v>
      </c>
      <c r="T87" s="464">
        <f t="shared" si="22"/>
        <v>1.4785690221738825</v>
      </c>
      <c r="V87" s="311"/>
    </row>
    <row r="88" spans="1:26">
      <c r="A88" s="116" t="str">
        <f t="shared" si="18"/>
        <v>7113p</v>
      </c>
      <c r="B88" s="573" t="str">
        <f>+VLOOKUP(LEFT($A88,LEN(A88)-1)*1,Master!$D$29:$G$228,4,FALSE)</f>
        <v>Porez na promet nepokretnosti</v>
      </c>
      <c r="C88" s="574"/>
      <c r="D88" s="574"/>
      <c r="E88" s="574"/>
      <c r="F88" s="574"/>
      <c r="G88" s="87">
        <v>146340.34</v>
      </c>
      <c r="H88" s="87">
        <v>168193.65</v>
      </c>
      <c r="I88" s="87">
        <v>233459.66</v>
      </c>
      <c r="J88" s="87">
        <v>245580.28</v>
      </c>
      <c r="K88" s="87">
        <v>189584.64000000001</v>
      </c>
      <c r="L88" s="87">
        <v>263126.03999999998</v>
      </c>
      <c r="M88" s="87">
        <v>180172.4</v>
      </c>
      <c r="N88" s="87">
        <v>55084.76</v>
      </c>
      <c r="O88" s="87">
        <v>0</v>
      </c>
      <c r="P88" s="87">
        <v>24.3</v>
      </c>
      <c r="Q88" s="87">
        <v>0</v>
      </c>
      <c r="R88" s="87">
        <v>0</v>
      </c>
      <c r="S88" s="112">
        <f t="shared" si="21"/>
        <v>1481566.07</v>
      </c>
      <c r="T88" s="464">
        <f t="shared" si="22"/>
        <v>2.5990563293803944E-2</v>
      </c>
      <c r="V88" s="311"/>
    </row>
    <row r="89" spans="1:26">
      <c r="A89" s="116" t="str">
        <f t="shared" si="18"/>
        <v>7114p</v>
      </c>
      <c r="B89" s="573" t="str">
        <f>+VLOOKUP(LEFT($A89,LEN(A89)-1)*1,Master!$D$29:$G$228,4,FALSE)</f>
        <v>Porez na dodatu vrijednost</v>
      </c>
      <c r="C89" s="574"/>
      <c r="D89" s="574"/>
      <c r="E89" s="574"/>
      <c r="F89" s="574"/>
      <c r="G89" s="87">
        <v>50270008.859999999</v>
      </c>
      <c r="H89" s="87">
        <v>54121445.460000001</v>
      </c>
      <c r="I89" s="87">
        <v>67019753.909999996</v>
      </c>
      <c r="J89" s="87">
        <v>73487462.640000001</v>
      </c>
      <c r="K89" s="87">
        <v>76474660.090000004</v>
      </c>
      <c r="L89" s="87">
        <v>79678383.590000004</v>
      </c>
      <c r="M89" s="87">
        <v>83883709.769999996</v>
      </c>
      <c r="N89" s="87">
        <v>95638013.599999994</v>
      </c>
      <c r="O89" s="87">
        <v>84609670.859999999</v>
      </c>
      <c r="P89" s="87">
        <v>49878315.989999972</v>
      </c>
      <c r="Q89" s="87">
        <v>44878315.990000002</v>
      </c>
      <c r="R89" s="87">
        <v>54878315.990000002</v>
      </c>
      <c r="S89" s="112">
        <f t="shared" si="21"/>
        <v>814818056.75000012</v>
      </c>
      <c r="T89" s="464">
        <f t="shared" si="22"/>
        <v>14.294050535927305</v>
      </c>
      <c r="V89" s="311"/>
    </row>
    <row r="90" spans="1:26">
      <c r="A90" s="116" t="str">
        <f t="shared" si="18"/>
        <v>7115p</v>
      </c>
      <c r="B90" s="573" t="str">
        <f>+VLOOKUP(LEFT($A90,LEN(A90)-1)*1,Master!$D$29:$G$228,4,FALSE)</f>
        <v>Akcize</v>
      </c>
      <c r="C90" s="574"/>
      <c r="D90" s="574"/>
      <c r="E90" s="574"/>
      <c r="F90" s="574"/>
      <c r="G90" s="87">
        <v>21096875.199999999</v>
      </c>
      <c r="H90" s="87">
        <v>16062530.34</v>
      </c>
      <c r="I90" s="87">
        <v>19528829.140000001</v>
      </c>
      <c r="J90" s="87">
        <v>19259652.579999998</v>
      </c>
      <c r="K90" s="87">
        <v>21309575.899999999</v>
      </c>
      <c r="L90" s="87">
        <v>20484664.210000001</v>
      </c>
      <c r="M90" s="87">
        <v>19630528.800000001</v>
      </c>
      <c r="N90" s="87">
        <v>27418018.539999999</v>
      </c>
      <c r="O90" s="87">
        <v>23606498.559999999</v>
      </c>
      <c r="P90" s="87">
        <v>23617898.436666675</v>
      </c>
      <c r="Q90" s="87">
        <v>23617898.436666675</v>
      </c>
      <c r="R90" s="87">
        <v>25317898.436666675</v>
      </c>
      <c r="S90" s="112">
        <f t="shared" si="21"/>
        <v>260950868.58000001</v>
      </c>
      <c r="T90" s="464">
        <f t="shared" si="22"/>
        <v>4.577764167075995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73" t="str">
        <f>+VLOOKUP(LEFT($A91,LEN(A91)-1)*1,Master!$D$29:$G$228,4,FALSE)</f>
        <v>Porez na međunarodnu trgovinu i transakcije</v>
      </c>
      <c r="C91" s="574"/>
      <c r="D91" s="574"/>
      <c r="E91" s="574"/>
      <c r="F91" s="574"/>
      <c r="G91" s="87">
        <v>1689510.83</v>
      </c>
      <c r="H91" s="87">
        <v>2149003.6</v>
      </c>
      <c r="I91" s="87">
        <v>3284454.25</v>
      </c>
      <c r="J91" s="87">
        <v>3111315.33</v>
      </c>
      <c r="K91" s="87">
        <v>3394780.34</v>
      </c>
      <c r="L91" s="87">
        <v>3720198.33</v>
      </c>
      <c r="M91" s="87">
        <v>3648629.78</v>
      </c>
      <c r="N91" s="87">
        <v>4253554.42</v>
      </c>
      <c r="O91" s="87">
        <v>3769936.82</v>
      </c>
      <c r="P91" s="87">
        <v>215355.98999999961</v>
      </c>
      <c r="Q91" s="87">
        <v>215355.98999999961</v>
      </c>
      <c r="R91" s="87">
        <v>215355.98999999961</v>
      </c>
      <c r="S91" s="112">
        <f t="shared" si="21"/>
        <v>29667451.669999998</v>
      </c>
      <c r="T91" s="464">
        <f t="shared" si="22"/>
        <v>0.52044508578345383</v>
      </c>
      <c r="V91" s="311"/>
    </row>
    <row r="92" spans="1:26">
      <c r="A92" s="116" t="str">
        <f t="shared" si="18"/>
        <v>7118p</v>
      </c>
      <c r="B92" s="573" t="str">
        <f>+VLOOKUP(LEFT($A92,LEN(A92)-1)*1,Master!$D$29:$G$228,4,FALSE)</f>
        <v>Ostali državni porezi</v>
      </c>
      <c r="C92" s="574"/>
      <c r="D92" s="574"/>
      <c r="E92" s="574"/>
      <c r="F92" s="574"/>
      <c r="G92" s="87">
        <v>821034.23</v>
      </c>
      <c r="H92" s="87">
        <v>868952.95</v>
      </c>
      <c r="I92" s="87">
        <v>953225.4</v>
      </c>
      <c r="J92" s="87">
        <v>1052043.6399999999</v>
      </c>
      <c r="K92" s="87">
        <v>936044.49</v>
      </c>
      <c r="L92" s="87">
        <v>1057933.1200000001</v>
      </c>
      <c r="M92" s="87">
        <v>1219008.31</v>
      </c>
      <c r="N92" s="87">
        <v>1147207.1299999999</v>
      </c>
      <c r="O92" s="87">
        <v>1053536.77</v>
      </c>
      <c r="P92" s="87">
        <v>932899.45666666597</v>
      </c>
      <c r="Q92" s="87">
        <v>932899.45666666597</v>
      </c>
      <c r="R92" s="87">
        <v>632899.45666666597</v>
      </c>
      <c r="S92" s="112">
        <f t="shared" si="21"/>
        <v>11607684.409999996</v>
      </c>
      <c r="T92" s="464">
        <f t="shared" si="22"/>
        <v>0.2036292963651673</v>
      </c>
      <c r="V92" s="311"/>
    </row>
    <row r="93" spans="1:26">
      <c r="A93" s="116" t="str">
        <f t="shared" si="18"/>
        <v>712p</v>
      </c>
      <c r="B93" s="579" t="str">
        <f>+VLOOKUP(LEFT($A93,LEN(A93)-1)*1,Master!$D$29:$G$228,4,FALSE)</f>
        <v>Doprinosi</v>
      </c>
      <c r="C93" s="580"/>
      <c r="D93" s="580"/>
      <c r="E93" s="580"/>
      <c r="F93" s="580"/>
      <c r="G93" s="81">
        <f>+SUM(G94:G97)</f>
        <v>11731802.159999998</v>
      </c>
      <c r="H93" s="81">
        <f t="shared" ref="H93:R93" si="23">+SUM(H94:H97)</f>
        <v>34984293.990000002</v>
      </c>
      <c r="I93" s="480">
        <f t="shared" si="23"/>
        <v>37056759.600000001</v>
      </c>
      <c r="J93" s="81">
        <f t="shared" si="23"/>
        <v>37592490.479999997</v>
      </c>
      <c r="K93" s="81">
        <f t="shared" si="23"/>
        <v>33463530.389999997</v>
      </c>
      <c r="L93" s="81">
        <f t="shared" si="23"/>
        <v>37796292.359999999</v>
      </c>
      <c r="M93" s="81">
        <f t="shared" si="23"/>
        <v>36710432.280000001</v>
      </c>
      <c r="N93" s="81">
        <f t="shared" si="23"/>
        <v>39015024.850000001</v>
      </c>
      <c r="O93" s="81">
        <f t="shared" si="23"/>
        <v>38998261.349999994</v>
      </c>
      <c r="P93" s="81">
        <f t="shared" si="23"/>
        <v>46105466.860000037</v>
      </c>
      <c r="Q93" s="81">
        <f t="shared" si="23"/>
        <v>45141802.740000039</v>
      </c>
      <c r="R93" s="82">
        <f t="shared" si="23"/>
        <v>79469130.979999989</v>
      </c>
      <c r="S93" s="113">
        <f t="shared" si="21"/>
        <v>478065288.03999996</v>
      </c>
      <c r="T93" s="465">
        <f t="shared" si="22"/>
        <v>8.3865217886464105</v>
      </c>
      <c r="V93" s="311"/>
    </row>
    <row r="94" spans="1:26">
      <c r="A94" s="116" t="str">
        <f t="shared" si="18"/>
        <v>7121p</v>
      </c>
      <c r="B94" s="573" t="str">
        <f>+VLOOKUP(LEFT($A94,LEN(A94)-1)*1,Master!$D$29:$G$228,4,FALSE)</f>
        <v>Doprinosi za penzijsko i invalidsko osiguranje</v>
      </c>
      <c r="C94" s="574"/>
      <c r="D94" s="574"/>
      <c r="E94" s="574"/>
      <c r="F94" s="574"/>
      <c r="G94" s="87">
        <v>7550452.8499999996</v>
      </c>
      <c r="H94" s="87">
        <v>24366605.109999999</v>
      </c>
      <c r="I94" s="87">
        <v>31891479.559999999</v>
      </c>
      <c r="J94" s="87">
        <v>32988975.75</v>
      </c>
      <c r="K94" s="87">
        <v>29598378.829999998</v>
      </c>
      <c r="L94" s="87">
        <v>33851315.109999999</v>
      </c>
      <c r="M94" s="87">
        <v>32996526.960000001</v>
      </c>
      <c r="N94" s="87">
        <v>35394821.75</v>
      </c>
      <c r="O94" s="87">
        <v>35762026.799999997</v>
      </c>
      <c r="P94" s="87">
        <v>41374533.736666702</v>
      </c>
      <c r="Q94" s="87">
        <v>40410869.616666704</v>
      </c>
      <c r="R94" s="87">
        <v>72638197.856666654</v>
      </c>
      <c r="S94" s="112">
        <f t="shared" si="21"/>
        <v>418824183.93000007</v>
      </c>
      <c r="T94" s="464">
        <f t="shared" si="22"/>
        <v>7.3472771021331846</v>
      </c>
      <c r="V94" s="311"/>
      <c r="W94" s="311"/>
    </row>
    <row r="95" spans="1:26">
      <c r="A95" s="116" t="str">
        <f t="shared" si="18"/>
        <v>7122p</v>
      </c>
      <c r="B95" s="573" t="str">
        <f>+VLOOKUP(LEFT($A95,LEN(A95)-1)*1,Master!$D$29:$G$228,4,FALSE)</f>
        <v>Doprinosi za zdravstveno osiguranje</v>
      </c>
      <c r="C95" s="574"/>
      <c r="D95" s="574"/>
      <c r="E95" s="574"/>
      <c r="F95" s="574"/>
      <c r="G95" s="87">
        <v>3618221.62</v>
      </c>
      <c r="H95" s="87">
        <v>8815681.4700000007</v>
      </c>
      <c r="I95" s="87">
        <v>2582574.44</v>
      </c>
      <c r="J95" s="87">
        <v>1899377.01</v>
      </c>
      <c r="K95" s="87">
        <v>1480944.7</v>
      </c>
      <c r="L95" s="87">
        <v>1150315.93</v>
      </c>
      <c r="M95" s="87">
        <v>951006.28</v>
      </c>
      <c r="N95" s="87">
        <v>823067.88</v>
      </c>
      <c r="O95" s="87">
        <v>668162.97</v>
      </c>
      <c r="P95" s="87">
        <v>162054.15333333486</v>
      </c>
      <c r="Q95" s="87">
        <v>162054.15333333501</v>
      </c>
      <c r="R95" s="87">
        <v>162054.15333333486</v>
      </c>
      <c r="S95" s="112">
        <f t="shared" si="21"/>
        <v>22475514.760000005</v>
      </c>
      <c r="T95" s="464">
        <f t="shared" si="22"/>
        <v>0.39427960774682491</v>
      </c>
      <c r="V95" s="311"/>
    </row>
    <row r="96" spans="1:26">
      <c r="A96" s="116" t="str">
        <f t="shared" si="18"/>
        <v>7123p</v>
      </c>
      <c r="B96" s="573" t="str">
        <f>+VLOOKUP(LEFT($A96,LEN(A96)-1)*1,Master!$D$29:$G$228,4,FALSE)</f>
        <v>Doprinosi za osiguranje od nezaposlenosti</v>
      </c>
      <c r="C96" s="574"/>
      <c r="D96" s="574"/>
      <c r="E96" s="574"/>
      <c r="F96" s="574"/>
      <c r="G96" s="87">
        <v>333527.59999999998</v>
      </c>
      <c r="H96" s="87">
        <v>1107968.99</v>
      </c>
      <c r="I96" s="87">
        <v>1459655.88</v>
      </c>
      <c r="J96" s="87">
        <v>1501790.24</v>
      </c>
      <c r="K96" s="87">
        <v>1379492.12</v>
      </c>
      <c r="L96" s="87">
        <v>1561408.27</v>
      </c>
      <c r="M96" s="87">
        <v>1571588.31</v>
      </c>
      <c r="N96" s="87">
        <v>1597593.61</v>
      </c>
      <c r="O96" s="87">
        <v>1507262.14</v>
      </c>
      <c r="P96" s="87">
        <v>2577754.3266666699</v>
      </c>
      <c r="Q96" s="87">
        <v>2677754.3266666699</v>
      </c>
      <c r="R96" s="87">
        <v>3377754.3266666699</v>
      </c>
      <c r="S96" s="112">
        <f t="shared" si="21"/>
        <v>20653550.140000008</v>
      </c>
      <c r="T96" s="464">
        <f t="shared" si="22"/>
        <v>0.36231755911865848</v>
      </c>
      <c r="V96" s="311"/>
    </row>
    <row r="97" spans="1:23">
      <c r="A97" s="116" t="str">
        <f t="shared" si="18"/>
        <v>7124p</v>
      </c>
      <c r="B97" s="573" t="str">
        <f>+VLOOKUP(LEFT($A97,LEN(A97)-1)*1,Master!$D$29:$G$228,4,FALSE)</f>
        <v>Ostali doprinosi</v>
      </c>
      <c r="C97" s="574"/>
      <c r="D97" s="574"/>
      <c r="E97" s="574"/>
      <c r="F97" s="574"/>
      <c r="G97" s="87">
        <v>229600.09</v>
      </c>
      <c r="H97" s="87">
        <v>694038.42</v>
      </c>
      <c r="I97" s="87">
        <v>1123049.72</v>
      </c>
      <c r="J97" s="87">
        <v>1202347.48</v>
      </c>
      <c r="K97" s="87">
        <v>1004714.74</v>
      </c>
      <c r="L97" s="87">
        <v>1233253.05</v>
      </c>
      <c r="M97" s="87">
        <v>1191310.73</v>
      </c>
      <c r="N97" s="87">
        <v>1199541.6100000001</v>
      </c>
      <c r="O97" s="87">
        <v>1060809.44</v>
      </c>
      <c r="P97" s="87">
        <v>1991124.6433333298</v>
      </c>
      <c r="Q97" s="87">
        <v>1891124.6433333298</v>
      </c>
      <c r="R97" s="87">
        <v>3291124.6433333298</v>
      </c>
      <c r="S97" s="112">
        <f t="shared" si="21"/>
        <v>16112039.209999993</v>
      </c>
      <c r="T97" s="464">
        <f t="shared" si="22"/>
        <v>0.28264751964774393</v>
      </c>
      <c r="V97" s="311"/>
    </row>
    <row r="98" spans="1:23">
      <c r="A98" s="116" t="str">
        <f t="shared" si="18"/>
        <v>713p</v>
      </c>
      <c r="B98" s="579" t="str">
        <f>+VLOOKUP(LEFT($A98,LEN(A98)-1)*1,Master!$D$29:$G$228,4,FALSE)</f>
        <v>Takse</v>
      </c>
      <c r="C98" s="580"/>
      <c r="D98" s="580"/>
      <c r="E98" s="580"/>
      <c r="F98" s="580"/>
      <c r="G98" s="83">
        <v>635258.53</v>
      </c>
      <c r="H98" s="83">
        <v>808672.01</v>
      </c>
      <c r="I98" s="83">
        <v>976895.25</v>
      </c>
      <c r="J98" s="83">
        <v>1014885.9700000001</v>
      </c>
      <c r="K98" s="83">
        <v>989967.5199999999</v>
      </c>
      <c r="L98" s="83">
        <v>1292686.0099999998</v>
      </c>
      <c r="M98" s="83">
        <v>1450241.7799999998</v>
      </c>
      <c r="N98" s="83">
        <v>1794328.3</v>
      </c>
      <c r="O98" s="83">
        <v>1183872.1599999999</v>
      </c>
      <c r="P98" s="83">
        <v>1076581.8733333331</v>
      </c>
      <c r="Q98" s="83">
        <v>876581.87333333003</v>
      </c>
      <c r="R98" s="83">
        <v>1276581.87333333</v>
      </c>
      <c r="S98" s="113">
        <f t="shared" si="21"/>
        <v>13376553.149999993</v>
      </c>
      <c r="T98" s="465">
        <f t="shared" si="22"/>
        <v>0.23465990369096892</v>
      </c>
      <c r="V98" s="311"/>
    </row>
    <row r="99" spans="1:23">
      <c r="A99" s="116" t="str">
        <f t="shared" si="18"/>
        <v>714p</v>
      </c>
      <c r="B99" s="579" t="str">
        <f>+VLOOKUP(LEFT($A99,LEN(A99)-1)*1,Master!$D$29:$G$228,4,FALSE)</f>
        <v>Naknade</v>
      </c>
      <c r="C99" s="580"/>
      <c r="D99" s="580"/>
      <c r="E99" s="580"/>
      <c r="F99" s="580"/>
      <c r="G99" s="83">
        <v>12538803.32</v>
      </c>
      <c r="H99" s="83">
        <v>2358745.7999999998</v>
      </c>
      <c r="I99" s="83">
        <v>2432089.7200000002</v>
      </c>
      <c r="J99" s="83">
        <v>3083781.29</v>
      </c>
      <c r="K99" s="83">
        <v>2678608.52</v>
      </c>
      <c r="L99" s="83">
        <v>4570368.01</v>
      </c>
      <c r="M99" s="83">
        <v>3736951.12</v>
      </c>
      <c r="N99" s="83">
        <v>3318573.4699999997</v>
      </c>
      <c r="O99" s="83">
        <v>9160845.5500000007</v>
      </c>
      <c r="P99" s="83">
        <v>3515025.5066666701</v>
      </c>
      <c r="Q99" s="83">
        <v>3115025.5066666701</v>
      </c>
      <c r="R99" s="83">
        <v>4215025.5066666696</v>
      </c>
      <c r="S99" s="113">
        <f t="shared" si="21"/>
        <v>54723843.32</v>
      </c>
      <c r="T99" s="465">
        <f t="shared" si="22"/>
        <v>0.96000005824152701</v>
      </c>
      <c r="V99" s="311"/>
    </row>
    <row r="100" spans="1:23">
      <c r="A100" s="116" t="str">
        <f t="shared" si="18"/>
        <v>715p</v>
      </c>
      <c r="B100" s="579" t="str">
        <f>+VLOOKUP(LEFT($A100,LEN(A100)-1)*1,Master!$D$29:$G$228,4,FALSE)</f>
        <v>Ostali prihodi</v>
      </c>
      <c r="C100" s="580"/>
      <c r="D100" s="580"/>
      <c r="E100" s="580"/>
      <c r="F100" s="580"/>
      <c r="G100" s="83">
        <v>1280630.6100000001</v>
      </c>
      <c r="H100" s="83">
        <v>1589565.7</v>
      </c>
      <c r="I100" s="83">
        <v>1733963.47</v>
      </c>
      <c r="J100" s="83">
        <v>3432683.27</v>
      </c>
      <c r="K100" s="83">
        <v>3422423.95</v>
      </c>
      <c r="L100" s="83">
        <v>2748963.77</v>
      </c>
      <c r="M100" s="83">
        <v>3152431.28</v>
      </c>
      <c r="N100" s="83">
        <v>3601917.47</v>
      </c>
      <c r="O100" s="83">
        <v>2166236.2000000002</v>
      </c>
      <c r="P100" s="83">
        <v>2305486.89</v>
      </c>
      <c r="Q100" s="83">
        <v>2005486.8900000001</v>
      </c>
      <c r="R100" s="83">
        <v>3205486.89</v>
      </c>
      <c r="S100" s="113">
        <f t="shared" si="21"/>
        <v>30645276.390000001</v>
      </c>
      <c r="T100" s="465">
        <f t="shared" si="22"/>
        <v>0.53759870167005819</v>
      </c>
      <c r="V100" s="311"/>
    </row>
    <row r="101" spans="1:23">
      <c r="A101" s="116" t="str">
        <f t="shared" si="18"/>
        <v>73p</v>
      </c>
      <c r="B101" s="579" t="str">
        <f>+VLOOKUP(LEFT($A101,LEN(A101)-1)*1,Master!$D$29:$G$228,4,FALSE)</f>
        <v>Primici od otplate kredita i sredstva prenesena iz prethodne godine</v>
      </c>
      <c r="C101" s="580"/>
      <c r="D101" s="580"/>
      <c r="E101" s="580"/>
      <c r="F101" s="580"/>
      <c r="G101" s="83">
        <v>124509.95</v>
      </c>
      <c r="H101" s="83">
        <v>574574.73</v>
      </c>
      <c r="I101" s="83">
        <v>672855.19</v>
      </c>
      <c r="J101" s="83">
        <v>750452.36</v>
      </c>
      <c r="K101" s="83">
        <v>894295.88</v>
      </c>
      <c r="L101" s="83">
        <v>3753999.56</v>
      </c>
      <c r="M101" s="83">
        <v>308101.69</v>
      </c>
      <c r="N101" s="83">
        <v>1524959.660000002</v>
      </c>
      <c r="O101" s="83">
        <v>1144155.6099999999</v>
      </c>
      <c r="P101" s="83">
        <v>0</v>
      </c>
      <c r="Q101" s="83">
        <v>0</v>
      </c>
      <c r="R101" s="83">
        <v>0</v>
      </c>
      <c r="S101" s="113">
        <f t="shared" si="21"/>
        <v>9747904.6300000027</v>
      </c>
      <c r="T101" s="465">
        <f t="shared" si="22"/>
        <v>0.17100387043014531</v>
      </c>
      <c r="V101" s="311"/>
      <c r="W101" s="311"/>
    </row>
    <row r="102" spans="1:23" ht="13.5" thickBot="1">
      <c r="A102" s="116" t="str">
        <f t="shared" si="18"/>
        <v>74p</v>
      </c>
      <c r="B102" s="575" t="str">
        <f>+VLOOKUP(LEFT($A102,LEN(A102)-1)*1,Master!$D$29:$G$228,4,FALSE)</f>
        <v>Donacije i transferi</v>
      </c>
      <c r="C102" s="576"/>
      <c r="D102" s="576"/>
      <c r="E102" s="576"/>
      <c r="F102" s="576"/>
      <c r="G102" s="83">
        <v>944706.6</v>
      </c>
      <c r="H102" s="83">
        <v>1117937.32</v>
      </c>
      <c r="I102" s="83">
        <v>4945090.66</v>
      </c>
      <c r="J102" s="83">
        <v>2104525.41</v>
      </c>
      <c r="K102" s="83">
        <v>651019.71</v>
      </c>
      <c r="L102" s="83">
        <v>3347743.2</v>
      </c>
      <c r="M102" s="83">
        <v>1853223.08</v>
      </c>
      <c r="N102" s="83">
        <v>6896634.3600000003</v>
      </c>
      <c r="O102" s="83">
        <v>1689253.82</v>
      </c>
      <c r="P102" s="83">
        <v>4972757.6133333296</v>
      </c>
      <c r="Q102" s="83">
        <v>8572757.6133333296</v>
      </c>
      <c r="R102" s="83">
        <v>9772757.6133333296</v>
      </c>
      <c r="S102" s="114">
        <f t="shared" si="21"/>
        <v>46868406.999999985</v>
      </c>
      <c r="T102" s="466">
        <f t="shared" si="22"/>
        <v>0.82219505648726388</v>
      </c>
      <c r="V102" s="311"/>
    </row>
    <row r="103" spans="1:23" ht="13.5" thickBot="1">
      <c r="A103" s="116" t="str">
        <f t="shared" si="18"/>
        <v>4p</v>
      </c>
      <c r="B103" s="557" t="str">
        <f>+VLOOKUP(LEFT($A103,LEN(A103)-1)*1,Master!$D$29:$G$228,4,FALSE)</f>
        <v>Izdaci budžeta</v>
      </c>
      <c r="C103" s="558"/>
      <c r="D103" s="558"/>
      <c r="E103" s="558"/>
      <c r="F103" s="558"/>
      <c r="G103" s="93">
        <f t="shared" ref="G103:R103" si="24">+G104+G114+G120+SUM(G121:G125)</f>
        <v>135523250.91000003</v>
      </c>
      <c r="H103" s="93">
        <f t="shared" si="24"/>
        <v>150834089.17000002</v>
      </c>
      <c r="I103" s="93">
        <f t="shared" si="24"/>
        <v>152224116.23999998</v>
      </c>
      <c r="J103" s="93">
        <f t="shared" si="24"/>
        <v>202240908.68999994</v>
      </c>
      <c r="K103" s="93">
        <f t="shared" si="24"/>
        <v>146275241.75</v>
      </c>
      <c r="L103" s="93">
        <f t="shared" si="24"/>
        <v>179868475.11000001</v>
      </c>
      <c r="M103" s="93">
        <f t="shared" si="24"/>
        <v>178564947.84</v>
      </c>
      <c r="N103" s="93">
        <f t="shared" si="24"/>
        <v>147040975.11000001</v>
      </c>
      <c r="O103" s="93">
        <f t="shared" si="24"/>
        <v>202134465.49000001</v>
      </c>
      <c r="P103" s="93">
        <f t="shared" si="24"/>
        <v>289006911.81666666</v>
      </c>
      <c r="Q103" s="93">
        <f t="shared" si="24"/>
        <v>289006911.81666666</v>
      </c>
      <c r="R103" s="93">
        <f t="shared" si="24"/>
        <v>311543750.08666664</v>
      </c>
      <c r="S103" s="451">
        <f>+SUM(G103:R103)</f>
        <v>2384264044.0300002</v>
      </c>
      <c r="T103" s="478">
        <f t="shared" si="22"/>
        <v>41.826258578871659</v>
      </c>
      <c r="V103" s="291"/>
    </row>
    <row r="104" spans="1:23">
      <c r="A104" s="116" t="str">
        <f t="shared" si="18"/>
        <v>41p</v>
      </c>
      <c r="B104" s="577" t="str">
        <f>+VLOOKUP(LEFT($A104,LEN(A104)-1)*1,Master!$D$29:$G$228,4,FALSE)</f>
        <v>Tekući izdaci</v>
      </c>
      <c r="C104" s="578"/>
      <c r="D104" s="578"/>
      <c r="E104" s="578"/>
      <c r="F104" s="578"/>
      <c r="G104" s="85">
        <f t="shared" ref="G104:R104" si="25">+SUM(G105:G113)</f>
        <v>50898622.75</v>
      </c>
      <c r="H104" s="85">
        <f t="shared" si="25"/>
        <v>61674016.410000004</v>
      </c>
      <c r="I104" s="85">
        <f t="shared" si="25"/>
        <v>59813922.179999992</v>
      </c>
      <c r="J104" s="85">
        <f t="shared" si="25"/>
        <v>96816184.329999983</v>
      </c>
      <c r="K104" s="85">
        <f t="shared" si="25"/>
        <v>58712954.390000008</v>
      </c>
      <c r="L104" s="85">
        <f t="shared" si="25"/>
        <v>71887625.940000013</v>
      </c>
      <c r="M104" s="85">
        <f t="shared" si="25"/>
        <v>67839356.109999999</v>
      </c>
      <c r="N104" s="85">
        <f t="shared" si="25"/>
        <v>64016075.760000005</v>
      </c>
      <c r="O104" s="85">
        <f t="shared" si="25"/>
        <v>80374470.550000012</v>
      </c>
      <c r="P104" s="85">
        <f t="shared" si="25"/>
        <v>107720251.61000003</v>
      </c>
      <c r="Q104" s="85">
        <f t="shared" si="25"/>
        <v>107720251.61000003</v>
      </c>
      <c r="R104" s="86">
        <f t="shared" si="25"/>
        <v>130257088.88000003</v>
      </c>
      <c r="S104" s="111">
        <f t="shared" si="21"/>
        <v>957730820.51999998</v>
      </c>
      <c r="T104" s="463">
        <f t="shared" si="22"/>
        <v>16.801116071152901</v>
      </c>
      <c r="V104" s="291"/>
      <c r="W104" s="291"/>
    </row>
    <row r="105" spans="1:23">
      <c r="A105" s="116" t="str">
        <f t="shared" si="18"/>
        <v>411p</v>
      </c>
      <c r="B105" s="573" t="str">
        <f>+VLOOKUP(LEFT($A105,LEN(A105)-1)*1,Master!$D$29:$G$228,4,FALSE)</f>
        <v>Bruto zarade i doprinosi na teret poslodavca</v>
      </c>
      <c r="C105" s="574"/>
      <c r="D105" s="574"/>
      <c r="E105" s="574"/>
      <c r="F105" s="574"/>
      <c r="G105" s="87">
        <v>44240125.009999998</v>
      </c>
      <c r="H105" s="87">
        <v>44550830.43</v>
      </c>
      <c r="I105" s="87">
        <v>40375934.009999998</v>
      </c>
      <c r="J105" s="87">
        <v>46977114.019999973</v>
      </c>
      <c r="K105" s="87">
        <v>41754372.079999998</v>
      </c>
      <c r="L105" s="87">
        <v>47101871.300000019</v>
      </c>
      <c r="M105" s="87">
        <v>44920963.490000002</v>
      </c>
      <c r="N105" s="87">
        <v>43889720.369999997</v>
      </c>
      <c r="O105" s="87">
        <v>44535467.409999996</v>
      </c>
      <c r="P105" s="87">
        <v>53967463.813333347</v>
      </c>
      <c r="Q105" s="87">
        <v>53967463.813333347</v>
      </c>
      <c r="R105" s="87">
        <v>53967463.813333347</v>
      </c>
      <c r="S105" s="112">
        <f t="shared" si="21"/>
        <v>560248789.56000006</v>
      </c>
      <c r="T105" s="464">
        <f t="shared" si="22"/>
        <v>9.828236431829346</v>
      </c>
      <c r="V105" s="311"/>
    </row>
    <row r="106" spans="1:23">
      <c r="A106" s="116" t="str">
        <f t="shared" si="18"/>
        <v>412p</v>
      </c>
      <c r="B106" s="573" t="str">
        <f>+VLOOKUP(LEFT($A106,LEN(A106)-1)*1,Master!$D$29:$G$228,4,FALSE)</f>
        <v>Ostala lična primanja</v>
      </c>
      <c r="C106" s="574"/>
      <c r="D106" s="574"/>
      <c r="E106" s="574"/>
      <c r="F106" s="574"/>
      <c r="G106" s="87">
        <v>137001.32999999999</v>
      </c>
      <c r="H106" s="87">
        <v>1212395.8600000001</v>
      </c>
      <c r="I106" s="87">
        <v>946225.55</v>
      </c>
      <c r="J106" s="87">
        <v>1448549.91</v>
      </c>
      <c r="K106" s="87">
        <v>1078145.3399999999</v>
      </c>
      <c r="L106" s="87">
        <v>2203226.2300000004</v>
      </c>
      <c r="M106" s="87">
        <v>1651284.02</v>
      </c>
      <c r="N106" s="87">
        <v>1322412.92</v>
      </c>
      <c r="O106" s="87">
        <v>1530315.4199999992</v>
      </c>
      <c r="P106" s="87">
        <v>2596726.726666667</v>
      </c>
      <c r="Q106" s="87">
        <v>2596726.726666667</v>
      </c>
      <c r="R106" s="87">
        <v>2586888.726666667</v>
      </c>
      <c r="S106" s="112">
        <f t="shared" si="21"/>
        <v>19309898.760000002</v>
      </c>
      <c r="T106" s="464">
        <f t="shared" si="22"/>
        <v>0.33874638200828017</v>
      </c>
      <c r="V106" s="311"/>
    </row>
    <row r="107" spans="1:23">
      <c r="A107" s="116" t="str">
        <f t="shared" si="18"/>
        <v>413p</v>
      </c>
      <c r="B107" s="573" t="str">
        <f>+VLOOKUP(LEFT($A107,LEN(A107)-1)*1,Master!$D$29:$G$228,4,FALSE)</f>
        <v>Rashodi za materijal</v>
      </c>
      <c r="C107" s="574"/>
      <c r="D107" s="574"/>
      <c r="E107" s="574"/>
      <c r="F107" s="574"/>
      <c r="G107" s="87">
        <v>140825.03</v>
      </c>
      <c r="H107" s="87">
        <v>3489117.82</v>
      </c>
      <c r="I107" s="87">
        <v>2628375.67</v>
      </c>
      <c r="J107" s="87">
        <v>2038640.9</v>
      </c>
      <c r="K107" s="87">
        <v>1012773.5900000001</v>
      </c>
      <c r="L107" s="87">
        <v>4898255.55</v>
      </c>
      <c r="M107" s="87">
        <v>2338020.8000000012</v>
      </c>
      <c r="N107" s="87">
        <v>4632464.3099999996</v>
      </c>
      <c r="O107" s="87">
        <v>2320647.6999999997</v>
      </c>
      <c r="P107" s="87">
        <v>8236382.3600000003</v>
      </c>
      <c r="Q107" s="87">
        <v>8236382.3600000003</v>
      </c>
      <c r="R107" s="87">
        <v>8210640.7600000063</v>
      </c>
      <c r="S107" s="112">
        <f t="shared" si="21"/>
        <v>48182526.850000001</v>
      </c>
      <c r="T107" s="464">
        <f t="shared" si="22"/>
        <v>0.84524817293523258</v>
      </c>
      <c r="V107" s="311"/>
    </row>
    <row r="108" spans="1:23">
      <c r="A108" s="116" t="str">
        <f t="shared" si="18"/>
        <v>414p</v>
      </c>
      <c r="B108" s="573" t="str">
        <f>+VLOOKUP(LEFT($A108,LEN(A108)-1)*1,Master!$D$29:$G$228,4,FALSE)</f>
        <v>Rashodi za usluge</v>
      </c>
      <c r="C108" s="574"/>
      <c r="D108" s="574"/>
      <c r="E108" s="574"/>
      <c r="F108" s="574"/>
      <c r="G108" s="87">
        <v>1088181.68</v>
      </c>
      <c r="H108" s="87">
        <v>2912682.95</v>
      </c>
      <c r="I108" s="87">
        <v>4471137.08</v>
      </c>
      <c r="J108" s="87">
        <v>6152655.29</v>
      </c>
      <c r="K108" s="87">
        <v>2627348.3200000003</v>
      </c>
      <c r="L108" s="87">
        <v>5667722.6900000004</v>
      </c>
      <c r="M108" s="87">
        <v>3971417.36</v>
      </c>
      <c r="N108" s="87">
        <v>4243743.3099999996</v>
      </c>
      <c r="O108" s="87">
        <v>4864024.1500000004</v>
      </c>
      <c r="P108" s="87">
        <v>10058637.546666674</v>
      </c>
      <c r="Q108" s="87">
        <v>10058637.546666674</v>
      </c>
      <c r="R108" s="87">
        <v>10058637.546666674</v>
      </c>
      <c r="S108" s="112">
        <f t="shared" si="21"/>
        <v>66174825.470000021</v>
      </c>
      <c r="T108" s="464">
        <f t="shared" si="22"/>
        <v>1.1608803850606979</v>
      </c>
      <c r="V108" s="311"/>
    </row>
    <row r="109" spans="1:23">
      <c r="A109" s="116" t="str">
        <f t="shared" si="18"/>
        <v>415p</v>
      </c>
      <c r="B109" s="573" t="str">
        <f>+VLOOKUP(LEFT($A109,LEN(A109)-1)*1,Master!$D$29:$G$228,4,FALSE)</f>
        <v>Rashodi za tekuće održavanje</v>
      </c>
      <c r="C109" s="574"/>
      <c r="D109" s="574"/>
      <c r="E109" s="574"/>
      <c r="F109" s="574"/>
      <c r="G109" s="87">
        <v>51153.02</v>
      </c>
      <c r="H109" s="87">
        <v>1786959.03</v>
      </c>
      <c r="I109" s="87">
        <v>1812618.69</v>
      </c>
      <c r="J109" s="87">
        <v>1718005.5900000003</v>
      </c>
      <c r="K109" s="87">
        <v>1522624.21</v>
      </c>
      <c r="L109" s="87">
        <v>1758456.5100000002</v>
      </c>
      <c r="M109" s="87">
        <v>1898548.19</v>
      </c>
      <c r="N109" s="87">
        <v>1129451.4900000002</v>
      </c>
      <c r="O109" s="87">
        <v>2940859.11</v>
      </c>
      <c r="P109" s="87">
        <v>4461159.9499999993</v>
      </c>
      <c r="Q109" s="87">
        <v>4461159.9499999993</v>
      </c>
      <c r="R109" s="87">
        <v>4461159.9499999993</v>
      </c>
      <c r="S109" s="112">
        <f t="shared" si="21"/>
        <v>28002155.689999998</v>
      </c>
      <c r="T109" s="464">
        <f t="shared" si="22"/>
        <v>0.49123141691811095</v>
      </c>
      <c r="V109" s="311"/>
    </row>
    <row r="110" spans="1:23">
      <c r="A110" s="116" t="str">
        <f t="shared" si="18"/>
        <v>416p</v>
      </c>
      <c r="B110" s="573" t="str">
        <f>+VLOOKUP(LEFT($A110,LEN(A110)-1)*1,Master!$D$29:$G$228,4,FALSE)</f>
        <v>Kamate</v>
      </c>
      <c r="C110" s="574"/>
      <c r="D110" s="574"/>
      <c r="E110" s="574"/>
      <c r="F110" s="574"/>
      <c r="G110" s="87">
        <v>3854762.25</v>
      </c>
      <c r="H110" s="87">
        <v>1270344.19</v>
      </c>
      <c r="I110" s="87">
        <v>949082.56</v>
      </c>
      <c r="J110" s="87">
        <v>27195621.07</v>
      </c>
      <c r="K110" s="87">
        <v>4588473.78</v>
      </c>
      <c r="L110" s="87">
        <v>1216799.03</v>
      </c>
      <c r="M110" s="87">
        <v>3784062.82</v>
      </c>
      <c r="N110" s="87">
        <v>1331665.0299999998</v>
      </c>
      <c r="O110" s="87">
        <v>13564532.83</v>
      </c>
      <c r="P110" s="87">
        <v>4036426.7599999993</v>
      </c>
      <c r="Q110" s="87">
        <v>4036426.7599999993</v>
      </c>
      <c r="R110" s="87">
        <v>26608843.629999999</v>
      </c>
      <c r="S110" s="112">
        <f t="shared" si="21"/>
        <v>92437040.709999993</v>
      </c>
      <c r="T110" s="464">
        <f t="shared" si="22"/>
        <v>1.6215886729001472</v>
      </c>
      <c r="V110" s="311"/>
    </row>
    <row r="111" spans="1:23">
      <c r="A111" s="116" t="str">
        <f t="shared" si="18"/>
        <v>417p</v>
      </c>
      <c r="B111" s="573" t="str">
        <f>+VLOOKUP(LEFT($A111,LEN(A111)-1)*1,Master!$D$29:$G$228,4,FALSE)</f>
        <v>Renta</v>
      </c>
      <c r="C111" s="574"/>
      <c r="D111" s="574"/>
      <c r="E111" s="574"/>
      <c r="F111" s="574"/>
      <c r="G111" s="87">
        <v>222069.04</v>
      </c>
      <c r="H111" s="87">
        <v>743329.49</v>
      </c>
      <c r="I111" s="87">
        <v>821318.4</v>
      </c>
      <c r="J111" s="87">
        <v>1247632.42</v>
      </c>
      <c r="K111" s="87">
        <v>498993.7</v>
      </c>
      <c r="L111" s="87">
        <v>995508.2</v>
      </c>
      <c r="M111" s="87">
        <v>1038790.1100000001</v>
      </c>
      <c r="N111" s="87">
        <v>884250.45000000007</v>
      </c>
      <c r="O111" s="87">
        <v>1095625.8400000003</v>
      </c>
      <c r="P111" s="87">
        <v>1375364.1133333328</v>
      </c>
      <c r="Q111" s="87">
        <v>1375364.1133333328</v>
      </c>
      <c r="R111" s="87">
        <v>1375364.1133333328</v>
      </c>
      <c r="S111" s="112">
        <f t="shared" si="21"/>
        <v>11673609.99</v>
      </c>
      <c r="T111" s="464">
        <f t="shared" si="22"/>
        <v>0.20478580432952073</v>
      </c>
      <c r="V111" s="311"/>
    </row>
    <row r="112" spans="1:23">
      <c r="A112" s="116" t="str">
        <f t="shared" si="18"/>
        <v>418p</v>
      </c>
      <c r="B112" s="573" t="str">
        <f>+VLOOKUP(LEFT($A112,LEN(A112)-1)*1,Master!$D$29:$G$228,4,FALSE)</f>
        <v>Subvencije</v>
      </c>
      <c r="C112" s="574"/>
      <c r="D112" s="574"/>
      <c r="E112" s="574"/>
      <c r="F112" s="574"/>
      <c r="G112" s="87">
        <v>511006.04</v>
      </c>
      <c r="H112" s="87">
        <v>2686343.5</v>
      </c>
      <c r="I112" s="87">
        <v>4730535.5999999996</v>
      </c>
      <c r="J112" s="87">
        <v>6972651.8400000008</v>
      </c>
      <c r="K112" s="87">
        <v>2647649.44</v>
      </c>
      <c r="L112" s="87">
        <v>3319529.0100000002</v>
      </c>
      <c r="M112" s="87">
        <v>3592301.72</v>
      </c>
      <c r="N112" s="87">
        <v>3747108.6899999995</v>
      </c>
      <c r="O112" s="87">
        <v>6868760.4699999997</v>
      </c>
      <c r="P112" s="87">
        <v>10584907.556666669</v>
      </c>
      <c r="Q112" s="87">
        <v>10584907.556666669</v>
      </c>
      <c r="R112" s="87">
        <v>10584907.556666669</v>
      </c>
      <c r="S112" s="112">
        <f t="shared" si="21"/>
        <v>66830608.980000019</v>
      </c>
      <c r="T112" s="464">
        <f t="shared" si="22"/>
        <v>1.1723845516104137</v>
      </c>
      <c r="V112" s="311"/>
    </row>
    <row r="113" spans="1:22">
      <c r="A113" s="116" t="str">
        <f t="shared" si="18"/>
        <v>419p</v>
      </c>
      <c r="B113" s="573" t="str">
        <f>+VLOOKUP(LEFT($A113,LEN(A113)-1)*1,Master!$D$29:$G$228,4,FALSE)</f>
        <v>Ostali izdaci</v>
      </c>
      <c r="C113" s="574"/>
      <c r="D113" s="574"/>
      <c r="E113" s="574"/>
      <c r="F113" s="574"/>
      <c r="G113" s="87">
        <v>653499.35</v>
      </c>
      <c r="H113" s="87">
        <v>3022013.14</v>
      </c>
      <c r="I113" s="87">
        <v>3078694.62</v>
      </c>
      <c r="J113" s="87">
        <v>3065313.290000001</v>
      </c>
      <c r="K113" s="87">
        <v>2982573.9299999988</v>
      </c>
      <c r="L113" s="87">
        <v>4726257.419999999</v>
      </c>
      <c r="M113" s="87">
        <v>4643967.5999999996</v>
      </c>
      <c r="N113" s="87">
        <v>2835259.1899999995</v>
      </c>
      <c r="O113" s="87">
        <v>2654237.6199999996</v>
      </c>
      <c r="P113" s="87">
        <v>12403182.783333331</v>
      </c>
      <c r="Q113" s="87">
        <v>12403182.783333331</v>
      </c>
      <c r="R113" s="87">
        <v>12403182.783333331</v>
      </c>
      <c r="S113" s="112">
        <f t="shared" si="21"/>
        <v>64871364.50999999</v>
      </c>
      <c r="T113" s="464">
        <f t="shared" si="22"/>
        <v>1.1380142535611533</v>
      </c>
      <c r="V113" s="311"/>
    </row>
    <row r="114" spans="1:22">
      <c r="A114" s="116" t="str">
        <f t="shared" si="18"/>
        <v>42p</v>
      </c>
      <c r="B114" s="569" t="str">
        <f>+VLOOKUP(LEFT($A114,LEN(A114)-1)*1,Master!$D$29:$G$228,4,FALSE)</f>
        <v>Transferi za socijalnu zaštitu</v>
      </c>
      <c r="C114" s="570"/>
      <c r="D114" s="570"/>
      <c r="E114" s="570"/>
      <c r="F114" s="570"/>
      <c r="G114" s="84">
        <f t="shared" ref="G114:R114" si="26">+SUM(G115:G119)</f>
        <v>43461857.619999997</v>
      </c>
      <c r="H114" s="84">
        <f t="shared" si="26"/>
        <v>49030666.979999997</v>
      </c>
      <c r="I114" s="84">
        <f t="shared" si="26"/>
        <v>50283198.670000002</v>
      </c>
      <c r="J114" s="84">
        <f t="shared" si="26"/>
        <v>49157743.099999957</v>
      </c>
      <c r="K114" s="84">
        <f t="shared" si="26"/>
        <v>51083547.040000007</v>
      </c>
      <c r="L114" s="84">
        <f t="shared" si="26"/>
        <v>53813247.140000008</v>
      </c>
      <c r="M114" s="84">
        <f t="shared" si="26"/>
        <v>55873905.100000001</v>
      </c>
      <c r="N114" s="84">
        <f t="shared" si="26"/>
        <v>54392412.859999999</v>
      </c>
      <c r="O114" s="84">
        <f t="shared" si="26"/>
        <v>55114295.500000015</v>
      </c>
      <c r="P114" s="84">
        <f t="shared" si="26"/>
        <v>78609110.530000016</v>
      </c>
      <c r="Q114" s="84">
        <f t="shared" si="26"/>
        <v>78609110.530000016</v>
      </c>
      <c r="R114" s="84">
        <f t="shared" si="26"/>
        <v>78609110.530000016</v>
      </c>
      <c r="S114" s="113">
        <f t="shared" si="21"/>
        <v>698038205.5999999</v>
      </c>
      <c r="T114" s="465">
        <f t="shared" si="22"/>
        <v>12.245424980703106</v>
      </c>
      <c r="V114" s="311"/>
    </row>
    <row r="115" spans="1:22">
      <c r="A115" s="116" t="str">
        <f t="shared" si="18"/>
        <v>421p</v>
      </c>
      <c r="B115" s="573" t="str">
        <f>+VLOOKUP(LEFT($A115,LEN(A115)-1)*1,Master!$D$29:$G$228,4,FALSE)</f>
        <v>Prava iz oblasti socijalne zaštite</v>
      </c>
      <c r="C115" s="574"/>
      <c r="D115" s="574"/>
      <c r="E115" s="574"/>
      <c r="F115" s="574"/>
      <c r="G115" s="87">
        <v>8200110.4000000004</v>
      </c>
      <c r="H115" s="87">
        <v>8172331.5999999996</v>
      </c>
      <c r="I115" s="87">
        <v>8605052.6899999995</v>
      </c>
      <c r="J115" s="87">
        <v>8606006.9800000004</v>
      </c>
      <c r="K115" s="87">
        <v>11845768.039999999</v>
      </c>
      <c r="L115" s="87">
        <v>11977864.439999999</v>
      </c>
      <c r="M115" s="87">
        <v>11864302.59</v>
      </c>
      <c r="N115" s="87">
        <v>12016260.289999999</v>
      </c>
      <c r="O115" s="87">
        <v>12319371.459999999</v>
      </c>
      <c r="P115" s="87">
        <v>17084310.503333334</v>
      </c>
      <c r="Q115" s="87">
        <v>17084310.503333334</v>
      </c>
      <c r="R115" s="87">
        <v>17084310.503333334</v>
      </c>
      <c r="S115" s="112">
        <f t="shared" si="21"/>
        <v>144860000</v>
      </c>
      <c r="T115" s="464">
        <f t="shared" si="22"/>
        <v>2.5412251771805487</v>
      </c>
      <c r="V115" s="311"/>
    </row>
    <row r="116" spans="1:22">
      <c r="A116" s="116" t="str">
        <f t="shared" si="18"/>
        <v>422p</v>
      </c>
      <c r="B116" s="573" t="str">
        <f>+VLOOKUP(LEFT($A116,LEN(A116)-1)*1,Master!$D$29:$G$228,4,FALSE)</f>
        <v>Sredstva za tehnološke viškove</v>
      </c>
      <c r="C116" s="574"/>
      <c r="D116" s="574"/>
      <c r="E116" s="574"/>
      <c r="F116" s="574"/>
      <c r="G116" s="87">
        <v>0</v>
      </c>
      <c r="H116" s="87">
        <v>2498429.92</v>
      </c>
      <c r="I116" s="87">
        <v>2440778.17</v>
      </c>
      <c r="J116" s="87">
        <v>2410229.4499999997</v>
      </c>
      <c r="K116" s="87">
        <v>2318949.15</v>
      </c>
      <c r="L116" s="87">
        <v>2335079.0099999998</v>
      </c>
      <c r="M116" s="87">
        <v>2195965.0099999998</v>
      </c>
      <c r="N116" s="87">
        <v>2189311.09</v>
      </c>
      <c r="O116" s="87">
        <v>2177499.94</v>
      </c>
      <c r="P116" s="87">
        <v>3824082.1866666665</v>
      </c>
      <c r="Q116" s="87">
        <v>3824082.1866666665</v>
      </c>
      <c r="R116" s="87">
        <v>3824082.1866666665</v>
      </c>
      <c r="S116" s="112">
        <f t="shared" si="21"/>
        <v>30038488.300000001</v>
      </c>
      <c r="T116" s="464">
        <f t="shared" si="22"/>
        <v>0.52695404357588937</v>
      </c>
      <c r="V116" s="311"/>
    </row>
    <row r="117" spans="1:22">
      <c r="A117" s="116" t="str">
        <f t="shared" si="18"/>
        <v>423p</v>
      </c>
      <c r="B117" s="573" t="str">
        <f>+VLOOKUP(LEFT($A117,LEN(A117)-1)*1,Master!$D$29:$G$228,4,FALSE)</f>
        <v>Prava iz oblasti penzijskog i invalidskog osiguranja</v>
      </c>
      <c r="C117" s="574"/>
      <c r="D117" s="574"/>
      <c r="E117" s="574"/>
      <c r="F117" s="574"/>
      <c r="G117" s="87">
        <v>35149513.420000002</v>
      </c>
      <c r="H117" s="87">
        <v>36354430.689999998</v>
      </c>
      <c r="I117" s="87">
        <v>36069832.590000004</v>
      </c>
      <c r="J117" s="87">
        <v>36181040.329999961</v>
      </c>
      <c r="K117" s="87">
        <v>35168591.790000007</v>
      </c>
      <c r="L117" s="87">
        <v>37894311.820000008</v>
      </c>
      <c r="M117" s="87">
        <v>37880340.310000002</v>
      </c>
      <c r="N117" s="87">
        <v>38069530.059999995</v>
      </c>
      <c r="O117" s="87">
        <v>38038058.110000014</v>
      </c>
      <c r="P117" s="87">
        <v>54747985.703333363</v>
      </c>
      <c r="Q117" s="87">
        <v>54747985.703333363</v>
      </c>
      <c r="R117" s="87">
        <v>54747985.703333363</v>
      </c>
      <c r="S117" s="112">
        <f t="shared" si="21"/>
        <v>495049606.23000014</v>
      </c>
      <c r="T117" s="464">
        <f t="shared" si="22"/>
        <v>8.6844713744649518</v>
      </c>
      <c r="V117" s="311"/>
    </row>
    <row r="118" spans="1:22">
      <c r="A118" s="116" t="str">
        <f t="shared" si="18"/>
        <v>424p</v>
      </c>
      <c r="B118" s="573" t="str">
        <f>+VLOOKUP(LEFT($A118,LEN(A118)-1)*1,Master!$D$29:$G$228,4,FALSE)</f>
        <v>Ostala prava iz oblasti zdravstvene zaštite</v>
      </c>
      <c r="C118" s="574"/>
      <c r="D118" s="574"/>
      <c r="E118" s="574"/>
      <c r="F118" s="574"/>
      <c r="G118" s="87">
        <v>103430</v>
      </c>
      <c r="H118" s="87">
        <v>1069904.71</v>
      </c>
      <c r="I118" s="87">
        <v>1609138.94</v>
      </c>
      <c r="J118" s="87">
        <v>1370159.43</v>
      </c>
      <c r="K118" s="87">
        <v>659345.03</v>
      </c>
      <c r="L118" s="87">
        <v>804103.22</v>
      </c>
      <c r="M118" s="87">
        <v>2611388.4699999997</v>
      </c>
      <c r="N118" s="87">
        <v>1036291.4600000001</v>
      </c>
      <c r="O118" s="87">
        <v>1292962.81</v>
      </c>
      <c r="P118" s="87">
        <v>1374407.6299999994</v>
      </c>
      <c r="Q118" s="87">
        <v>1374407.6299999994</v>
      </c>
      <c r="R118" s="87">
        <v>1374407.6299999994</v>
      </c>
      <c r="S118" s="112">
        <f t="shared" si="21"/>
        <v>14679946.959999997</v>
      </c>
      <c r="T118" s="464">
        <f t="shared" si="22"/>
        <v>0.25752485720300322</v>
      </c>
      <c r="V118" s="311"/>
    </row>
    <row r="119" spans="1:22">
      <c r="A119" s="116" t="str">
        <f t="shared" si="18"/>
        <v>425p</v>
      </c>
      <c r="B119" s="573" t="str">
        <f>+VLOOKUP(LEFT($A119,LEN(A119)-1)*1,Master!$D$29:$G$228,4,FALSE)</f>
        <v>Ostala prava iz zdravstvenog osiguranja</v>
      </c>
      <c r="C119" s="574"/>
      <c r="D119" s="574"/>
      <c r="E119" s="574"/>
      <c r="F119" s="574"/>
      <c r="G119" s="87">
        <v>8803.7999999999993</v>
      </c>
      <c r="H119" s="87">
        <v>935570.06</v>
      </c>
      <c r="I119" s="87">
        <v>1558396.28</v>
      </c>
      <c r="J119" s="87">
        <v>590306.91</v>
      </c>
      <c r="K119" s="87">
        <v>1090893.03</v>
      </c>
      <c r="L119" s="87">
        <v>801888.65</v>
      </c>
      <c r="M119" s="87">
        <v>1321908.72</v>
      </c>
      <c r="N119" s="87">
        <v>1081019.96</v>
      </c>
      <c r="O119" s="87">
        <v>1286403.18</v>
      </c>
      <c r="P119" s="87">
        <v>1578324.5066666668</v>
      </c>
      <c r="Q119" s="87">
        <v>1578324.5066666668</v>
      </c>
      <c r="R119" s="87">
        <v>1578324.5066666668</v>
      </c>
      <c r="S119" s="112">
        <f t="shared" si="21"/>
        <v>13410164.110000003</v>
      </c>
      <c r="T119" s="464">
        <f t="shared" si="22"/>
        <v>0.23524952827871734</v>
      </c>
      <c r="V119" s="311"/>
    </row>
    <row r="120" spans="1:22">
      <c r="A120" s="116" t="str">
        <f t="shared" si="18"/>
        <v>43p</v>
      </c>
      <c r="B120" s="571" t="str">
        <f>+VLOOKUP(LEFT($A120,LEN(A120)-1)*1,Master!$D$29:$G$228,4,FALSE)</f>
        <v xml:space="preserve">Transferi institucijama, pojedincima, nevladinom i javnom sektoru </v>
      </c>
      <c r="C120" s="572"/>
      <c r="D120" s="572"/>
      <c r="E120" s="572"/>
      <c r="F120" s="572"/>
      <c r="G120" s="83">
        <v>7351440.8700000001</v>
      </c>
      <c r="H120" s="83">
        <v>23788257.170000002</v>
      </c>
      <c r="I120" s="83">
        <v>30704364.969999999</v>
      </c>
      <c r="J120" s="83">
        <v>28731832.689999998</v>
      </c>
      <c r="K120" s="83">
        <v>16386723.549999999</v>
      </c>
      <c r="L120" s="83">
        <v>26579249.149999995</v>
      </c>
      <c r="M120" s="83">
        <v>21692065.57</v>
      </c>
      <c r="N120" s="83">
        <v>18751731.399999999</v>
      </c>
      <c r="O120" s="83">
        <v>29316367.350000001</v>
      </c>
      <c r="P120" s="83">
        <v>36220465.866666652</v>
      </c>
      <c r="Q120" s="83">
        <v>36220465.866666652</v>
      </c>
      <c r="R120" s="83">
        <v>36220465.866666652</v>
      </c>
      <c r="S120" s="113">
        <f>+SUM(G120:R120)</f>
        <v>311963430.31999999</v>
      </c>
      <c r="T120" s="465">
        <f t="shared" si="22"/>
        <v>5.4726585909760717</v>
      </c>
      <c r="V120" s="311"/>
    </row>
    <row r="121" spans="1:22">
      <c r="A121" s="116" t="str">
        <f t="shared" si="18"/>
        <v>44p</v>
      </c>
      <c r="B121" s="571" t="str">
        <f>+VLOOKUP(LEFT($A121,LEN(A121)-1)*1,Master!$D$29:$G$228,4,FALSE)</f>
        <v>Kapitalni izdaci</v>
      </c>
      <c r="C121" s="572"/>
      <c r="D121" s="572"/>
      <c r="E121" s="572"/>
      <c r="F121" s="572"/>
      <c r="G121" s="83">
        <v>16016474.34</v>
      </c>
      <c r="H121" s="83">
        <v>11650538.710000001</v>
      </c>
      <c r="I121" s="83">
        <v>7995861.7599999998</v>
      </c>
      <c r="J121" s="83">
        <v>25620437.929999996</v>
      </c>
      <c r="K121" s="83">
        <v>18640717.440000001</v>
      </c>
      <c r="L121" s="83">
        <v>23469892.199999999</v>
      </c>
      <c r="M121" s="83">
        <v>25045170.949999999</v>
      </c>
      <c r="N121" s="83">
        <v>7683091.5899999999</v>
      </c>
      <c r="O121" s="83">
        <v>16121479.17</v>
      </c>
      <c r="P121" s="83">
        <v>41814542.016666658</v>
      </c>
      <c r="Q121" s="83">
        <v>41814542.016666658</v>
      </c>
      <c r="R121" s="83">
        <v>41814542.016666658</v>
      </c>
      <c r="S121" s="113">
        <f>+SUM(G121:R121)</f>
        <v>277687290.13999993</v>
      </c>
      <c r="T121" s="465">
        <f t="shared" si="22"/>
        <v>4.8713649943863579</v>
      </c>
      <c r="U121" s="311"/>
      <c r="V121" s="311"/>
    </row>
    <row r="122" spans="1:22">
      <c r="A122" s="116" t="str">
        <f t="shared" si="18"/>
        <v>451p</v>
      </c>
      <c r="B122" s="563" t="str">
        <f>+VLOOKUP(LEFT($A122,LEN(A122)-1)*1,Master!$D$29:$G$228,4,FALSE)</f>
        <v>Pozajmice i krediti</v>
      </c>
      <c r="C122" s="564"/>
      <c r="D122" s="564"/>
      <c r="E122" s="564"/>
      <c r="F122" s="564"/>
      <c r="G122" s="87">
        <v>0</v>
      </c>
      <c r="H122" s="87">
        <v>248510</v>
      </c>
      <c r="I122" s="87">
        <v>1730</v>
      </c>
      <c r="J122" s="87">
        <v>302436</v>
      </c>
      <c r="K122" s="87">
        <v>260378</v>
      </c>
      <c r="L122" s="87">
        <v>700</v>
      </c>
      <c r="M122" s="87">
        <v>0</v>
      </c>
      <c r="N122" s="87">
        <v>350</v>
      </c>
      <c r="O122" s="87">
        <v>0</v>
      </c>
      <c r="P122" s="87">
        <v>619965.66666666674</v>
      </c>
      <c r="Q122" s="87">
        <v>619965.66666666674</v>
      </c>
      <c r="R122" s="87">
        <v>619965.66666666674</v>
      </c>
      <c r="S122" s="112">
        <f t="shared" si="21"/>
        <v>2674001</v>
      </c>
      <c r="T122" s="464">
        <f t="shared" si="22"/>
        <v>4.6909006385516809E-2</v>
      </c>
      <c r="U122" s="311"/>
      <c r="V122" s="311"/>
    </row>
    <row r="123" spans="1:22">
      <c r="A123" s="116" t="str">
        <f t="shared" si="18"/>
        <v>47p</v>
      </c>
      <c r="B123" s="563" t="str">
        <f>+VLOOKUP(LEFT($A123,LEN(A123)-1)*1,Master!$D$29:$G$228,4,FALSE)</f>
        <v>Rezerve</v>
      </c>
      <c r="C123" s="564"/>
      <c r="D123" s="564"/>
      <c r="E123" s="564"/>
      <c r="F123" s="564"/>
      <c r="G123" s="87">
        <v>265800</v>
      </c>
      <c r="H123" s="87">
        <v>495710</v>
      </c>
      <c r="I123" s="87">
        <v>1101664.26</v>
      </c>
      <c r="J123" s="87">
        <v>401200</v>
      </c>
      <c r="K123" s="87">
        <v>45800</v>
      </c>
      <c r="L123" s="87">
        <v>3114786.03</v>
      </c>
      <c r="M123" s="87">
        <v>5703477.5800000001</v>
      </c>
      <c r="N123" s="87">
        <v>1405979.19</v>
      </c>
      <c r="O123" s="87">
        <v>20100803.789999999</v>
      </c>
      <c r="P123" s="87">
        <v>22444044.24666667</v>
      </c>
      <c r="Q123" s="87">
        <v>22444044.24666667</v>
      </c>
      <c r="R123" s="87">
        <v>22444044.24666667</v>
      </c>
      <c r="S123" s="112">
        <f t="shared" si="21"/>
        <v>99967353.590000004</v>
      </c>
      <c r="T123" s="464">
        <f t="shared" si="22"/>
        <v>1.7536901549014106</v>
      </c>
      <c r="U123" s="311"/>
      <c r="V123" s="311"/>
    </row>
    <row r="124" spans="1:22">
      <c r="A124" s="116" t="str">
        <f t="shared" si="18"/>
        <v>462p</v>
      </c>
      <c r="B124" s="563" t="str">
        <f>+VLOOKUP(LEFT($A124,LEN(A124)-1)*1,Master!$D$29:$G$228,4,FALSE)</f>
        <v>Otplata garancija</v>
      </c>
      <c r="C124" s="564"/>
      <c r="D124" s="564"/>
      <c r="E124" s="564"/>
      <c r="F124" s="564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1</v>
      </c>
      <c r="S124" s="112">
        <f t="shared" si="21"/>
        <v>1</v>
      </c>
      <c r="T124" s="464">
        <f t="shared" si="22"/>
        <v>1.7542628587467546E-8</v>
      </c>
      <c r="U124" s="311"/>
      <c r="V124" s="311"/>
    </row>
    <row r="125" spans="1:22">
      <c r="A125" s="117" t="str">
        <f t="shared" si="18"/>
        <v>4630p</v>
      </c>
      <c r="B125" s="563" t="str">
        <f>+VLOOKUP(LEFT($A125,LEN(A125)-1)*1,Master!$D$29:$G$228,4,FALSE)</f>
        <v>Otplata obaveza iz prethodnog perioda</v>
      </c>
      <c r="C125" s="564"/>
      <c r="D125" s="564"/>
      <c r="E125" s="564"/>
      <c r="F125" s="564"/>
      <c r="G125" s="87">
        <v>17529055.329999998</v>
      </c>
      <c r="H125" s="87">
        <v>3946389.9</v>
      </c>
      <c r="I125" s="87">
        <v>2323374.4</v>
      </c>
      <c r="J125" s="87">
        <v>1211074.6399999999</v>
      </c>
      <c r="K125" s="87">
        <v>1145121.3300000003</v>
      </c>
      <c r="L125" s="87">
        <v>1002974.65</v>
      </c>
      <c r="M125" s="87">
        <v>2410972.5299999993</v>
      </c>
      <c r="N125" s="87">
        <v>791334.30999999994</v>
      </c>
      <c r="O125" s="87">
        <v>1107049.1300000001</v>
      </c>
      <c r="P125" s="87">
        <v>1578531.8799999962</v>
      </c>
      <c r="Q125" s="87">
        <v>1578531.8799999962</v>
      </c>
      <c r="R125" s="87">
        <v>1578531.8799999962</v>
      </c>
      <c r="S125" s="103">
        <f>+SUM(G125:R125)</f>
        <v>36202941.859999977</v>
      </c>
      <c r="T125" s="472">
        <f t="shared" si="22"/>
        <v>0.63509476282366117</v>
      </c>
      <c r="U125" s="311"/>
      <c r="V125" s="311"/>
    </row>
    <row r="126" spans="1:22" ht="13.5" thickBot="1">
      <c r="A126" s="116" t="str">
        <f t="shared" si="18"/>
        <v>1005p</v>
      </c>
      <c r="B126" s="563" t="str">
        <f>+VLOOKUP(LEFT($A126,LEN(A126)-1)*1,Master!$D$29:$G$228,4,FALSE)</f>
        <v>Neto povećanje obaveza</v>
      </c>
      <c r="C126" s="564"/>
      <c r="D126" s="564"/>
      <c r="E126" s="564"/>
      <c r="F126" s="564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565" t="str">
        <f>+VLOOKUP(LEFT($A127,LEN(A127)-1)*1,Master!$D$29:$G$225,4,FALSE)</f>
        <v>Suficit / deficit</v>
      </c>
      <c r="C127" s="566"/>
      <c r="D127" s="566"/>
      <c r="E127" s="566"/>
      <c r="F127" s="566"/>
      <c r="G127" s="93">
        <f t="shared" ref="G127:R127" si="27">+G84-G103</f>
        <v>-27708044.210000038</v>
      </c>
      <c r="H127" s="93">
        <f t="shared" si="27"/>
        <v>-26184314.520000011</v>
      </c>
      <c r="I127" s="93">
        <f t="shared" si="27"/>
        <v>31956870.970000029</v>
      </c>
      <c r="J127" s="93">
        <f t="shared" si="27"/>
        <v>-20283584.369999915</v>
      </c>
      <c r="K127" s="93">
        <f t="shared" si="27"/>
        <v>8454993.5200000107</v>
      </c>
      <c r="L127" s="93">
        <f t="shared" si="27"/>
        <v>-10807149.019999981</v>
      </c>
      <c r="M127" s="93">
        <f t="shared" si="27"/>
        <v>-12762172.130000025</v>
      </c>
      <c r="N127" s="93">
        <f t="shared" si="27"/>
        <v>47349499.159999937</v>
      </c>
      <c r="O127" s="93">
        <f t="shared" si="27"/>
        <v>-26530659.460000008</v>
      </c>
      <c r="P127" s="93">
        <f t="shared" si="27"/>
        <v>-148561818.74666664</v>
      </c>
      <c r="Q127" s="93">
        <f t="shared" si="27"/>
        <v>-152725507.16666663</v>
      </c>
      <c r="R127" s="93">
        <f t="shared" si="27"/>
        <v>-115435017.19666666</v>
      </c>
      <c r="S127" s="106">
        <f t="shared" si="21"/>
        <v>-453236903.1699999</v>
      </c>
      <c r="T127" s="470">
        <f t="shared" si="22"/>
        <v>-7.9509666544452999</v>
      </c>
      <c r="U127" s="311"/>
      <c r="V127" s="311"/>
    </row>
    <row r="128" spans="1:22" ht="13.5" thickBot="1">
      <c r="A128" s="117" t="str">
        <f t="shared" si="18"/>
        <v>1001p</v>
      </c>
      <c r="B128" s="567" t="str">
        <f>+VLOOKUP(LEFT($A128,LEN(A128)-1)*1,Master!$D$29:$G$225,4,FALSE)</f>
        <v>Primarni suficit/deficit</v>
      </c>
      <c r="C128" s="568"/>
      <c r="D128" s="568"/>
      <c r="E128" s="568"/>
      <c r="F128" s="568"/>
      <c r="G128" s="94">
        <f>+G127+G110</f>
        <v>-23853281.960000038</v>
      </c>
      <c r="H128" s="94">
        <f t="shared" ref="H128:R128" si="28">+H127+H110</f>
        <v>-24913970.330000009</v>
      </c>
      <c r="I128" s="94">
        <f t="shared" si="28"/>
        <v>32905953.530000027</v>
      </c>
      <c r="J128" s="94">
        <f t="shared" si="28"/>
        <v>6912036.7000000849</v>
      </c>
      <c r="K128" s="94">
        <f t="shared" si="28"/>
        <v>13043467.300000012</v>
      </c>
      <c r="L128" s="94">
        <f t="shared" si="28"/>
        <v>-9590349.9899999816</v>
      </c>
      <c r="M128" s="94">
        <f t="shared" si="28"/>
        <v>-8978109.3100000247</v>
      </c>
      <c r="N128" s="94">
        <f t="shared" si="28"/>
        <v>48681164.189999938</v>
      </c>
      <c r="O128" s="94">
        <f t="shared" si="28"/>
        <v>-12966126.630000008</v>
      </c>
      <c r="P128" s="94">
        <f t="shared" si="28"/>
        <v>-144525391.98666665</v>
      </c>
      <c r="Q128" s="94">
        <f t="shared" si="28"/>
        <v>-148689080.40666664</v>
      </c>
      <c r="R128" s="94">
        <f t="shared" si="28"/>
        <v>-88826173.566666663</v>
      </c>
      <c r="S128" s="106">
        <f t="shared" si="21"/>
        <v>-360799862.45999998</v>
      </c>
      <c r="T128" s="470">
        <f t="shared" si="22"/>
        <v>-6.3293779815451545</v>
      </c>
      <c r="U128" s="311"/>
      <c r="V128" s="311"/>
    </row>
    <row r="129" spans="1:22">
      <c r="A129" s="117" t="str">
        <f t="shared" si="18"/>
        <v>46p</v>
      </c>
      <c r="B129" s="569" t="str">
        <f>+VLOOKUP(LEFT($A129,LEN(A129)-1)*1,Master!$D$29:$G$225,4,FALSE)</f>
        <v>Otplata dugova</v>
      </c>
      <c r="C129" s="570"/>
      <c r="D129" s="570"/>
      <c r="E129" s="570"/>
      <c r="F129" s="570"/>
      <c r="G129" s="84">
        <f>+SUM(G130:G131)</f>
        <v>28431258.969999999</v>
      </c>
      <c r="H129" s="84">
        <f t="shared" ref="H129:R129" si="29">+SUM(H130:H131)</f>
        <v>14209001.130000001</v>
      </c>
      <c r="I129" s="84">
        <f t="shared" si="29"/>
        <v>11671682.99</v>
      </c>
      <c r="J129" s="84">
        <f t="shared" si="29"/>
        <v>57474225.629999995</v>
      </c>
      <c r="K129" s="84">
        <f t="shared" si="29"/>
        <v>39081986.149999999</v>
      </c>
      <c r="L129" s="84">
        <f t="shared" si="29"/>
        <v>11628176.57</v>
      </c>
      <c r="M129" s="485">
        <f t="shared" ref="M129" si="30">+SUM(M130:M131)</f>
        <v>30399609.420000002</v>
      </c>
      <c r="N129" s="84">
        <f t="shared" si="29"/>
        <v>13945467.43</v>
      </c>
      <c r="O129" s="84">
        <f t="shared" si="29"/>
        <v>10059315</v>
      </c>
      <c r="P129" s="84">
        <f t="shared" si="29"/>
        <v>5778395.2733333334</v>
      </c>
      <c r="Q129" s="84">
        <f t="shared" si="29"/>
        <v>32377155.383333333</v>
      </c>
      <c r="R129" s="84">
        <f t="shared" si="29"/>
        <v>37097385.81333334</v>
      </c>
      <c r="S129" s="104">
        <f t="shared" si="21"/>
        <v>292153659.76000005</v>
      </c>
      <c r="T129" s="471">
        <f t="shared" si="22"/>
        <v>5.1251431436390433</v>
      </c>
      <c r="U129" s="311"/>
      <c r="V129" s="311"/>
    </row>
    <row r="130" spans="1:22">
      <c r="A130" s="117" t="str">
        <f t="shared" si="18"/>
        <v>4611p</v>
      </c>
      <c r="B130" s="561" t="str">
        <f>+VLOOKUP(LEFT($A130,LEN(A130)-1)*1,Master!$D$29:$G$225,4,FALSE)</f>
        <v>Otplata hartija od vrijednosti i kredita rezidentima</v>
      </c>
      <c r="C130" s="562"/>
      <c r="D130" s="562"/>
      <c r="E130" s="562"/>
      <c r="F130" s="562"/>
      <c r="G130" s="96">
        <v>2390495.08</v>
      </c>
      <c r="H130" s="96">
        <v>3087670.22</v>
      </c>
      <c r="I130" s="96">
        <v>2560106.65</v>
      </c>
      <c r="J130" s="96">
        <v>4658647.9099999992</v>
      </c>
      <c r="K130" s="96">
        <v>8572190.1199999992</v>
      </c>
      <c r="L130" s="96">
        <v>713784.35</v>
      </c>
      <c r="M130" s="96">
        <v>2437648.0699999998</v>
      </c>
      <c r="N130" s="96">
        <v>2374633.7599999998</v>
      </c>
      <c r="O130" s="96">
        <v>722146.47000000009</v>
      </c>
      <c r="P130" s="96">
        <v>2457849.3233333332</v>
      </c>
      <c r="Q130" s="96">
        <v>9233144.0033333339</v>
      </c>
      <c r="R130" s="96">
        <v>720539.80333333823</v>
      </c>
      <c r="S130" s="103">
        <f t="shared" si="21"/>
        <v>39928855.759999998</v>
      </c>
      <c r="T130" s="472">
        <f t="shared" si="22"/>
        <v>0.70045708652024419</v>
      </c>
      <c r="U130" s="311"/>
      <c r="V130" s="311"/>
    </row>
    <row r="131" spans="1:22" ht="13.5" thickBot="1">
      <c r="A131" s="117" t="str">
        <f t="shared" si="18"/>
        <v>4612p</v>
      </c>
      <c r="B131" s="563" t="str">
        <f>+VLOOKUP(LEFT($A131,LEN(A131)-1)*1,Master!$D$29:$G$225,4,FALSE)</f>
        <v>Otplata hartija od vrijednosti i kredita nerezidentima</v>
      </c>
      <c r="C131" s="564"/>
      <c r="D131" s="564"/>
      <c r="E131" s="564"/>
      <c r="F131" s="564"/>
      <c r="G131" s="96">
        <v>26040763.890000001</v>
      </c>
      <c r="H131" s="96">
        <v>11121330.91</v>
      </c>
      <c r="I131" s="96">
        <v>9111576.3399999999</v>
      </c>
      <c r="J131" s="96">
        <v>52815577.719999999</v>
      </c>
      <c r="K131" s="96">
        <v>30509796.030000001</v>
      </c>
      <c r="L131" s="96">
        <v>10914392.220000001</v>
      </c>
      <c r="M131" s="96">
        <v>27961961.350000001</v>
      </c>
      <c r="N131" s="96">
        <v>11570833.67</v>
      </c>
      <c r="O131" s="96">
        <v>9337168.5299999993</v>
      </c>
      <c r="P131" s="96">
        <v>3320545.95</v>
      </c>
      <c r="Q131" s="96">
        <v>23144011.379999999</v>
      </c>
      <c r="R131" s="96">
        <v>36376846.010000005</v>
      </c>
      <c r="S131" s="103">
        <f t="shared" si="21"/>
        <v>252224804</v>
      </c>
      <c r="T131" s="472">
        <f t="shared" si="22"/>
        <v>4.424686057118798</v>
      </c>
      <c r="U131" s="311"/>
      <c r="V131" s="311"/>
    </row>
    <row r="132" spans="1:22" ht="13.5" thickBot="1">
      <c r="A132" s="117" t="str">
        <f t="shared" si="18"/>
        <v>4418p</v>
      </c>
      <c r="B132" s="557" t="str">
        <f>+VLOOKUP(LEFT($A132,LEN(A132)-1)*1,Master!$D$29:$G$225,4,FALSE)</f>
        <v>Izdaci za kupovinu hartija od vrijednosti</v>
      </c>
      <c r="C132" s="558"/>
      <c r="D132" s="558"/>
      <c r="E132" s="558"/>
      <c r="F132" s="558"/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3536336.666666667</v>
      </c>
      <c r="Q132" s="93">
        <v>3536336.666666667</v>
      </c>
      <c r="R132" s="93">
        <v>3536336.666666667</v>
      </c>
      <c r="S132" s="449">
        <f t="shared" si="21"/>
        <v>10609010</v>
      </c>
      <c r="T132" s="479">
        <f t="shared" si="22"/>
        <v>0.18610992211072908</v>
      </c>
      <c r="U132" s="311"/>
      <c r="V132" s="311"/>
    </row>
    <row r="133" spans="1:22" ht="13.5" thickBot="1">
      <c r="A133" s="117" t="str">
        <f t="shared" si="18"/>
        <v>1002p</v>
      </c>
      <c r="B133" s="559" t="str">
        <f>+VLOOKUP(LEFT($A133,LEN(A133)-1)*1,Master!$D$29:$G$225,4,FALSE)</f>
        <v>Nedostajuća sredstva</v>
      </c>
      <c r="C133" s="560"/>
      <c r="D133" s="560"/>
      <c r="E133" s="560"/>
      <c r="F133" s="560"/>
      <c r="G133" s="77">
        <f t="shared" ref="G133:R133" si="31">+G127-G129-G132</f>
        <v>-56139303.180000037</v>
      </c>
      <c r="H133" s="77">
        <f t="shared" si="31"/>
        <v>-40393315.650000013</v>
      </c>
      <c r="I133" s="77">
        <f t="shared" si="31"/>
        <v>20285187.980000027</v>
      </c>
      <c r="J133" s="77">
        <f t="shared" si="31"/>
        <v>-77757809.999999911</v>
      </c>
      <c r="K133" s="77">
        <f t="shared" si="31"/>
        <v>-30626992.629999988</v>
      </c>
      <c r="L133" s="77">
        <f t="shared" si="31"/>
        <v>-22435325.589999981</v>
      </c>
      <c r="M133" s="77">
        <f t="shared" si="31"/>
        <v>-43161781.550000027</v>
      </c>
      <c r="N133" s="77">
        <f t="shared" si="31"/>
        <v>33404031.729999937</v>
      </c>
      <c r="O133" s="77">
        <f t="shared" si="31"/>
        <v>-36589974.460000008</v>
      </c>
      <c r="P133" s="77">
        <f t="shared" si="31"/>
        <v>-157876550.68666664</v>
      </c>
      <c r="Q133" s="77">
        <f t="shared" si="31"/>
        <v>-188638999.21666661</v>
      </c>
      <c r="R133" s="77">
        <f t="shared" si="31"/>
        <v>-156068739.67666665</v>
      </c>
      <c r="S133" s="109">
        <f t="shared" si="21"/>
        <v>-755999572.92999983</v>
      </c>
      <c r="T133" s="474">
        <f t="shared" si="22"/>
        <v>-13.26221972019507</v>
      </c>
      <c r="U133" s="311"/>
      <c r="V133" s="311"/>
    </row>
    <row r="134" spans="1:22" ht="13.5" thickBot="1">
      <c r="A134" s="117" t="str">
        <f t="shared" si="18"/>
        <v>1003p</v>
      </c>
      <c r="B134" s="557" t="str">
        <f>+VLOOKUP(LEFT($A134,LEN(A134)-1)*1,Master!$D$29:$G$225,4,FALSE)</f>
        <v>Finansiranje</v>
      </c>
      <c r="C134" s="558"/>
      <c r="D134" s="558"/>
      <c r="E134" s="558"/>
      <c r="F134" s="558"/>
      <c r="G134" s="93">
        <f t="shared" ref="G134:R134" si="32">+SUM(G135:G138)</f>
        <v>56139303.180000037</v>
      </c>
      <c r="H134" s="93">
        <f t="shared" si="32"/>
        <v>40393315.650000013</v>
      </c>
      <c r="I134" s="93">
        <f t="shared" si="32"/>
        <v>-20285187.980000027</v>
      </c>
      <c r="J134" s="93">
        <f t="shared" si="32"/>
        <v>77757809.999999911</v>
      </c>
      <c r="K134" s="93">
        <f t="shared" si="32"/>
        <v>30626992.629999988</v>
      </c>
      <c r="L134" s="93">
        <f t="shared" si="32"/>
        <v>22435325.589999981</v>
      </c>
      <c r="M134" s="93">
        <f t="shared" si="32"/>
        <v>43161781.550000027</v>
      </c>
      <c r="N134" s="93">
        <f t="shared" si="32"/>
        <v>-33404031.729999937</v>
      </c>
      <c r="O134" s="93">
        <f t="shared" si="32"/>
        <v>36589974.460000008</v>
      </c>
      <c r="P134" s="93">
        <f t="shared" si="32"/>
        <v>157876550.68666664</v>
      </c>
      <c r="Q134" s="93">
        <f t="shared" si="32"/>
        <v>188638999.21666661</v>
      </c>
      <c r="R134" s="93">
        <f t="shared" si="32"/>
        <v>156068739.67666665</v>
      </c>
      <c r="S134" s="110">
        <f t="shared" si="21"/>
        <v>755999572.92999983</v>
      </c>
      <c r="T134" s="475">
        <f t="shared" si="22"/>
        <v>13.26221972019507</v>
      </c>
      <c r="U134" s="311"/>
      <c r="V134" s="311"/>
    </row>
    <row r="135" spans="1:22">
      <c r="A135" s="117" t="str">
        <f t="shared" si="18"/>
        <v>7511p</v>
      </c>
      <c r="B135" s="561" t="str">
        <f>+VLOOKUP(LEFT($A135,LEN(A135)-1)*1,Master!$D$29:$G$225,4,FALSE)</f>
        <v>Pozajmice i krediti od domaćih izvora</v>
      </c>
      <c r="C135" s="562"/>
      <c r="D135" s="562"/>
      <c r="E135" s="562"/>
      <c r="F135" s="562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116666666.66666667</v>
      </c>
      <c r="Q135" s="96">
        <v>116666666.66666667</v>
      </c>
      <c r="R135" s="96">
        <v>116666666.66666667</v>
      </c>
      <c r="S135" s="103">
        <f t="shared" si="21"/>
        <v>350000000</v>
      </c>
      <c r="T135" s="472">
        <f t="shared" si="22"/>
        <v>6.1399200056136412</v>
      </c>
      <c r="U135" s="311"/>
      <c r="V135" s="311"/>
    </row>
    <row r="136" spans="1:22">
      <c r="A136" s="117" t="str">
        <f t="shared" si="18"/>
        <v>7512p</v>
      </c>
      <c r="B136" s="563" t="str">
        <f>+VLOOKUP(LEFT($A136,LEN(A136)-1)*1,Master!$D$29:$G$225,4,FALSE)</f>
        <v>Pozajmice i krediti od inostranih izvora</v>
      </c>
      <c r="C136" s="564"/>
      <c r="D136" s="564"/>
      <c r="E136" s="564"/>
      <c r="F136" s="564"/>
      <c r="G136" s="96">
        <v>12789994.92</v>
      </c>
      <c r="H136" s="96">
        <v>10460525.210000001</v>
      </c>
      <c r="I136" s="96">
        <v>1259301.6499999999</v>
      </c>
      <c r="J136" s="96">
        <v>8146150.04</v>
      </c>
      <c r="K136" s="96">
        <v>11238716.789999999</v>
      </c>
      <c r="L136" s="96">
        <v>12964517.649999999</v>
      </c>
      <c r="M136" s="96">
        <v>8206743.4400000004</v>
      </c>
      <c r="N136" s="96">
        <v>2667369.89</v>
      </c>
      <c r="O136" s="96">
        <v>2025946.22</v>
      </c>
      <c r="P136" s="96">
        <v>10080244.730000004</v>
      </c>
      <c r="Q136" s="96">
        <v>10080244.730000004</v>
      </c>
      <c r="R136" s="96">
        <v>10080244.730000004</v>
      </c>
      <c r="S136" s="103">
        <f t="shared" si="21"/>
        <v>100000000</v>
      </c>
      <c r="T136" s="472">
        <f t="shared" si="22"/>
        <v>1.7542628587467544</v>
      </c>
      <c r="U136" s="311"/>
      <c r="V136" s="311"/>
    </row>
    <row r="137" spans="1:22">
      <c r="A137" s="117" t="str">
        <f t="shared" si="18"/>
        <v>72p</v>
      </c>
      <c r="B137" s="563" t="str">
        <f>+VLOOKUP(LEFT($A137,LEN(A137)-1)*1,Master!$D$29:$G$225,4,FALSE)</f>
        <v>Primici od prodaje imovine</v>
      </c>
      <c r="C137" s="564"/>
      <c r="D137" s="564"/>
      <c r="E137" s="564"/>
      <c r="F137" s="564"/>
      <c r="G137" s="96">
        <v>710212.98</v>
      </c>
      <c r="H137" s="96">
        <v>70539.22</v>
      </c>
      <c r="I137" s="96">
        <v>383792.48</v>
      </c>
      <c r="J137" s="96">
        <v>766267.74</v>
      </c>
      <c r="K137" s="96">
        <v>26413.63</v>
      </c>
      <c r="L137" s="96">
        <v>243495.38999999998</v>
      </c>
      <c r="M137" s="96">
        <v>209628.7</v>
      </c>
      <c r="N137" s="96">
        <v>313064.5</v>
      </c>
      <c r="O137" s="96">
        <v>705089.56</v>
      </c>
      <c r="P137" s="96">
        <v>857165.2666666666</v>
      </c>
      <c r="Q137" s="96">
        <v>857165.2666666666</v>
      </c>
      <c r="R137" s="96">
        <v>857165.2666666666</v>
      </c>
      <c r="S137" s="103">
        <f t="shared" si="21"/>
        <v>6000000</v>
      </c>
      <c r="T137" s="472">
        <f t="shared" si="22"/>
        <v>0.10525577152480528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42639095.280000038</v>
      </c>
      <c r="H138" s="97">
        <f t="shared" si="33"/>
        <v>29862251.220000014</v>
      </c>
      <c r="I138" s="97">
        <f t="shared" si="33"/>
        <v>-21928282.110000025</v>
      </c>
      <c r="J138" s="97">
        <f t="shared" si="33"/>
        <v>68845392.219999909</v>
      </c>
      <c r="K138" s="97">
        <f t="shared" si="33"/>
        <v>19361862.209999986</v>
      </c>
      <c r="L138" s="97">
        <f t="shared" si="33"/>
        <v>9227312.5499999821</v>
      </c>
      <c r="M138" s="97">
        <f t="shared" si="33"/>
        <v>34745409.410000026</v>
      </c>
      <c r="N138" s="97">
        <f t="shared" si="33"/>
        <v>-36384466.119999938</v>
      </c>
      <c r="O138" s="97">
        <f t="shared" si="33"/>
        <v>33858938.680000007</v>
      </c>
      <c r="P138" s="97">
        <f t="shared" si="33"/>
        <v>30272474.023333296</v>
      </c>
      <c r="Q138" s="97">
        <f t="shared" si="33"/>
        <v>61034922.553333268</v>
      </c>
      <c r="R138" s="97">
        <f t="shared" si="33"/>
        <v>28464663.013333306</v>
      </c>
      <c r="S138" s="105">
        <f>+SUM(G138:R138)</f>
        <v>299999572.92999989</v>
      </c>
      <c r="T138" s="476">
        <f t="shared" si="22"/>
        <v>5.2627810843098715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6"/>
    </row>
    <row r="145" spans="19:19">
      <c r="S145" s="311"/>
    </row>
    <row r="146" spans="19:19">
      <c r="S146" s="311"/>
    </row>
  </sheetData>
  <sheetProtection algorithmName="SHA-512" hashValue="lSVZXzo31U9uQR9FdbwxS7e6y0PQ8zLOO+GOE4Hbff2nZvH/Q4KxUz2jole0DaJIO0HJhJ22GRji34PYk0ZShw==" saltValue="3JFnRq/ze/1ZVDb3c9qddw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T31" sqref="T31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9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9"/>
      <c r="T4" s="362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812</v>
      </c>
      <c r="H6" s="234" t="s">
        <v>813</v>
      </c>
      <c r="I6" s="234" t="s">
        <v>814</v>
      </c>
      <c r="J6" s="234" t="s">
        <v>815</v>
      </c>
      <c r="K6" s="234" t="s">
        <v>816</v>
      </c>
      <c r="L6" s="234" t="s">
        <v>817</v>
      </c>
      <c r="M6" s="234" t="s">
        <v>818</v>
      </c>
      <c r="N6" s="234" t="s">
        <v>819</v>
      </c>
      <c r="O6" s="234" t="s">
        <v>820</v>
      </c>
      <c r="P6" s="234" t="s">
        <v>821</v>
      </c>
      <c r="Q6" s="234" t="s">
        <v>822</v>
      </c>
      <c r="R6" s="234" t="s">
        <v>823</v>
      </c>
      <c r="S6" s="233"/>
      <c r="T6" s="233"/>
    </row>
    <row r="7" spans="1:22" ht="15" customHeight="1" thickBot="1">
      <c r="A7" s="144"/>
      <c r="B7" s="606" t="str">
        <f>+Master!G251</f>
        <v>Ostvarenje budžeta</v>
      </c>
      <c r="C7" s="510"/>
      <c r="D7" s="510"/>
      <c r="E7" s="510"/>
      <c r="F7" s="510"/>
      <c r="G7" s="518">
        <v>2021</v>
      </c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22"/>
      <c r="S7" s="235" t="str">
        <f>+Master!G248</f>
        <v>BDP</v>
      </c>
      <c r="T7" s="236">
        <v>4955116000</v>
      </c>
    </row>
    <row r="8" spans="1:22" ht="16.5" customHeight="1">
      <c r="A8" s="144"/>
      <c r="B8" s="511"/>
      <c r="C8" s="512"/>
      <c r="D8" s="512"/>
      <c r="E8" s="512"/>
      <c r="F8" s="513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8" t="str">
        <f>+Master!G246</f>
        <v>Jan - Dec</v>
      </c>
      <c r="T8" s="522"/>
    </row>
    <row r="9" spans="1:22" ht="13.5" thickBot="1">
      <c r="A9" s="144"/>
      <c r="B9" s="514"/>
      <c r="C9" s="515"/>
      <c r="D9" s="515"/>
      <c r="E9" s="515"/>
      <c r="F9" s="51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2" ht="13.5" thickBot="1">
      <c r="A10" s="150">
        <v>7</v>
      </c>
      <c r="B10" s="551" t="str">
        <f>+VLOOKUP($A10,Master!$D$29:$G$225,4,FALSE)</f>
        <v>Prihodi budžeta</v>
      </c>
      <c r="C10" s="552"/>
      <c r="D10" s="552"/>
      <c r="E10" s="552"/>
      <c r="F10" s="552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2">
        <f>+S10/$T$7*100</f>
        <v>38.573911075744746</v>
      </c>
      <c r="U10" s="503"/>
      <c r="V10" s="311"/>
    </row>
    <row r="11" spans="1:22">
      <c r="A11" s="150">
        <v>711</v>
      </c>
      <c r="B11" s="553" t="str">
        <f>+VLOOKUP($A11,Master!$D$29:$G$225,4,FALSE)</f>
        <v>Porezi</v>
      </c>
      <c r="C11" s="554"/>
      <c r="D11" s="554"/>
      <c r="E11" s="554"/>
      <c r="F11" s="554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23.891956383059448</v>
      </c>
      <c r="U11" s="503"/>
    </row>
    <row r="12" spans="1:22">
      <c r="A12" s="150">
        <v>7111</v>
      </c>
      <c r="B12" s="539" t="str">
        <f>+VLOOKUP($A12,Master!$D$29:$G$225,4,FALSE)</f>
        <v>Porez na dohodak fizičkih lica</v>
      </c>
      <c r="C12" s="540"/>
      <c r="D12" s="540"/>
      <c r="E12" s="540"/>
      <c r="F12" s="540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2.560268438720708</v>
      </c>
      <c r="U12" s="503"/>
      <c r="V12" s="311"/>
    </row>
    <row r="13" spans="1:22">
      <c r="A13" s="150">
        <v>7112</v>
      </c>
      <c r="B13" s="539" t="str">
        <f>+VLOOKUP($A13,Master!$D$29:$G$225,4,FALSE)</f>
        <v>Porez na dobit pravnih lica</v>
      </c>
      <c r="C13" s="540"/>
      <c r="D13" s="540"/>
      <c r="E13" s="540"/>
      <c r="F13" s="540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1.5078097963801451</v>
      </c>
      <c r="U13" s="503"/>
      <c r="V13" s="311"/>
    </row>
    <row r="14" spans="1:22">
      <c r="A14" s="150">
        <v>7113</v>
      </c>
      <c r="B14" s="539" t="str">
        <f>+VLOOKUP($A14,Master!$D$29:$G$225,4,FALSE)</f>
        <v>Porez na promet nepokretnosti</v>
      </c>
      <c r="C14" s="540"/>
      <c r="D14" s="540"/>
      <c r="E14" s="540"/>
      <c r="F14" s="540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4.1941576544323081E-2</v>
      </c>
      <c r="U14" s="503"/>
      <c r="V14" s="311"/>
    </row>
    <row r="15" spans="1:22">
      <c r="A15" s="150">
        <v>7114</v>
      </c>
      <c r="B15" s="539" t="str">
        <f>+VLOOKUP($A15,Master!$D$29:$G$225,4,FALSE)</f>
        <v>Porez na dodatu vrijednost</v>
      </c>
      <c r="C15" s="540"/>
      <c r="D15" s="540"/>
      <c r="E15" s="540"/>
      <c r="F15" s="540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13.964317316486637</v>
      </c>
      <c r="U15" s="503"/>
      <c r="V15" s="311"/>
    </row>
    <row r="16" spans="1:22">
      <c r="A16" s="150">
        <v>7115</v>
      </c>
      <c r="B16" s="539" t="str">
        <f>+VLOOKUP($A16,Master!$D$29:$G$225,4,FALSE)</f>
        <v>Akcize</v>
      </c>
      <c r="C16" s="540"/>
      <c r="D16" s="540"/>
      <c r="E16" s="540"/>
      <c r="F16" s="540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5.0194161985309727</v>
      </c>
      <c r="U16" s="503"/>
      <c r="V16" s="311"/>
    </row>
    <row r="17" spans="1:23">
      <c r="A17" s="150">
        <v>7116</v>
      </c>
      <c r="B17" s="539" t="str">
        <f>+VLOOKUP($A17,Master!$D$29:$G$225,4,FALSE)</f>
        <v>Porez na međunarodnu trgovinu i transakcije</v>
      </c>
      <c r="C17" s="540"/>
      <c r="D17" s="540"/>
      <c r="E17" s="540"/>
      <c r="F17" s="540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0.57105912495287692</v>
      </c>
      <c r="U17" s="503"/>
      <c r="V17" s="311"/>
    </row>
    <row r="18" spans="1:23">
      <c r="A18" s="150">
        <v>7118</v>
      </c>
      <c r="B18" s="539" t="str">
        <f>+VLOOKUP($A18,Master!$D$29:$G$225,4,FALSE)</f>
        <v>Ostali državni porezi</v>
      </c>
      <c r="C18" s="540"/>
      <c r="D18" s="540"/>
      <c r="E18" s="540"/>
      <c r="F18" s="540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0.22714393144378461</v>
      </c>
      <c r="U18" s="503"/>
      <c r="V18" s="311"/>
    </row>
    <row r="19" spans="1:23">
      <c r="A19" s="150">
        <v>712</v>
      </c>
      <c r="B19" s="549" t="str">
        <f>+VLOOKUP($A19,Master!$D$29:$G$225,4,FALSE)</f>
        <v>Doprinosi</v>
      </c>
      <c r="C19" s="550"/>
      <c r="D19" s="550"/>
      <c r="E19" s="550"/>
      <c r="F19" s="550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11.18997272031573</v>
      </c>
      <c r="U19" s="503"/>
      <c r="V19" s="311"/>
    </row>
    <row r="20" spans="1:23">
      <c r="A20" s="150">
        <v>7121</v>
      </c>
      <c r="B20" s="539" t="str">
        <f>+VLOOKUP($A20,Master!$D$29:$G$225,4,FALSE)</f>
        <v>Doprinosi za penzijsko i invalidsko osiguranje</v>
      </c>
      <c r="C20" s="540"/>
      <c r="D20" s="540"/>
      <c r="E20" s="540"/>
      <c r="F20" s="540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6.9370373979135911</v>
      </c>
      <c r="U20" s="503"/>
      <c r="V20" s="311"/>
    </row>
    <row r="21" spans="1:23">
      <c r="A21" s="150">
        <v>7122</v>
      </c>
      <c r="B21" s="539" t="str">
        <f>+VLOOKUP($A21,Master!$D$29:$G$225,4,FALSE)</f>
        <v>Doprinosi za zdravstveno osiguranje</v>
      </c>
      <c r="C21" s="540"/>
      <c r="D21" s="540"/>
      <c r="E21" s="540"/>
      <c r="F21" s="540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3.6440413633101629</v>
      </c>
      <c r="U21" s="503"/>
      <c r="V21" s="311"/>
    </row>
    <row r="22" spans="1:23">
      <c r="A22" s="150">
        <v>7123</v>
      </c>
      <c r="B22" s="539" t="str">
        <f>+VLOOKUP($A22,Master!$D$29:$G$225,4,FALSE)</f>
        <v>Doprinosi za osiguranje od nezaposlenosti</v>
      </c>
      <c r="C22" s="540"/>
      <c r="D22" s="540"/>
      <c r="E22" s="540"/>
      <c r="F22" s="540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0.33014029217479474</v>
      </c>
      <c r="U22" s="503"/>
      <c r="V22" s="311"/>
    </row>
    <row r="23" spans="1:23">
      <c r="A23" s="150">
        <v>7124</v>
      </c>
      <c r="B23" s="539" t="str">
        <f>+VLOOKUP($A23,Master!$D$29:$G$225,4,FALSE)</f>
        <v>Ostali doprinosi</v>
      </c>
      <c r="C23" s="540"/>
      <c r="D23" s="540"/>
      <c r="E23" s="540"/>
      <c r="F23" s="540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0.27875366691718217</v>
      </c>
      <c r="U23" s="503"/>
      <c r="V23" s="311"/>
      <c r="W23" s="305"/>
    </row>
    <row r="24" spans="1:23">
      <c r="A24" s="150">
        <v>713</v>
      </c>
      <c r="B24" s="541" t="str">
        <f>+VLOOKUP($A24,Master!$D$29:$G$225,4,FALSE)</f>
        <v>Takse</v>
      </c>
      <c r="C24" s="542"/>
      <c r="D24" s="542"/>
      <c r="E24" s="542"/>
      <c r="F24" s="542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0.25512858891699003</v>
      </c>
      <c r="U24" s="503"/>
      <c r="V24" s="311"/>
      <c r="W24" s="305"/>
    </row>
    <row r="25" spans="1:23">
      <c r="A25" s="150">
        <v>714</v>
      </c>
      <c r="B25" s="541" t="str">
        <f>+VLOOKUP($A25,Master!$D$29:$G$225,4,FALSE)</f>
        <v>Naknade</v>
      </c>
      <c r="C25" s="542"/>
      <c r="D25" s="542"/>
      <c r="E25" s="542"/>
      <c r="F25" s="542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1.0311573327445815</v>
      </c>
      <c r="U25" s="503"/>
      <c r="V25" s="311"/>
    </row>
    <row r="26" spans="1:23">
      <c r="A26" s="150">
        <v>715</v>
      </c>
      <c r="B26" s="541" t="str">
        <f>+VLOOKUP($A26,Master!$D$29:$G$225,4,FALSE)</f>
        <v>Ostali prihodi</v>
      </c>
      <c r="C26" s="542"/>
      <c r="D26" s="542"/>
      <c r="E26" s="542"/>
      <c r="F26" s="542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5">
        <f t="shared" si="3"/>
        <v>1.1970770886090254</v>
      </c>
      <c r="U26" s="503"/>
      <c r="V26" s="311"/>
    </row>
    <row r="27" spans="1:23">
      <c r="A27" s="150">
        <v>73</v>
      </c>
      <c r="B27" s="541" t="str">
        <f>+VLOOKUP($A27,Master!$D$29:$G$225,4,FALSE)</f>
        <v>Primici od otplate kredita i sredstva prenesena iz prethodne godine</v>
      </c>
      <c r="C27" s="542"/>
      <c r="D27" s="542"/>
      <c r="E27" s="542"/>
      <c r="F27" s="542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0.20386092131849184</v>
      </c>
      <c r="U27" s="503"/>
      <c r="V27" s="311"/>
    </row>
    <row r="28" spans="1:23" ht="13.5" thickBot="1">
      <c r="A28" s="150">
        <v>74</v>
      </c>
      <c r="B28" s="543" t="str">
        <f>+VLOOKUP($A28,Master!$D$29:$G$225,4,FALSE)</f>
        <v>Donacije i transferi</v>
      </c>
      <c r="C28" s="544"/>
      <c r="D28" s="544"/>
      <c r="E28" s="544"/>
      <c r="F28" s="544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6">
        <f t="shared" si="3"/>
        <v>0.80475804078047819</v>
      </c>
      <c r="U28" s="503"/>
      <c r="V28" s="311"/>
    </row>
    <row r="29" spans="1:23" ht="13.5" thickBot="1">
      <c r="A29" s="150">
        <v>4</v>
      </c>
      <c r="B29" s="529" t="str">
        <f>+VLOOKUP($A29,Master!$D$29:$G$225,4,FALSE)</f>
        <v>Izdaci budžeta</v>
      </c>
      <c r="C29" s="530"/>
      <c r="D29" s="530"/>
      <c r="E29" s="530"/>
      <c r="F29" s="530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7">
        <f t="shared" si="3"/>
        <v>40.582306969402943</v>
      </c>
    </row>
    <row r="30" spans="1:23">
      <c r="A30" s="150">
        <v>41</v>
      </c>
      <c r="B30" s="547" t="str">
        <f>+VLOOKUP($A30,Master!$D$29:$G$225,4,FALSE)</f>
        <v>Tekući izdaci</v>
      </c>
      <c r="C30" s="548"/>
      <c r="D30" s="548"/>
      <c r="E30" s="548"/>
      <c r="F30" s="548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4">
        <f t="shared" si="4"/>
        <v>875790931.30000007</v>
      </c>
      <c r="T30" s="463">
        <f t="shared" si="3"/>
        <v>17.67447888808254</v>
      </c>
      <c r="U30" s="242"/>
    </row>
    <row r="31" spans="1:23">
      <c r="A31" s="150">
        <v>411</v>
      </c>
      <c r="B31" s="539" t="str">
        <f>+VLOOKUP($A31,Master!$D$29:$G$225,4,FALSE)</f>
        <v>Bruto zarade i doprinosi na teret poslodavca</v>
      </c>
      <c r="C31" s="540"/>
      <c r="D31" s="540"/>
      <c r="E31" s="540"/>
      <c r="F31" s="540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4">
        <f t="shared" si="3"/>
        <v>10.799573814013639</v>
      </c>
      <c r="U31" s="503"/>
      <c r="V31" s="311"/>
      <c r="W31" s="311"/>
    </row>
    <row r="32" spans="1:23">
      <c r="A32" s="150">
        <v>412</v>
      </c>
      <c r="B32" s="539" t="str">
        <f>+VLOOKUP($A32,Master!$D$29:$G$225,4,FALSE)</f>
        <v>Ostala lična primanja</v>
      </c>
      <c r="C32" s="540"/>
      <c r="D32" s="540"/>
      <c r="E32" s="540"/>
      <c r="F32" s="540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4">
        <f t="shared" si="3"/>
        <v>0.22754604049632743</v>
      </c>
      <c r="U32" s="503"/>
      <c r="V32" s="311"/>
    </row>
    <row r="33" spans="1:24">
      <c r="A33" s="150">
        <v>413</v>
      </c>
      <c r="B33" s="539" t="str">
        <f>+VLOOKUP($A33,Master!$D$29:$G$225,4,FALSE)</f>
        <v>Rashodi za materijal</v>
      </c>
      <c r="C33" s="540"/>
      <c r="D33" s="540"/>
      <c r="E33" s="540"/>
      <c r="F33" s="540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4">
        <f t="shared" si="3"/>
        <v>0.71551015778439897</v>
      </c>
      <c r="U33" s="503"/>
      <c r="V33" s="503"/>
      <c r="W33" s="504"/>
      <c r="X33" s="504"/>
    </row>
    <row r="34" spans="1:24" s="361" customFormat="1">
      <c r="A34" s="360">
        <v>414</v>
      </c>
      <c r="B34" s="604" t="str">
        <f>+VLOOKUP($A34,Master!$D$29:$G$225,4,FALSE)</f>
        <v>Rashodi za usluge</v>
      </c>
      <c r="C34" s="605"/>
      <c r="D34" s="605"/>
      <c r="E34" s="605"/>
      <c r="F34" s="605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4">
        <f t="shared" si="3"/>
        <v>1.2060522086667596</v>
      </c>
      <c r="U34" s="503"/>
    </row>
    <row r="35" spans="1:24">
      <c r="A35" s="150">
        <v>415</v>
      </c>
      <c r="B35" s="539" t="str">
        <f>+VLOOKUP($A35,Master!$D$29:$G$225,4,FALSE)</f>
        <v>Rashodi za tekuće održavanje</v>
      </c>
      <c r="C35" s="540"/>
      <c r="D35" s="540"/>
      <c r="E35" s="540"/>
      <c r="F35" s="540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4">
        <f t="shared" si="3"/>
        <v>0.43790248462397247</v>
      </c>
      <c r="U35" s="503"/>
      <c r="V35" s="311"/>
    </row>
    <row r="36" spans="1:24">
      <c r="A36" s="150">
        <v>416</v>
      </c>
      <c r="B36" s="539" t="str">
        <f>+VLOOKUP($A36,Master!$D$29:$G$225,4,FALSE)</f>
        <v>Kamate</v>
      </c>
      <c r="C36" s="540"/>
      <c r="D36" s="540"/>
      <c r="E36" s="540"/>
      <c r="F36" s="540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2.3018412117899971</v>
      </c>
      <c r="U36" s="503"/>
      <c r="V36" s="311"/>
    </row>
    <row r="37" spans="1:24">
      <c r="A37" s="150">
        <v>417</v>
      </c>
      <c r="B37" s="539" t="str">
        <f>+VLOOKUP($A37,Master!$D$29:$G$225,4,FALSE)</f>
        <v>Renta</v>
      </c>
      <c r="C37" s="540"/>
      <c r="D37" s="540"/>
      <c r="E37" s="540"/>
      <c r="F37" s="540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4">
        <f t="shared" si="3"/>
        <v>0.22584800618189366</v>
      </c>
      <c r="U37" s="503"/>
      <c r="V37" s="311"/>
    </row>
    <row r="38" spans="1:24">
      <c r="A38" s="150">
        <v>418</v>
      </c>
      <c r="B38" s="539" t="str">
        <f>+VLOOKUP($A38,Master!$D$29:$G$225,4,FALSE)</f>
        <v>Subvencije</v>
      </c>
      <c r="C38" s="540"/>
      <c r="D38" s="540"/>
      <c r="E38" s="540"/>
      <c r="F38" s="540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4">
        <f t="shared" si="3"/>
        <v>0.97916523790764953</v>
      </c>
      <c r="U38" s="503"/>
      <c r="V38" s="311"/>
    </row>
    <row r="39" spans="1:24" s="361" customFormat="1">
      <c r="A39" s="360">
        <v>419</v>
      </c>
      <c r="B39" s="604" t="str">
        <f>+VLOOKUP($A39,Master!$D$29:$G$225,4,FALSE)</f>
        <v>Ostali izdaci</v>
      </c>
      <c r="C39" s="605"/>
      <c r="D39" s="605"/>
      <c r="E39" s="605"/>
      <c r="F39" s="605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4">
        <f t="shared" si="3"/>
        <v>0.78103972661790366</v>
      </c>
      <c r="U39" s="503"/>
      <c r="V39" s="311"/>
    </row>
    <row r="40" spans="1:24">
      <c r="A40" s="150">
        <v>42</v>
      </c>
      <c r="B40" s="535" t="str">
        <f>+VLOOKUP($A40,Master!$D$29:$G$225,4,FALSE)</f>
        <v>Transferi za socijalnu zaštitu</v>
      </c>
      <c r="C40" s="536"/>
      <c r="D40" s="536"/>
      <c r="E40" s="536"/>
      <c r="F40" s="536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8">
        <f t="shared" si="4"/>
        <v>567405550.29999983</v>
      </c>
      <c r="T40" s="489">
        <f t="shared" si="3"/>
        <v>11.450903476326282</v>
      </c>
      <c r="U40" s="242"/>
    </row>
    <row r="41" spans="1:24">
      <c r="A41" s="150">
        <v>421</v>
      </c>
      <c r="B41" s="539" t="str">
        <f>+VLOOKUP($A41,Master!$D$29:$G$225,4,FALSE)</f>
        <v>Prava iz oblasti socijalne zaštite</v>
      </c>
      <c r="C41" s="540"/>
      <c r="D41" s="540"/>
      <c r="E41" s="540"/>
      <c r="F41" s="540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1.7140635518926299</v>
      </c>
      <c r="U41" s="503"/>
      <c r="V41" s="311"/>
    </row>
    <row r="42" spans="1:24">
      <c r="A42" s="150">
        <v>422</v>
      </c>
      <c r="B42" s="539" t="str">
        <f>+VLOOKUP($A42,Master!$D$29:$G$225,4,FALSE)</f>
        <v>Sredstva za tehnološke viškove</v>
      </c>
      <c r="C42" s="540"/>
      <c r="D42" s="540"/>
      <c r="E42" s="540"/>
      <c r="F42" s="540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0.46593113723271062</v>
      </c>
      <c r="U42" s="503"/>
      <c r="V42" s="311"/>
    </row>
    <row r="43" spans="1:24">
      <c r="A43" s="150">
        <v>423</v>
      </c>
      <c r="B43" s="539" t="str">
        <f>+VLOOKUP($A43,Master!$D$29:$G$225,4,FALSE)</f>
        <v>Prava iz oblasti penzijskog i invalidskog osiguranja</v>
      </c>
      <c r="C43" s="540"/>
      <c r="D43" s="540"/>
      <c r="E43" s="540"/>
      <c r="F43" s="540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8.6982387251882702</v>
      </c>
      <c r="U43" s="503"/>
      <c r="V43" s="311"/>
    </row>
    <row r="44" spans="1:24">
      <c r="A44" s="150">
        <v>424</v>
      </c>
      <c r="B44" s="539" t="str">
        <f>+VLOOKUP($A44,Master!$D$29:$G$225,4,FALSE)</f>
        <v>Ostala prava iz oblasti zdravstvene zaštite</v>
      </c>
      <c r="C44" s="540"/>
      <c r="D44" s="540"/>
      <c r="E44" s="540"/>
      <c r="F44" s="540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0.34464044212083023</v>
      </c>
      <c r="U44" s="503"/>
      <c r="V44" s="311"/>
    </row>
    <row r="45" spans="1:24" s="361" customFormat="1">
      <c r="A45" s="360">
        <v>425</v>
      </c>
      <c r="B45" s="600" t="str">
        <f>+VLOOKUP($A45,Master!$D$29:$G$225,4,FALSE)</f>
        <v>Ostala prava iz zdravstvenog osiguranja</v>
      </c>
      <c r="C45" s="601"/>
      <c r="D45" s="601"/>
      <c r="E45" s="601"/>
      <c r="F45" s="601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4">
        <f t="shared" si="3"/>
        <v>0.22802961989184509</v>
      </c>
      <c r="U45" s="503"/>
      <c r="V45" s="311"/>
    </row>
    <row r="46" spans="1:24">
      <c r="A46" s="150">
        <v>43</v>
      </c>
      <c r="B46" s="537" t="str">
        <f>+VLOOKUP($A46,Master!$D$29:$G$225,4,FALSE)</f>
        <v xml:space="preserve">Transferi institucijama, pojedincima, nevladinom i javnom sektoru </v>
      </c>
      <c r="C46" s="538"/>
      <c r="D46" s="538"/>
      <c r="E46" s="538"/>
      <c r="F46" s="538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5">
        <f t="shared" si="3"/>
        <v>5.1879003530896153</v>
      </c>
      <c r="U46" s="503"/>
      <c r="V46" s="311"/>
    </row>
    <row r="47" spans="1:24">
      <c r="A47" s="150">
        <v>44</v>
      </c>
      <c r="B47" s="537" t="str">
        <f>+VLOOKUP($A47,Master!$D$29:$G$225,4,FALSE)</f>
        <v>Kapitalni izdaci</v>
      </c>
      <c r="C47" s="538"/>
      <c r="D47" s="538"/>
      <c r="E47" s="538"/>
      <c r="F47" s="538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5">
        <f t="shared" si="3"/>
        <v>4.1203532696308223</v>
      </c>
      <c r="U47" s="503"/>
      <c r="V47" s="311"/>
    </row>
    <row r="48" spans="1:24">
      <c r="A48" s="150">
        <v>451</v>
      </c>
      <c r="B48" s="602" t="str">
        <f>+VLOOKUP($A48,Master!$D$29:$G$225,4,FALSE)</f>
        <v>Pozajmice i krediti</v>
      </c>
      <c r="C48" s="603"/>
      <c r="D48" s="603"/>
      <c r="E48" s="603"/>
      <c r="F48" s="603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2.6548783116278205E-2</v>
      </c>
      <c r="U48" s="503"/>
      <c r="V48" s="311"/>
    </row>
    <row r="49" spans="1:22" s="361" customFormat="1">
      <c r="A49" s="360">
        <v>47</v>
      </c>
      <c r="B49" s="594" t="str">
        <f>+VLOOKUP($A49,Master!$D$29:$G$225,4,FALSE)</f>
        <v>Rezerve</v>
      </c>
      <c r="C49" s="595"/>
      <c r="D49" s="595"/>
      <c r="E49" s="595"/>
      <c r="F49" s="595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1.4375075259590291</v>
      </c>
      <c r="U49" s="503"/>
      <c r="V49" s="311"/>
    </row>
    <row r="50" spans="1:22" ht="13.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0.15562202943382153</v>
      </c>
      <c r="U50" s="503"/>
      <c r="V50" s="311"/>
    </row>
    <row r="51" spans="1:22" ht="13.5" thickBot="1">
      <c r="A51" s="144">
        <v>4630</v>
      </c>
      <c r="B51" s="596" t="str">
        <f>+VLOOKUP($A51,Master!$D$29:$G$225,4,TRUE)</f>
        <v>Otplata obaveza iz prethodnog perioda</v>
      </c>
      <c r="C51" s="597"/>
      <c r="D51" s="597"/>
      <c r="E51" s="597"/>
      <c r="F51" s="597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2905903.4</v>
      </c>
      <c r="S51" s="425">
        <f>+SUM(G51:R51)</f>
        <v>26212199.129999999</v>
      </c>
      <c r="T51" s="468">
        <f t="shared" si="3"/>
        <v>0.52899264376454558</v>
      </c>
      <c r="U51" s="503"/>
      <c r="V51" s="311"/>
    </row>
    <row r="52" spans="1:22" ht="13.5" thickBot="1">
      <c r="A52" s="70">
        <v>1005</v>
      </c>
      <c r="B52" s="598" t="str">
        <f>+VLOOKUP($A52,Master!$D$29:$G$227,4,FALSE)</f>
        <v>Neto povećanje obaveza</v>
      </c>
      <c r="C52" s="599"/>
      <c r="D52" s="599"/>
      <c r="E52" s="599"/>
      <c r="F52" s="599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1"/>
    </row>
    <row r="53" spans="1:22" ht="13.5" thickBot="1">
      <c r="A53" s="144">
        <v>1000</v>
      </c>
      <c r="B53" s="531" t="str">
        <f>+VLOOKUP($A53,Master!$D$29:$G$225,4,FALSE)</f>
        <v>Suficit / deficit</v>
      </c>
      <c r="C53" s="532"/>
      <c r="D53" s="532"/>
      <c r="E53" s="532"/>
      <c r="F53" s="532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70">
        <f t="shared" si="3"/>
        <v>-2.0083958936581898</v>
      </c>
      <c r="U53" s="503"/>
      <c r="V53" s="311"/>
    </row>
    <row r="54" spans="1:22" ht="13.5" thickBot="1">
      <c r="A54" s="144">
        <v>1001</v>
      </c>
      <c r="B54" s="533" t="str">
        <f>+VLOOKUP($A54,Master!$D$29:$G$225,4,FALSE)</f>
        <v>Primarni suficit/deficit</v>
      </c>
      <c r="C54" s="534"/>
      <c r="D54" s="534"/>
      <c r="E54" s="534"/>
      <c r="F54" s="534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70">
        <f t="shared" si="3"/>
        <v>0.29344531813180658</v>
      </c>
    </row>
    <row r="55" spans="1:22">
      <c r="A55" s="144">
        <v>46</v>
      </c>
      <c r="B55" s="555" t="str">
        <f>+VLOOKUP($A55,Master!$D$29:$G$225,4,FALSE)</f>
        <v>Otplata dugova</v>
      </c>
      <c r="C55" s="556"/>
      <c r="D55" s="556"/>
      <c r="E55" s="556"/>
      <c r="F55" s="556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8.8312247735471772</v>
      </c>
    </row>
    <row r="56" spans="1:22">
      <c r="A56" s="144">
        <v>4611</v>
      </c>
      <c r="B56" s="523" t="str">
        <f>+VLOOKUP($A56,Master!$D$29:$G$225,4,FALSE)</f>
        <v>Otplata hartija od vrijednosti i kredita rezidentima</v>
      </c>
      <c r="C56" s="524"/>
      <c r="D56" s="524"/>
      <c r="E56" s="524"/>
      <c r="F56" s="524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1.7216367645076323</v>
      </c>
      <c r="U56" s="503"/>
      <c r="V56" s="311"/>
    </row>
    <row r="57" spans="1:22" ht="13.5" thickBot="1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7.1095880090395456</v>
      </c>
      <c r="U57" s="503"/>
      <c r="V57" s="311"/>
    </row>
    <row r="58" spans="1:22" ht="13.5" thickBot="1">
      <c r="A58" s="144">
        <v>4418</v>
      </c>
      <c r="B58" s="545" t="str">
        <f>+VLOOKUP($A58,Master!$D$29:$G$225,4,FALSE)</f>
        <v>Izdaci za kupovinu hartija od vrijednosti</v>
      </c>
      <c r="C58" s="546"/>
      <c r="D58" s="546"/>
      <c r="E58" s="546"/>
      <c r="F58" s="546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1.0218610018413293E-2</v>
      </c>
    </row>
    <row r="59" spans="1:22" ht="13.5" thickBot="1">
      <c r="A59" s="144">
        <v>1002</v>
      </c>
      <c r="B59" s="527" t="str">
        <f>+VLOOKUP($A59,Master!$D$29:$G$225,4,FALSE)</f>
        <v>Nedostajuća sredstva</v>
      </c>
      <c r="C59" s="528"/>
      <c r="D59" s="528"/>
      <c r="E59" s="528"/>
      <c r="F59" s="528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4">
        <f t="shared" si="3"/>
        <v>-10.849839277223779</v>
      </c>
    </row>
    <row r="60" spans="1:22" ht="13.5" thickBot="1">
      <c r="A60" s="144">
        <v>1003</v>
      </c>
      <c r="B60" s="529" t="str">
        <f>+VLOOKUP($A60,Master!$D$29:$G$225,4,FALSE)</f>
        <v>Finansiranje</v>
      </c>
      <c r="C60" s="530"/>
      <c r="D60" s="530"/>
      <c r="E60" s="530"/>
      <c r="F60" s="530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5">
        <f t="shared" si="3"/>
        <v>10.849839277223779</v>
      </c>
    </row>
    <row r="61" spans="1:22">
      <c r="A61" s="144">
        <v>7511</v>
      </c>
      <c r="B61" s="523" t="str">
        <f>+VLOOKUP($A61,Master!$D$29:$G$225,4,FALSE)</f>
        <v>Pozajmice i krediti od domaćih izvora</v>
      </c>
      <c r="C61" s="524"/>
      <c r="D61" s="524"/>
      <c r="E61" s="524"/>
      <c r="F61" s="52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7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  <c r="U61" s="503"/>
      <c r="V61" s="311"/>
    </row>
    <row r="62" spans="1:22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7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2">
        <f t="shared" si="3"/>
        <v>2.4939416883479617</v>
      </c>
      <c r="U62" s="503"/>
      <c r="V62" s="311"/>
    </row>
    <row r="63" spans="1:22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7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8.9878385087251239E-2</v>
      </c>
      <c r="U63" s="503"/>
      <c r="V63" s="311"/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6">
        <f t="shared" si="3"/>
        <v>8.2660192037885682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3" t="str">
        <f>+Master!G252</f>
        <v>Plan ostvarenja budžeta</v>
      </c>
      <c r="C81" s="584"/>
      <c r="D81" s="584"/>
      <c r="E81" s="584"/>
      <c r="F81" s="584"/>
      <c r="G81" s="591">
        <v>2021</v>
      </c>
      <c r="H81" s="592"/>
      <c r="I81" s="592"/>
      <c r="J81" s="592"/>
      <c r="K81" s="592"/>
      <c r="L81" s="592"/>
      <c r="M81" s="592"/>
      <c r="N81" s="592"/>
      <c r="O81" s="592"/>
      <c r="P81" s="592"/>
      <c r="Q81" s="592"/>
      <c r="R81" s="593"/>
      <c r="S81" s="107" t="str">
        <f>+S7</f>
        <v>BDP</v>
      </c>
      <c r="T81" s="108">
        <v>4636600000</v>
      </c>
    </row>
    <row r="82" spans="1:21" ht="15.75" customHeight="1">
      <c r="B82" s="585"/>
      <c r="C82" s="586"/>
      <c r="D82" s="586"/>
      <c r="E82" s="586"/>
      <c r="F82" s="587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1" t="str">
        <f>+Master!G246</f>
        <v>Jan - Dec</v>
      </c>
      <c r="T82" s="593">
        <f>+T8</f>
        <v>0</v>
      </c>
    </row>
    <row r="83" spans="1:21" ht="13.5" thickBot="1">
      <c r="B83" s="588"/>
      <c r="C83" s="589"/>
      <c r="D83" s="589"/>
      <c r="E83" s="589"/>
      <c r="F83" s="590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09" t="str">
        <f>+VLOOKUP(LEFT($A84,LEN(A84)-1)*1,Master!$D$29:$G$225,4,FALSE)</f>
        <v>Prihodi budžeta</v>
      </c>
      <c r="C84" s="610"/>
      <c r="D84" s="610"/>
      <c r="E84" s="610"/>
      <c r="F84" s="61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1" t="str">
        <f>+VLOOKUP(LEFT($A85,LEN(A85)-1)*1,Master!$D$29:$G$225,4,FALSE)</f>
        <v>Porezi</v>
      </c>
      <c r="C85" s="582"/>
      <c r="D85" s="582"/>
      <c r="E85" s="582"/>
      <c r="F85" s="582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3" t="str">
        <f>+VLOOKUP(LEFT($A86,LEN(A86)-1)*1,Master!$D$29:$G$228,4,FALSE)</f>
        <v>Porez na dohodak fizičkih lica</v>
      </c>
      <c r="C86" s="574"/>
      <c r="D86" s="574"/>
      <c r="E86" s="574"/>
      <c r="F86" s="574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3" t="str">
        <f>+VLOOKUP(LEFT($A87,LEN(A87)-1)*1,Master!$D$29:$G$228,4,FALSE)</f>
        <v>Porez na dobit pravnih lica</v>
      </c>
      <c r="C87" s="574"/>
      <c r="D87" s="574"/>
      <c r="E87" s="574"/>
      <c r="F87" s="574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3" t="str">
        <f>+VLOOKUP(LEFT($A88,LEN(A88)-1)*1,Master!$D$29:$G$228,4,FALSE)</f>
        <v>Porez na promet nepokretnosti</v>
      </c>
      <c r="C88" s="574"/>
      <c r="D88" s="574"/>
      <c r="E88" s="574"/>
      <c r="F88" s="574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3" t="str">
        <f>+VLOOKUP(LEFT($A89,LEN(A89)-1)*1,Master!$D$29:$G$228,4,FALSE)</f>
        <v>Porez na dodatu vrijednost</v>
      </c>
      <c r="C89" s="574"/>
      <c r="D89" s="574"/>
      <c r="E89" s="574"/>
      <c r="F89" s="574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3" t="str">
        <f>+VLOOKUP(LEFT($A90,LEN(A90)-1)*1,Master!$D$29:$G$228,4,FALSE)</f>
        <v>Akcize</v>
      </c>
      <c r="C90" s="574"/>
      <c r="D90" s="574"/>
      <c r="E90" s="574"/>
      <c r="F90" s="574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3" t="str">
        <f>+VLOOKUP(LEFT($A91,LEN(A91)-1)*1,Master!$D$29:$G$228,4,FALSE)</f>
        <v>Porez na međunarodnu trgovinu i transakcije</v>
      </c>
      <c r="C91" s="574"/>
      <c r="D91" s="574"/>
      <c r="E91" s="574"/>
      <c r="F91" s="574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3" t="str">
        <f>+VLOOKUP(LEFT($A92,LEN(A92)-1)*1,Master!$D$29:$G$228,4,FALSE)</f>
        <v>Ostali državni porezi</v>
      </c>
      <c r="C92" s="574"/>
      <c r="D92" s="574"/>
      <c r="E92" s="574"/>
      <c r="F92" s="574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607" t="str">
        <f>+VLOOKUP(LEFT($A93,LEN(A93)-1)*1,Master!$D$29:$G$228,4,FALSE)</f>
        <v>Doprinosi</v>
      </c>
      <c r="C93" s="608"/>
      <c r="D93" s="608"/>
      <c r="E93" s="608"/>
      <c r="F93" s="608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3" t="str">
        <f>+VLOOKUP(LEFT($A94,LEN(A94)-1)*1,Master!$D$29:$G$228,4,FALSE)</f>
        <v>Doprinosi za penzijsko i invalidsko osiguranje</v>
      </c>
      <c r="C94" s="574"/>
      <c r="D94" s="574"/>
      <c r="E94" s="574"/>
      <c r="F94" s="574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3" t="str">
        <f>+VLOOKUP(LEFT($A95,LEN(A95)-1)*1,Master!$D$29:$G$228,4,FALSE)</f>
        <v>Doprinosi za zdravstveno osiguranje</v>
      </c>
      <c r="C95" s="574"/>
      <c r="D95" s="574"/>
      <c r="E95" s="574"/>
      <c r="F95" s="574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3" t="str">
        <f>+VLOOKUP(LEFT($A96,LEN(A96)-1)*1,Master!$D$29:$G$228,4,FALSE)</f>
        <v>Doprinosi za osiguranje od nezaposlenosti</v>
      </c>
      <c r="C96" s="574"/>
      <c r="D96" s="574"/>
      <c r="E96" s="574"/>
      <c r="F96" s="574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3" t="str">
        <f>+VLOOKUP(LEFT($A97,LEN(A97)-1)*1,Master!$D$29:$G$228,4,FALSE)</f>
        <v>Ostali doprinosi</v>
      </c>
      <c r="C97" s="574"/>
      <c r="D97" s="574"/>
      <c r="E97" s="574"/>
      <c r="F97" s="574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79" t="str">
        <f>+VLOOKUP(LEFT($A98,LEN(A98)-1)*1,Master!$D$29:$G$228,4,FALSE)</f>
        <v>Takse</v>
      </c>
      <c r="C98" s="580"/>
      <c r="D98" s="580"/>
      <c r="E98" s="580"/>
      <c r="F98" s="580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79" t="str">
        <f>+VLOOKUP(LEFT($A99,LEN(A99)-1)*1,Master!$D$29:$G$228,4,FALSE)</f>
        <v>Naknade</v>
      </c>
      <c r="C99" s="580"/>
      <c r="D99" s="580"/>
      <c r="E99" s="580"/>
      <c r="F99" s="580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79" t="str">
        <f>+VLOOKUP(LEFT($A100,LEN(A100)-1)*1,Master!$D$29:$G$228,4,FALSE)</f>
        <v>Ostali prihodi</v>
      </c>
      <c r="C100" s="580"/>
      <c r="D100" s="580"/>
      <c r="E100" s="580"/>
      <c r="F100" s="580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79" t="str">
        <f>+VLOOKUP(LEFT($A101,LEN(A101)-1)*1,Master!$D$29:$G$228,4,FALSE)</f>
        <v>Primici od otplate kredita i sredstva prenesena iz prethodne godine</v>
      </c>
      <c r="C101" s="580"/>
      <c r="D101" s="580"/>
      <c r="E101" s="580"/>
      <c r="F101" s="580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75" t="str">
        <f>+VLOOKUP(LEFT($A102,LEN(A102)-1)*1,Master!$D$29:$G$228,4,FALSE)</f>
        <v>Donacije i transferi</v>
      </c>
      <c r="C102" s="576"/>
      <c r="D102" s="576"/>
      <c r="E102" s="576"/>
      <c r="F102" s="576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57" t="str">
        <f>+VLOOKUP(LEFT($A103,LEN(A103)-1)*1,Master!$D$29:$G$228,4,FALSE)</f>
        <v>Izdaci budžeta</v>
      </c>
      <c r="C103" s="558"/>
      <c r="D103" s="558"/>
      <c r="E103" s="558"/>
      <c r="F103" s="558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7" t="str">
        <f>+VLOOKUP(LEFT($A104,LEN(A104)-1)*1,Master!$D$29:$G$228,4,FALSE)</f>
        <v>Tekući izdaci</v>
      </c>
      <c r="C104" s="578"/>
      <c r="D104" s="578"/>
      <c r="E104" s="578"/>
      <c r="F104" s="578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3" t="str">
        <f>+VLOOKUP(LEFT($A105,LEN(A105)-1)*1,Master!$D$29:$G$228,4,FALSE)</f>
        <v>Bruto zarade i doprinosi na teret poslodavca</v>
      </c>
      <c r="C105" s="574"/>
      <c r="D105" s="574"/>
      <c r="E105" s="574"/>
      <c r="F105" s="574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3" t="str">
        <f>+VLOOKUP(LEFT($A106,LEN(A106)-1)*1,Master!$D$29:$G$228,4,FALSE)</f>
        <v>Ostala lična primanja</v>
      </c>
      <c r="C106" s="574"/>
      <c r="D106" s="574"/>
      <c r="E106" s="574"/>
      <c r="F106" s="574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3" t="str">
        <f>+VLOOKUP(LEFT($A107,LEN(A107)-1)*1,Master!$D$29:$G$228,4,FALSE)</f>
        <v>Rashodi za materijal</v>
      </c>
      <c r="C107" s="574"/>
      <c r="D107" s="574"/>
      <c r="E107" s="574"/>
      <c r="F107" s="574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3" t="str">
        <f>+VLOOKUP(LEFT($A108,LEN(A108)-1)*1,Master!$D$29:$G$228,4,FALSE)</f>
        <v>Rashodi za usluge</v>
      </c>
      <c r="C108" s="574"/>
      <c r="D108" s="574"/>
      <c r="E108" s="574"/>
      <c r="F108" s="574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3" t="str">
        <f>+VLOOKUP(LEFT($A109,LEN(A109)-1)*1,Master!$D$29:$G$228,4,FALSE)</f>
        <v>Rashodi za tekuće održavanje</v>
      </c>
      <c r="C109" s="574"/>
      <c r="D109" s="574"/>
      <c r="E109" s="574"/>
      <c r="F109" s="574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3" t="str">
        <f>+VLOOKUP(LEFT($A110,LEN(A110)-1)*1,Master!$D$29:$G$228,4,FALSE)</f>
        <v>Kamate</v>
      </c>
      <c r="C110" s="574"/>
      <c r="D110" s="574"/>
      <c r="E110" s="574"/>
      <c r="F110" s="574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3" t="str">
        <f>+VLOOKUP(LEFT($A111,LEN(A111)-1)*1,Master!$D$29:$G$228,4,FALSE)</f>
        <v>Renta</v>
      </c>
      <c r="C111" s="574"/>
      <c r="D111" s="574"/>
      <c r="E111" s="574"/>
      <c r="F111" s="574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3" t="str">
        <f>+VLOOKUP(LEFT($A112,LEN(A112)-1)*1,Master!$D$29:$G$228,4,FALSE)</f>
        <v>Subvencije</v>
      </c>
      <c r="C112" s="574"/>
      <c r="D112" s="574"/>
      <c r="E112" s="574"/>
      <c r="F112" s="574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3" t="str">
        <f>+VLOOKUP(LEFT($A113,LEN(A113)-1)*1,Master!$D$29:$G$228,4,FALSE)</f>
        <v>Ostali izdaci</v>
      </c>
      <c r="C113" s="574"/>
      <c r="D113" s="574"/>
      <c r="E113" s="574"/>
      <c r="F113" s="574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69" t="str">
        <f>+VLOOKUP(LEFT($A114,LEN(A114)-1)*1,Master!$D$29:$G$228,4,FALSE)</f>
        <v>Transferi za socijalnu zaštitu</v>
      </c>
      <c r="C114" s="570"/>
      <c r="D114" s="570"/>
      <c r="E114" s="570"/>
      <c r="F114" s="570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3" t="str">
        <f>+VLOOKUP(LEFT($A115,LEN(A115)-1)*1,Master!$D$29:$G$228,4,FALSE)</f>
        <v>Prava iz oblasti socijalne zaštite</v>
      </c>
      <c r="C115" s="574"/>
      <c r="D115" s="574"/>
      <c r="E115" s="574"/>
      <c r="F115" s="574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3" t="str">
        <f>+VLOOKUP(LEFT($A116,LEN(A116)-1)*1,Master!$D$29:$G$228,4,FALSE)</f>
        <v>Sredstva za tehnološke viškove</v>
      </c>
      <c r="C116" s="574"/>
      <c r="D116" s="574"/>
      <c r="E116" s="574"/>
      <c r="F116" s="574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3" t="str">
        <f>+VLOOKUP(LEFT($A117,LEN(A117)-1)*1,Master!$D$29:$G$228,4,FALSE)</f>
        <v>Prava iz oblasti penzijskog i invalidskog osiguranja</v>
      </c>
      <c r="C117" s="574"/>
      <c r="D117" s="574"/>
      <c r="E117" s="574"/>
      <c r="F117" s="574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3" t="str">
        <f>+VLOOKUP(LEFT($A118,LEN(A118)-1)*1,Master!$D$29:$G$228,4,FALSE)</f>
        <v>Ostala prava iz oblasti zdravstvene zaštite</v>
      </c>
      <c r="C118" s="574"/>
      <c r="D118" s="574"/>
      <c r="E118" s="574"/>
      <c r="F118" s="574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3" t="str">
        <f>+VLOOKUP(LEFT($A119,LEN(A119)-1)*1,Master!$D$29:$G$228,4,FALSE)</f>
        <v>Ostala prava iz zdravstvenog osiguranja</v>
      </c>
      <c r="C119" s="574"/>
      <c r="D119" s="574"/>
      <c r="E119" s="574"/>
      <c r="F119" s="574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71" t="str">
        <f>+VLOOKUP(LEFT($A120,LEN(A120)-1)*1,Master!$D$29:$G$228,4,FALSE)</f>
        <v xml:space="preserve">Transferi institucijama, pojedincima, nevladinom i javnom sektoru </v>
      </c>
      <c r="C120" s="572"/>
      <c r="D120" s="572"/>
      <c r="E120" s="572"/>
      <c r="F120" s="572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71" t="str">
        <f>+VLOOKUP(LEFT($A121,LEN(A121)-1)*1,Master!$D$29:$G$228,4,FALSE)</f>
        <v>Kapitalni izdaci</v>
      </c>
      <c r="C121" s="572"/>
      <c r="D121" s="572"/>
      <c r="E121" s="572"/>
      <c r="F121" s="572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3" t="str">
        <f>+VLOOKUP(LEFT($A122,LEN(A122)-1)*1,Master!$D$29:$G$228,4,FALSE)</f>
        <v>Pozajmice i krediti</v>
      </c>
      <c r="C122" s="564"/>
      <c r="D122" s="564"/>
      <c r="E122" s="564"/>
      <c r="F122" s="564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3" t="str">
        <f>+VLOOKUP(LEFT($A123,LEN(A123)-1)*1,Master!$D$29:$G$228,4,FALSE)</f>
        <v>Rezerve</v>
      </c>
      <c r="C123" s="564"/>
      <c r="D123" s="564"/>
      <c r="E123" s="564"/>
      <c r="F123" s="564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3" t="str">
        <f>+VLOOKUP(LEFT($A124,LEN(A124)-1)*1,Master!$D$29:$G$228,4,FALSE)</f>
        <v>Otplata garancija</v>
      </c>
      <c r="C124" s="564"/>
      <c r="D124" s="564"/>
      <c r="E124" s="564"/>
      <c r="F124" s="564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3" t="str">
        <f>+VLOOKUP(LEFT($A125,LEN(A125)-1)*1,Master!$D$29:$G$228,4,FALSE)</f>
        <v>Otplata obaveza iz prethodnog perioda</v>
      </c>
      <c r="C125" s="564"/>
      <c r="D125" s="564"/>
      <c r="E125" s="564"/>
      <c r="F125" s="564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3" t="str">
        <f>+VLOOKUP(LEFT($A126,LEN(A126)-1)*1,Master!$D$29:$G$228,4,FALSE)</f>
        <v>Neto povećanje obaveza</v>
      </c>
      <c r="C126" s="564"/>
      <c r="D126" s="564"/>
      <c r="E126" s="564"/>
      <c r="F126" s="564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65" t="str">
        <f>+VLOOKUP(LEFT($A127,LEN(A127)-1)*1,Master!$D$29:$G$225,4,FALSE)</f>
        <v>Suficit / deficit</v>
      </c>
      <c r="C127" s="566"/>
      <c r="D127" s="566"/>
      <c r="E127" s="566"/>
      <c r="F127" s="566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7" t="str">
        <f>+VLOOKUP(LEFT($A128,LEN(A128)-1)*1,Master!$D$29:$G$225,4,FALSE)</f>
        <v>Primarni suficit/deficit</v>
      </c>
      <c r="C128" s="568"/>
      <c r="D128" s="568"/>
      <c r="E128" s="568"/>
      <c r="F128" s="568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69" t="str">
        <f>+VLOOKUP(LEFT($A129,LEN(A129)-1)*1,Master!$D$29:$G$225,4,FALSE)</f>
        <v>Otplata dugova</v>
      </c>
      <c r="C129" s="570"/>
      <c r="D129" s="570"/>
      <c r="E129" s="570"/>
      <c r="F129" s="570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5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61" t="str">
        <f>+VLOOKUP(LEFT($A130,LEN(A130)-1)*1,Master!$D$29:$G$225,4,FALSE)</f>
        <v>Otplata hartija od vrijednosti i kredita rezidentima</v>
      </c>
      <c r="C130" s="562"/>
      <c r="D130" s="562"/>
      <c r="E130" s="562"/>
      <c r="F130" s="562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4">
        <v>294018.01</v>
      </c>
      <c r="N130" s="484">
        <v>1750047.75</v>
      </c>
      <c r="O130" s="484">
        <v>2421267.87</v>
      </c>
      <c r="P130" s="484">
        <v>3875503.62</v>
      </c>
      <c r="Q130" s="484">
        <v>3741551.76</v>
      </c>
      <c r="R130" s="484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3" t="str">
        <f>+VLOOKUP(LEFT($A131,LEN(A131)-1)*1,Master!$D$29:$G$225,4,FALSE)</f>
        <v>Otplata hartija od vrijednosti i kredita nerezidentima</v>
      </c>
      <c r="C131" s="564"/>
      <c r="D131" s="564"/>
      <c r="E131" s="564"/>
      <c r="F131" s="564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4">
        <v>25464619.924741425</v>
      </c>
      <c r="N131" s="484">
        <v>3126864.3779565003</v>
      </c>
      <c r="O131" s="484">
        <v>11497770.422649164</v>
      </c>
      <c r="P131" s="484">
        <v>3625120.5096505</v>
      </c>
      <c r="Q131" s="484">
        <v>4121213.775667767</v>
      </c>
      <c r="R131" s="484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7" t="str">
        <f>+VLOOKUP(LEFT($A132,LEN(A132)-1)*1,Master!$D$29:$G$225,4,FALSE)</f>
        <v>Izdaci za kupovinu hartija od vrijednosti</v>
      </c>
      <c r="C132" s="558"/>
      <c r="D132" s="558"/>
      <c r="E132" s="558"/>
      <c r="F132" s="558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59" t="str">
        <f>+VLOOKUP(LEFT($A133,LEN(A133)-1)*1,Master!$D$29:$G$225,4,FALSE)</f>
        <v>Nedostajuća sredstva</v>
      </c>
      <c r="C133" s="560"/>
      <c r="D133" s="560"/>
      <c r="E133" s="560"/>
      <c r="F133" s="560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57" t="str">
        <f>+VLOOKUP(LEFT($A134,LEN(A134)-1)*1,Master!$D$29:$G$225,4,FALSE)</f>
        <v>Finansiranje</v>
      </c>
      <c r="C134" s="558"/>
      <c r="D134" s="558"/>
      <c r="E134" s="558"/>
      <c r="F134" s="558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61" t="str">
        <f>+VLOOKUP(LEFT($A135,LEN(A135)-1)*1,Master!$D$29:$G$225,4,FALSE)</f>
        <v>Pozajmice i krediti od domaćih izvora</v>
      </c>
      <c r="C135" s="562"/>
      <c r="D135" s="562"/>
      <c r="E135" s="562"/>
      <c r="F135" s="562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3" t="str">
        <f>+VLOOKUP(LEFT($A136,LEN(A136)-1)*1,Master!$D$29:$G$225,4,FALSE)</f>
        <v>Pozajmice i krediti od inostranih izvora</v>
      </c>
      <c r="C136" s="564"/>
      <c r="D136" s="564"/>
      <c r="E136" s="564"/>
      <c r="F136" s="564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3" t="str">
        <f>+VLOOKUP(LEFT($A137,LEN(A137)-1)*1,Master!$D$29:$G$225,4,FALSE)</f>
        <v>Primici od prodaje imovine</v>
      </c>
      <c r="C137" s="564"/>
      <c r="D137" s="564"/>
      <c r="E137" s="564"/>
      <c r="F137" s="564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6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topLeftCell="B1" zoomScaleNormal="100" workbookViewId="0">
      <pane ySplit="1" topLeftCell="A2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499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6" t="str">
        <f>+Master!G251</f>
        <v>Ostvarenje budžeta</v>
      </c>
      <c r="C7" s="510"/>
      <c r="D7" s="510"/>
      <c r="E7" s="510"/>
      <c r="F7" s="510"/>
      <c r="G7" s="518">
        <v>2020</v>
      </c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22"/>
      <c r="S7" s="235" t="str">
        <f>+Master!G248</f>
        <v>BDP</v>
      </c>
      <c r="T7" s="236">
        <v>4185600000</v>
      </c>
    </row>
    <row r="8" spans="1:20" ht="16.5" customHeight="1">
      <c r="A8" s="144"/>
      <c r="B8" s="511"/>
      <c r="C8" s="512"/>
      <c r="D8" s="512"/>
      <c r="E8" s="512"/>
      <c r="F8" s="513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8" t="str">
        <f>+Master!G246</f>
        <v>Jan - Dec</v>
      </c>
      <c r="T8" s="522"/>
    </row>
    <row r="9" spans="1:20" ht="13.5" thickBot="1">
      <c r="A9" s="144"/>
      <c r="B9" s="514"/>
      <c r="C9" s="515"/>
      <c r="D9" s="515"/>
      <c r="E9" s="515"/>
      <c r="F9" s="51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51" t="str">
        <f>+VLOOKUP($A10,Master!$D$29:$G$225,4,FALSE)</f>
        <v>Prihodi budžeta</v>
      </c>
      <c r="C10" s="552"/>
      <c r="D10" s="552"/>
      <c r="E10" s="552"/>
      <c r="F10" s="552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3" t="str">
        <f>+VLOOKUP($A11,Master!$D$29:$G$225,4,FALSE)</f>
        <v>Porezi</v>
      </c>
      <c r="C11" s="554"/>
      <c r="D11" s="554"/>
      <c r="E11" s="554"/>
      <c r="F11" s="55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39" t="str">
        <f>+VLOOKUP($A12,Master!$D$29:$G$225,4,FALSE)</f>
        <v>Porez na dohodak fizičkih lica</v>
      </c>
      <c r="C12" s="540"/>
      <c r="D12" s="540"/>
      <c r="E12" s="540"/>
      <c r="F12" s="540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39" t="str">
        <f>+VLOOKUP($A13,Master!$D$29:$G$225,4,FALSE)</f>
        <v>Porez na dobit pravnih lica</v>
      </c>
      <c r="C13" s="540"/>
      <c r="D13" s="540"/>
      <c r="E13" s="540"/>
      <c r="F13" s="540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39" t="str">
        <f>+VLOOKUP($A14,Master!$D$29:$G$225,4,FALSE)</f>
        <v>Porez na promet nepokretnosti</v>
      </c>
      <c r="C14" s="540"/>
      <c r="D14" s="540"/>
      <c r="E14" s="540"/>
      <c r="F14" s="540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39" t="str">
        <f>+VLOOKUP($A15,Master!$D$29:$G$225,4,FALSE)</f>
        <v>Porez na dodatu vrijednost</v>
      </c>
      <c r="C15" s="540"/>
      <c r="D15" s="540"/>
      <c r="E15" s="540"/>
      <c r="F15" s="540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39" t="str">
        <f>+VLOOKUP($A16,Master!$D$29:$G$225,4,FALSE)</f>
        <v>Akcize</v>
      </c>
      <c r="C16" s="540"/>
      <c r="D16" s="540"/>
      <c r="E16" s="540"/>
      <c r="F16" s="540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39" t="str">
        <f>+VLOOKUP($A17,Master!$D$29:$G$225,4,FALSE)</f>
        <v>Porez na međunarodnu trgovinu i transakcije</v>
      </c>
      <c r="C17" s="540"/>
      <c r="D17" s="540"/>
      <c r="E17" s="540"/>
      <c r="F17" s="540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39" t="str">
        <f>+VLOOKUP($A18,Master!$D$29:$G$225,4,FALSE)</f>
        <v>Ostali državni porezi</v>
      </c>
      <c r="C18" s="540"/>
      <c r="D18" s="540"/>
      <c r="E18" s="540"/>
      <c r="F18" s="540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49" t="str">
        <f>+VLOOKUP($A19,Master!$D$29:$G$225,4,FALSE)</f>
        <v>Doprinosi</v>
      </c>
      <c r="C19" s="550"/>
      <c r="D19" s="550"/>
      <c r="E19" s="550"/>
      <c r="F19" s="55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39" t="str">
        <f>+VLOOKUP($A20,Master!$D$29:$G$225,4,FALSE)</f>
        <v>Doprinosi za penzijsko i invalidsko osiguranje</v>
      </c>
      <c r="C20" s="540"/>
      <c r="D20" s="540"/>
      <c r="E20" s="540"/>
      <c r="F20" s="540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39" t="str">
        <f>+VLOOKUP($A21,Master!$D$29:$G$225,4,FALSE)</f>
        <v>Doprinosi za zdravstveno osiguranje</v>
      </c>
      <c r="C21" s="540"/>
      <c r="D21" s="540"/>
      <c r="E21" s="540"/>
      <c r="F21" s="540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39" t="str">
        <f>+VLOOKUP($A22,Master!$D$29:$G$225,4,FALSE)</f>
        <v>Doprinosi za osiguranje od nezaposlenosti</v>
      </c>
      <c r="C22" s="540"/>
      <c r="D22" s="540"/>
      <c r="E22" s="540"/>
      <c r="F22" s="540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39" t="str">
        <f>+VLOOKUP($A23,Master!$D$29:$G$225,4,FALSE)</f>
        <v>Ostali doprinosi</v>
      </c>
      <c r="C23" s="540"/>
      <c r="D23" s="540"/>
      <c r="E23" s="540"/>
      <c r="F23" s="540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41" t="str">
        <f>+VLOOKUP($A24,Master!$D$29:$G$225,4,FALSE)</f>
        <v>Takse</v>
      </c>
      <c r="C24" s="542"/>
      <c r="D24" s="542"/>
      <c r="E24" s="542"/>
      <c r="F24" s="542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41" t="str">
        <f>+VLOOKUP($A25,Master!$D$29:$G$225,4,FALSE)</f>
        <v>Naknade</v>
      </c>
      <c r="C25" s="542"/>
      <c r="D25" s="542"/>
      <c r="E25" s="542"/>
      <c r="F25" s="542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41" t="str">
        <f>+VLOOKUP($A26,Master!$D$29:$G$225,4,FALSE)</f>
        <v>Ostali prihodi</v>
      </c>
      <c r="C26" s="542"/>
      <c r="D26" s="542"/>
      <c r="E26" s="542"/>
      <c r="F26" s="542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41" t="str">
        <f>+VLOOKUP($A27,Master!$D$29:$G$225,4,FALSE)</f>
        <v>Primici od otplate kredita i sredstva prenesena iz prethodne godine</v>
      </c>
      <c r="C27" s="542"/>
      <c r="D27" s="542"/>
      <c r="E27" s="542"/>
      <c r="F27" s="542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3" t="str">
        <f>+VLOOKUP($A28,Master!$D$29:$G$225,4,FALSE)</f>
        <v>Donacije i transferi</v>
      </c>
      <c r="C28" s="544"/>
      <c r="D28" s="544"/>
      <c r="E28" s="544"/>
      <c r="F28" s="544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9" t="str">
        <f>+VLOOKUP($A29,Master!$D$29:$G$225,4,FALSE)</f>
        <v>Izdaci budžeta</v>
      </c>
      <c r="C29" s="530"/>
      <c r="D29" s="530"/>
      <c r="E29" s="530"/>
      <c r="F29" s="530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47" t="str">
        <f>+VLOOKUP($A30,Master!$D$29:$G$225,4,FALSE)</f>
        <v>Tekući izdaci</v>
      </c>
      <c r="C30" s="548"/>
      <c r="D30" s="548"/>
      <c r="E30" s="548"/>
      <c r="F30" s="548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39" t="str">
        <f>+VLOOKUP($A31,Master!$D$29:$G$225,4,FALSE)</f>
        <v>Bruto zarade i doprinosi na teret poslodavca</v>
      </c>
      <c r="C31" s="540"/>
      <c r="D31" s="540"/>
      <c r="E31" s="540"/>
      <c r="F31" s="540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39" t="str">
        <f>+VLOOKUP($A32,Master!$D$29:$G$225,4,FALSE)</f>
        <v>Ostala lična primanja</v>
      </c>
      <c r="C32" s="540"/>
      <c r="D32" s="540"/>
      <c r="E32" s="540"/>
      <c r="F32" s="540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39" t="str">
        <f>+VLOOKUP($A33,Master!$D$29:$G$225,4,FALSE)</f>
        <v>Rashodi za materijal</v>
      </c>
      <c r="C33" s="540"/>
      <c r="D33" s="540"/>
      <c r="E33" s="540"/>
      <c r="F33" s="540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04" t="str">
        <f>+VLOOKUP($A34,Master!$D$29:$G$225,4,FALSE)</f>
        <v>Rashodi za usluge</v>
      </c>
      <c r="C34" s="605"/>
      <c r="D34" s="605"/>
      <c r="E34" s="605"/>
      <c r="F34" s="605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39" t="str">
        <f>+VLOOKUP($A35,Master!$D$29:$G$225,4,FALSE)</f>
        <v>Rashodi za tekuće održavanje</v>
      </c>
      <c r="C35" s="540"/>
      <c r="D35" s="540"/>
      <c r="E35" s="540"/>
      <c r="F35" s="540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39" t="str">
        <f>+VLOOKUP($A36,Master!$D$29:$G$225,4,FALSE)</f>
        <v>Kamate</v>
      </c>
      <c r="C36" s="540"/>
      <c r="D36" s="540"/>
      <c r="E36" s="540"/>
      <c r="F36" s="540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39" t="str">
        <f>+VLOOKUP($A37,Master!$D$29:$G$225,4,FALSE)</f>
        <v>Renta</v>
      </c>
      <c r="C37" s="540"/>
      <c r="D37" s="540"/>
      <c r="E37" s="540"/>
      <c r="F37" s="540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39" t="str">
        <f>+VLOOKUP($A38,Master!$D$29:$G$225,4,FALSE)</f>
        <v>Subvencije</v>
      </c>
      <c r="C38" s="540"/>
      <c r="D38" s="540"/>
      <c r="E38" s="540"/>
      <c r="F38" s="540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04" t="str">
        <f>+VLOOKUP($A39,Master!$D$29:$G$225,4,FALSE)</f>
        <v>Ostali izdaci</v>
      </c>
      <c r="C39" s="605"/>
      <c r="D39" s="605"/>
      <c r="E39" s="605"/>
      <c r="F39" s="605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5" t="str">
        <f>+VLOOKUP($A40,Master!$D$29:$G$225,4,FALSE)</f>
        <v>Transferi za socijalnu zaštitu</v>
      </c>
      <c r="C40" s="536"/>
      <c r="D40" s="536"/>
      <c r="E40" s="536"/>
      <c r="F40" s="536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39" t="str">
        <f>+VLOOKUP($A41,Master!$D$29:$G$225,4,FALSE)</f>
        <v>Prava iz oblasti socijalne zaštite</v>
      </c>
      <c r="C41" s="540"/>
      <c r="D41" s="540"/>
      <c r="E41" s="540"/>
      <c r="F41" s="540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39" t="str">
        <f>+VLOOKUP($A42,Master!$D$29:$G$225,4,FALSE)</f>
        <v>Sredstva za tehnološke viškove</v>
      </c>
      <c r="C42" s="540"/>
      <c r="D42" s="540"/>
      <c r="E42" s="540"/>
      <c r="F42" s="540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39" t="str">
        <f>+VLOOKUP($A43,Master!$D$29:$G$225,4,FALSE)</f>
        <v>Prava iz oblasti penzijskog i invalidskog osiguranja</v>
      </c>
      <c r="C43" s="540"/>
      <c r="D43" s="540"/>
      <c r="E43" s="540"/>
      <c r="F43" s="540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39" t="str">
        <f>+VLOOKUP($A44,Master!$D$29:$G$225,4,FALSE)</f>
        <v>Ostala prava iz oblasti zdravstvene zaštite</v>
      </c>
      <c r="C44" s="540"/>
      <c r="D44" s="540"/>
      <c r="E44" s="540"/>
      <c r="F44" s="540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00" t="str">
        <f>+VLOOKUP($A45,Master!$D$29:$G$225,4,FALSE)</f>
        <v>Ostala prava iz zdravstvenog osiguranja</v>
      </c>
      <c r="C45" s="601"/>
      <c r="D45" s="601"/>
      <c r="E45" s="601"/>
      <c r="F45" s="601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7" t="str">
        <f>+VLOOKUP($A46,Master!$D$29:$G$225,4,FALSE)</f>
        <v xml:space="preserve">Transferi institucijama, pojedincima, nevladinom i javnom sektoru </v>
      </c>
      <c r="C46" s="538"/>
      <c r="D46" s="538"/>
      <c r="E46" s="538"/>
      <c r="F46" s="538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7" t="str">
        <f>+VLOOKUP($A47,Master!$D$29:$G$225,4,FALSE)</f>
        <v>Kapitalni izdaci</v>
      </c>
      <c r="C47" s="538"/>
      <c r="D47" s="538"/>
      <c r="E47" s="538"/>
      <c r="F47" s="538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02" t="str">
        <f>+VLOOKUP($A48,Master!$D$29:$G$225,4,FALSE)</f>
        <v>Pozajmice i krediti</v>
      </c>
      <c r="C48" s="603"/>
      <c r="D48" s="603"/>
      <c r="E48" s="603"/>
      <c r="F48" s="603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94" t="str">
        <f>+VLOOKUP($A49,Master!$D$29:$G$225,4,FALSE)</f>
        <v>Rezerve</v>
      </c>
      <c r="C49" s="595"/>
      <c r="D49" s="595"/>
      <c r="E49" s="595"/>
      <c r="F49" s="595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96" t="str">
        <f>+VLOOKUP($A51,Master!$D$29:$G$225,4,TRUE)</f>
        <v>Otplata obaveza iz prethodnog perioda</v>
      </c>
      <c r="C51" s="597"/>
      <c r="D51" s="597"/>
      <c r="E51" s="597"/>
      <c r="F51" s="597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98" t="str">
        <f>+VLOOKUP($A52,Master!$D$29:$G$227,4,FALSE)</f>
        <v>Neto povećanje obaveza</v>
      </c>
      <c r="C52" s="599"/>
      <c r="D52" s="599"/>
      <c r="E52" s="599"/>
      <c r="F52" s="599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31" t="str">
        <f>+VLOOKUP($A53,Master!$D$29:$G$225,4,FALSE)</f>
        <v>Suficit / deficit</v>
      </c>
      <c r="C53" s="532"/>
      <c r="D53" s="532"/>
      <c r="E53" s="532"/>
      <c r="F53" s="532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3" t="str">
        <f>+VLOOKUP($A54,Master!$D$29:$G$225,4,FALSE)</f>
        <v>Primarni suficit/deficit</v>
      </c>
      <c r="C54" s="534"/>
      <c r="D54" s="534"/>
      <c r="E54" s="534"/>
      <c r="F54" s="534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5" t="str">
        <f>+VLOOKUP($A55,Master!$D$29:$G$225,4,FALSE)</f>
        <v>Otplata dugova</v>
      </c>
      <c r="C55" s="556"/>
      <c r="D55" s="556"/>
      <c r="E55" s="556"/>
      <c r="F55" s="556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3" t="str">
        <f>+VLOOKUP($A56,Master!$D$29:$G$225,4,FALSE)</f>
        <v>Otplata hartija od vrijednosti i kredita rezidentima</v>
      </c>
      <c r="C56" s="524"/>
      <c r="D56" s="524"/>
      <c r="E56" s="524"/>
      <c r="F56" s="524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07" t="str">
        <f>+VLOOKUP($A57,Master!$D$29:$G$225,4,FALSE)</f>
        <v>Otplata hartija od vrijednosti i kredita nerezidentima</v>
      </c>
      <c r="C57" s="508"/>
      <c r="D57" s="508"/>
      <c r="E57" s="508"/>
      <c r="F57" s="508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45" t="str">
        <f>+VLOOKUP($A58,Master!$D$29:$G$225,4,FALSE)</f>
        <v>Izdaci za kupovinu hartija od vrijednosti</v>
      </c>
      <c r="C58" s="546"/>
      <c r="D58" s="546"/>
      <c r="E58" s="546"/>
      <c r="F58" s="546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27" t="str">
        <f>+VLOOKUP($A59,Master!$D$29:$G$225,4,FALSE)</f>
        <v>Nedostajuća sredstva</v>
      </c>
      <c r="C59" s="528"/>
      <c r="D59" s="528"/>
      <c r="E59" s="528"/>
      <c r="F59" s="528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9" t="str">
        <f>+VLOOKUP($A60,Master!$D$29:$G$225,4,FALSE)</f>
        <v>Finansiranje</v>
      </c>
      <c r="C60" s="530"/>
      <c r="D60" s="530"/>
      <c r="E60" s="530"/>
      <c r="F60" s="530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3" t="str">
        <f>+VLOOKUP($A61,Master!$D$29:$G$225,4,FALSE)</f>
        <v>Pozajmice i krediti od domaćih izvora</v>
      </c>
      <c r="C61" s="524"/>
      <c r="D61" s="524"/>
      <c r="E61" s="524"/>
      <c r="F61" s="524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07" t="str">
        <f>+VLOOKUP($A62,Master!$D$29:$G$225,4,FALSE)</f>
        <v>Pozajmice i krediti od inostranih izvora</v>
      </c>
      <c r="C62" s="508"/>
      <c r="D62" s="508"/>
      <c r="E62" s="508"/>
      <c r="F62" s="508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07" t="str">
        <f>+VLOOKUP($A63,Master!$D$29:$G$225,4,FALSE)</f>
        <v>Primici od prodaje imovine</v>
      </c>
      <c r="C63" s="508"/>
      <c r="D63" s="508"/>
      <c r="E63" s="508"/>
      <c r="F63" s="508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3" t="str">
        <f>+Master!G252</f>
        <v>Plan ostvarenja budžeta</v>
      </c>
      <c r="C100" s="584"/>
      <c r="D100" s="584"/>
      <c r="E100" s="584"/>
      <c r="F100" s="584"/>
      <c r="G100" s="591">
        <v>2020</v>
      </c>
      <c r="H100" s="592"/>
      <c r="I100" s="592"/>
      <c r="J100" s="592"/>
      <c r="K100" s="592"/>
      <c r="L100" s="592"/>
      <c r="M100" s="592"/>
      <c r="N100" s="592"/>
      <c r="O100" s="592"/>
      <c r="P100" s="592"/>
      <c r="Q100" s="592"/>
      <c r="R100" s="593"/>
      <c r="S100" s="107" t="str">
        <f>+S7</f>
        <v>BDP</v>
      </c>
      <c r="T100" s="108">
        <v>4607300000</v>
      </c>
    </row>
    <row r="101" spans="1:21" ht="15.75" customHeight="1">
      <c r="B101" s="585"/>
      <c r="C101" s="586"/>
      <c r="D101" s="586"/>
      <c r="E101" s="586"/>
      <c r="F101" s="58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1" t="str">
        <f>+Master!G246</f>
        <v>Jan - Dec</v>
      </c>
      <c r="T101" s="593">
        <f>+T8</f>
        <v>0</v>
      </c>
    </row>
    <row r="102" spans="1:21" ht="13.5" thickBot="1">
      <c r="B102" s="588"/>
      <c r="C102" s="589"/>
      <c r="D102" s="589"/>
      <c r="E102" s="589"/>
      <c r="F102" s="590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09" t="str">
        <f>+VLOOKUP(LEFT($A103,LEN(A103)-1)*1,Master!$D$29:$G$225,4,FALSE)</f>
        <v>Prihodi budžeta</v>
      </c>
      <c r="C103" s="610"/>
      <c r="D103" s="610"/>
      <c r="E103" s="610"/>
      <c r="F103" s="61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1" t="str">
        <f>+VLOOKUP(LEFT($A104,LEN(A104)-1)*1,Master!$D$29:$G$225,4,FALSE)</f>
        <v>Porezi</v>
      </c>
      <c r="C104" s="582"/>
      <c r="D104" s="582"/>
      <c r="E104" s="582"/>
      <c r="F104" s="58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3" t="str">
        <f>+VLOOKUP(LEFT($A105,LEN(A105)-1)*1,Master!$D$29:$G$228,4,FALSE)</f>
        <v>Porez na dohodak fizičkih lica</v>
      </c>
      <c r="C105" s="574"/>
      <c r="D105" s="574"/>
      <c r="E105" s="574"/>
      <c r="F105" s="574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3" t="str">
        <f>+VLOOKUP(LEFT($A106,LEN(A106)-1)*1,Master!$D$29:$G$228,4,FALSE)</f>
        <v>Porez na dobit pravnih lica</v>
      </c>
      <c r="C106" s="574"/>
      <c r="D106" s="574"/>
      <c r="E106" s="574"/>
      <c r="F106" s="574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3" t="str">
        <f>+VLOOKUP(LEFT($A107,LEN(A107)-1)*1,Master!$D$29:$G$228,4,FALSE)</f>
        <v>Porez na promet nepokretnosti</v>
      </c>
      <c r="C107" s="574"/>
      <c r="D107" s="574"/>
      <c r="E107" s="574"/>
      <c r="F107" s="574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3" t="str">
        <f>+VLOOKUP(LEFT($A108,LEN(A108)-1)*1,Master!$D$29:$G$228,4,FALSE)</f>
        <v>Porez na dodatu vrijednost</v>
      </c>
      <c r="C108" s="574"/>
      <c r="D108" s="574"/>
      <c r="E108" s="574"/>
      <c r="F108" s="574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3" t="str">
        <f>+VLOOKUP(LEFT($A109,LEN(A109)-1)*1,Master!$D$29:$G$228,4,FALSE)</f>
        <v>Akcize</v>
      </c>
      <c r="C109" s="574"/>
      <c r="D109" s="574"/>
      <c r="E109" s="574"/>
      <c r="F109" s="574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3" t="str">
        <f>+VLOOKUP(LEFT($A110,LEN(A110)-1)*1,Master!$D$29:$G$228,4,FALSE)</f>
        <v>Porez na međunarodnu trgovinu i transakcije</v>
      </c>
      <c r="C110" s="574"/>
      <c r="D110" s="574"/>
      <c r="E110" s="574"/>
      <c r="F110" s="574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3" t="str">
        <f>+VLOOKUP(LEFT($A111,LEN(A111)-1)*1,Master!$D$29:$G$228,4,FALSE)</f>
        <v>Ostali državni porezi</v>
      </c>
      <c r="C111" s="574"/>
      <c r="D111" s="574"/>
      <c r="E111" s="574"/>
      <c r="F111" s="574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607" t="str">
        <f>+VLOOKUP(LEFT($A112,LEN(A112)-1)*1,Master!$D$29:$G$228,4,FALSE)</f>
        <v>Doprinosi</v>
      </c>
      <c r="C112" s="608"/>
      <c r="D112" s="608"/>
      <c r="E112" s="608"/>
      <c r="F112" s="608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3" t="str">
        <f>+VLOOKUP(LEFT($A113,LEN(A113)-1)*1,Master!$D$29:$G$228,4,FALSE)</f>
        <v>Doprinosi za penzijsko i invalidsko osiguranje</v>
      </c>
      <c r="C113" s="574"/>
      <c r="D113" s="574"/>
      <c r="E113" s="574"/>
      <c r="F113" s="574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3" t="str">
        <f>+VLOOKUP(LEFT($A114,LEN(A114)-1)*1,Master!$D$29:$G$228,4,FALSE)</f>
        <v>Doprinosi za zdravstveno osiguranje</v>
      </c>
      <c r="C114" s="574"/>
      <c r="D114" s="574"/>
      <c r="E114" s="574"/>
      <c r="F114" s="574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3" t="str">
        <f>+VLOOKUP(LEFT($A115,LEN(A115)-1)*1,Master!$D$29:$G$228,4,FALSE)</f>
        <v>Doprinosi za osiguranje od nezaposlenosti</v>
      </c>
      <c r="C115" s="574"/>
      <c r="D115" s="574"/>
      <c r="E115" s="574"/>
      <c r="F115" s="574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3" t="str">
        <f>+VLOOKUP(LEFT($A116,LEN(A116)-1)*1,Master!$D$29:$G$228,4,FALSE)</f>
        <v>Ostali doprinosi</v>
      </c>
      <c r="C116" s="574"/>
      <c r="D116" s="574"/>
      <c r="E116" s="574"/>
      <c r="F116" s="574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79" t="str">
        <f>+VLOOKUP(LEFT($A117,LEN(A117)-1)*1,Master!$D$29:$G$228,4,FALSE)</f>
        <v>Takse</v>
      </c>
      <c r="C117" s="580"/>
      <c r="D117" s="580"/>
      <c r="E117" s="580"/>
      <c r="F117" s="580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79" t="str">
        <f>+VLOOKUP(LEFT($A118,LEN(A118)-1)*1,Master!$D$29:$G$228,4,FALSE)</f>
        <v>Naknade</v>
      </c>
      <c r="C118" s="580"/>
      <c r="D118" s="580"/>
      <c r="E118" s="580"/>
      <c r="F118" s="580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79" t="str">
        <f>+VLOOKUP(LEFT($A119,LEN(A119)-1)*1,Master!$D$29:$G$228,4,FALSE)</f>
        <v>Ostali prihodi</v>
      </c>
      <c r="C119" s="580"/>
      <c r="D119" s="580"/>
      <c r="E119" s="580"/>
      <c r="F119" s="580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79" t="str">
        <f>+VLOOKUP(LEFT($A120,LEN(A120)-1)*1,Master!$D$29:$G$228,4,FALSE)</f>
        <v>Primici od otplate kredita i sredstva prenesena iz prethodne godine</v>
      </c>
      <c r="C120" s="580"/>
      <c r="D120" s="580"/>
      <c r="E120" s="580"/>
      <c r="F120" s="580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75" t="str">
        <f>+VLOOKUP(LEFT($A121,LEN(A121)-1)*1,Master!$D$29:$G$228,4,FALSE)</f>
        <v>Donacije i transferi</v>
      </c>
      <c r="C121" s="576"/>
      <c r="D121" s="576"/>
      <c r="E121" s="576"/>
      <c r="F121" s="576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57" t="str">
        <f>+VLOOKUP(LEFT($A122,LEN(A122)-1)*1,Master!$D$29:$G$228,4,FALSE)</f>
        <v>Izdaci budžeta</v>
      </c>
      <c r="C122" s="558"/>
      <c r="D122" s="558"/>
      <c r="E122" s="558"/>
      <c r="F122" s="558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77" t="str">
        <f>+VLOOKUP(LEFT($A123,LEN(A123)-1)*1,Master!$D$29:$G$228,4,FALSE)</f>
        <v>Tekući izdaci</v>
      </c>
      <c r="C123" s="578"/>
      <c r="D123" s="578"/>
      <c r="E123" s="578"/>
      <c r="F123" s="578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3" t="str">
        <f>+VLOOKUP(LEFT($A124,LEN(A124)-1)*1,Master!$D$29:$G$228,4,FALSE)</f>
        <v>Bruto zarade i doprinosi na teret poslodavca</v>
      </c>
      <c r="C124" s="574"/>
      <c r="D124" s="574"/>
      <c r="E124" s="574"/>
      <c r="F124" s="574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3" t="str">
        <f>+VLOOKUP(LEFT($A125,LEN(A125)-1)*1,Master!$D$29:$G$228,4,FALSE)</f>
        <v>Ostala lična primanja</v>
      </c>
      <c r="C125" s="574"/>
      <c r="D125" s="574"/>
      <c r="E125" s="574"/>
      <c r="F125" s="574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3" t="str">
        <f>+VLOOKUP(LEFT($A126,LEN(A126)-1)*1,Master!$D$29:$G$228,4,FALSE)</f>
        <v>Rashodi za materijal</v>
      </c>
      <c r="C126" s="574"/>
      <c r="D126" s="574"/>
      <c r="E126" s="574"/>
      <c r="F126" s="574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3" t="str">
        <f>+VLOOKUP(LEFT($A127,LEN(A127)-1)*1,Master!$D$29:$G$228,4,FALSE)</f>
        <v>Rashodi za usluge</v>
      </c>
      <c r="C127" s="574"/>
      <c r="D127" s="574"/>
      <c r="E127" s="574"/>
      <c r="F127" s="574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3" t="str">
        <f>+VLOOKUP(LEFT($A128,LEN(A128)-1)*1,Master!$D$29:$G$228,4,FALSE)</f>
        <v>Rashodi za tekuće održavanje</v>
      </c>
      <c r="C128" s="574"/>
      <c r="D128" s="574"/>
      <c r="E128" s="574"/>
      <c r="F128" s="574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3" t="str">
        <f>+VLOOKUP(LEFT($A129,LEN(A129)-1)*1,Master!$D$29:$G$228,4,FALSE)</f>
        <v>Kamate</v>
      </c>
      <c r="C129" s="574"/>
      <c r="D129" s="574"/>
      <c r="E129" s="574"/>
      <c r="F129" s="574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3" t="str">
        <f>+VLOOKUP(LEFT($A130,LEN(A130)-1)*1,Master!$D$29:$G$228,4,FALSE)</f>
        <v>Renta</v>
      </c>
      <c r="C130" s="574"/>
      <c r="D130" s="574"/>
      <c r="E130" s="574"/>
      <c r="F130" s="574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3" t="str">
        <f>+VLOOKUP(LEFT($A131,LEN(A131)-1)*1,Master!$D$29:$G$228,4,FALSE)</f>
        <v>Subvencije</v>
      </c>
      <c r="C131" s="574"/>
      <c r="D131" s="574"/>
      <c r="E131" s="574"/>
      <c r="F131" s="574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3" t="str">
        <f>+VLOOKUP(LEFT($A132,LEN(A132)-1)*1,Master!$D$29:$G$228,4,FALSE)</f>
        <v>Ostali izdaci</v>
      </c>
      <c r="C132" s="574"/>
      <c r="D132" s="574"/>
      <c r="E132" s="574"/>
      <c r="F132" s="574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69" t="str">
        <f>+VLOOKUP(LEFT($A133,LEN(A133)-1)*1,Master!$D$29:$G$228,4,FALSE)</f>
        <v>Transferi za socijalnu zaštitu</v>
      </c>
      <c r="C133" s="570"/>
      <c r="D133" s="570"/>
      <c r="E133" s="570"/>
      <c r="F133" s="570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3" t="str">
        <f>+VLOOKUP(LEFT($A134,LEN(A134)-1)*1,Master!$D$29:$G$228,4,FALSE)</f>
        <v>Prava iz oblasti socijalne zaštite</v>
      </c>
      <c r="C134" s="574"/>
      <c r="D134" s="574"/>
      <c r="E134" s="574"/>
      <c r="F134" s="574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3" t="str">
        <f>+VLOOKUP(LEFT($A135,LEN(A135)-1)*1,Master!$D$29:$G$228,4,FALSE)</f>
        <v>Sredstva za tehnološke viškove</v>
      </c>
      <c r="C135" s="574"/>
      <c r="D135" s="574"/>
      <c r="E135" s="574"/>
      <c r="F135" s="574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3" t="str">
        <f>+VLOOKUP(LEFT($A136,LEN(A136)-1)*1,Master!$D$29:$G$228,4,FALSE)</f>
        <v>Prava iz oblasti penzijskog i invalidskog osiguranja</v>
      </c>
      <c r="C136" s="574"/>
      <c r="D136" s="574"/>
      <c r="E136" s="574"/>
      <c r="F136" s="574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3" t="str">
        <f>+VLOOKUP(LEFT($A137,LEN(A137)-1)*1,Master!$D$29:$G$228,4,FALSE)</f>
        <v>Ostala prava iz oblasti zdravstvene zaštite</v>
      </c>
      <c r="C137" s="574"/>
      <c r="D137" s="574"/>
      <c r="E137" s="574"/>
      <c r="F137" s="574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3" t="str">
        <f>+VLOOKUP(LEFT($A138,LEN(A138)-1)*1,Master!$D$29:$G$228,4,FALSE)</f>
        <v>Ostala prava iz zdravstvenog osiguranja</v>
      </c>
      <c r="C138" s="574"/>
      <c r="D138" s="574"/>
      <c r="E138" s="574"/>
      <c r="F138" s="574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71" t="str">
        <f>+VLOOKUP(LEFT($A139,LEN(A139)-1)*1,Master!$D$29:$G$228,4,FALSE)</f>
        <v xml:space="preserve">Transferi institucijama, pojedincima, nevladinom i javnom sektoru </v>
      </c>
      <c r="C139" s="572"/>
      <c r="D139" s="572"/>
      <c r="E139" s="572"/>
      <c r="F139" s="572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71" t="str">
        <f>+VLOOKUP(LEFT($A140,LEN(A140)-1)*1,Master!$D$29:$G$228,4,FALSE)</f>
        <v>Kapitalni izdaci</v>
      </c>
      <c r="C140" s="572"/>
      <c r="D140" s="572"/>
      <c r="E140" s="572"/>
      <c r="F140" s="572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3" t="str">
        <f>+VLOOKUP(LEFT($A141,LEN(A141)-1)*1,Master!$D$29:$G$228,4,FALSE)</f>
        <v>Pozajmice i krediti</v>
      </c>
      <c r="C141" s="564"/>
      <c r="D141" s="564"/>
      <c r="E141" s="564"/>
      <c r="F141" s="564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3" t="str">
        <f>+VLOOKUP(LEFT($A142,LEN(A142)-1)*1,Master!$D$29:$G$228,4,FALSE)</f>
        <v>Rezerve</v>
      </c>
      <c r="C142" s="564"/>
      <c r="D142" s="564"/>
      <c r="E142" s="564"/>
      <c r="F142" s="564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3" t="str">
        <f>+VLOOKUP(LEFT($A143,LEN(A143)-1)*1,Master!$D$29:$G$228,4,FALSE)</f>
        <v>Otplata garancija</v>
      </c>
      <c r="C143" s="564"/>
      <c r="D143" s="564"/>
      <c r="E143" s="564"/>
      <c r="F143" s="564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3" t="str">
        <f>+VLOOKUP(LEFT($A144,LEN(A144)-1)*1,Master!$D$29:$G$228,4,FALSE)</f>
        <v>Otplata obaveza iz prethodnog perioda</v>
      </c>
      <c r="C144" s="564"/>
      <c r="D144" s="564"/>
      <c r="E144" s="564"/>
      <c r="F144" s="564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3" t="str">
        <f>+VLOOKUP(LEFT($A145,LEN(A145)-1)*1,Master!$D$29:$G$228,4,FALSE)</f>
        <v>Neto povećanje obaveza</v>
      </c>
      <c r="C145" s="564"/>
      <c r="D145" s="564"/>
      <c r="E145" s="564"/>
      <c r="F145" s="564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65" t="str">
        <f>+VLOOKUP(LEFT($A146,LEN(A146)-1)*1,Master!$D$29:$G$225,4,FALSE)</f>
        <v>Suficit / deficit</v>
      </c>
      <c r="C146" s="566"/>
      <c r="D146" s="566"/>
      <c r="E146" s="566"/>
      <c r="F146" s="566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7" t="str">
        <f>+VLOOKUP(LEFT($A147,LEN(A147)-1)*1,Master!$D$29:$G$225,4,FALSE)</f>
        <v>Primarni suficit/deficit</v>
      </c>
      <c r="C147" s="568"/>
      <c r="D147" s="568"/>
      <c r="E147" s="568"/>
      <c r="F147" s="568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69" t="str">
        <f>+VLOOKUP(LEFT($A148,LEN(A148)-1)*1,Master!$D$29:$G$225,4,FALSE)</f>
        <v>Otplata dugova</v>
      </c>
      <c r="C148" s="570"/>
      <c r="D148" s="570"/>
      <c r="E148" s="570"/>
      <c r="F148" s="570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61" t="str">
        <f>+VLOOKUP(LEFT($A149,LEN(A149)-1)*1,Master!$D$29:$G$225,4,FALSE)</f>
        <v>Otplata hartija od vrijednosti i kredita rezidentima</v>
      </c>
      <c r="C149" s="562"/>
      <c r="D149" s="562"/>
      <c r="E149" s="562"/>
      <c r="F149" s="562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3" t="str">
        <f>+VLOOKUP(LEFT($A150,LEN(A150)-1)*1,Master!$D$29:$G$225,4,FALSE)</f>
        <v>Otplata hartija od vrijednosti i kredita nerezidentima</v>
      </c>
      <c r="C150" s="564"/>
      <c r="D150" s="564"/>
      <c r="E150" s="564"/>
      <c r="F150" s="564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57" t="str">
        <f>+VLOOKUP(LEFT($A151,LEN(A151)-1)*1,Master!$D$29:$G$225,4,FALSE)</f>
        <v>Izdaci za kupovinu hartija od vrijednosti</v>
      </c>
      <c r="C151" s="558"/>
      <c r="D151" s="558"/>
      <c r="E151" s="558"/>
      <c r="F151" s="558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9" t="str">
        <f>+VLOOKUP(LEFT($A152,LEN(A152)-1)*1,Master!$D$29:$G$225,4,FALSE)</f>
        <v>Nedostajuća sredstva</v>
      </c>
      <c r="C152" s="560"/>
      <c r="D152" s="560"/>
      <c r="E152" s="560"/>
      <c r="F152" s="560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57" t="str">
        <f>+VLOOKUP(LEFT($A153,LEN(A153)-1)*1,Master!$D$29:$G$225,4,FALSE)</f>
        <v>Finansiranje</v>
      </c>
      <c r="C153" s="558"/>
      <c r="D153" s="558"/>
      <c r="E153" s="558"/>
      <c r="F153" s="558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61" t="str">
        <f>+VLOOKUP(LEFT($A154,LEN(A154)-1)*1,Master!$D$29:$G$225,4,FALSE)</f>
        <v>Pozajmice i krediti od domaćih izvora</v>
      </c>
      <c r="C154" s="562"/>
      <c r="D154" s="562"/>
      <c r="E154" s="562"/>
      <c r="F154" s="562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3" t="str">
        <f>+VLOOKUP(LEFT($A155,LEN(A155)-1)*1,Master!$D$29:$G$225,4,FALSE)</f>
        <v>Pozajmice i krediti od inostranih izvora</v>
      </c>
      <c r="C155" s="564"/>
      <c r="D155" s="564"/>
      <c r="E155" s="564"/>
      <c r="F155" s="564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3" t="str">
        <f>+VLOOKUP(LEFT($A156,LEN(A156)-1)*1,Master!$D$29:$G$225,4,FALSE)</f>
        <v>Primici od prodaje imovine</v>
      </c>
      <c r="C156" s="564"/>
      <c r="D156" s="564"/>
      <c r="E156" s="564"/>
      <c r="F156" s="564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806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499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6" t="s">
        <v>554</v>
      </c>
      <c r="C7" s="510"/>
      <c r="D7" s="510"/>
      <c r="E7" s="510"/>
      <c r="F7" s="510"/>
      <c r="G7" s="518">
        <v>2019</v>
      </c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22"/>
      <c r="S7" s="235" t="s">
        <v>419</v>
      </c>
      <c r="T7" s="236">
        <v>4951000000</v>
      </c>
    </row>
    <row r="8" spans="1:20" ht="16.5" customHeight="1">
      <c r="A8" s="144"/>
      <c r="B8" s="511"/>
      <c r="C8" s="512"/>
      <c r="D8" s="512"/>
      <c r="E8" s="512"/>
      <c r="F8" s="51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8" t="s">
        <v>807</v>
      </c>
      <c r="T8" s="522"/>
    </row>
    <row r="9" spans="1:20" ht="13.5" thickBot="1">
      <c r="A9" s="144"/>
      <c r="B9" s="514"/>
      <c r="C9" s="515"/>
      <c r="D9" s="515"/>
      <c r="E9" s="515"/>
      <c r="F9" s="51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808</v>
      </c>
    </row>
    <row r="10" spans="1:20" ht="13.5" thickBot="1">
      <c r="A10" s="150">
        <v>7</v>
      </c>
      <c r="B10" s="529" t="s">
        <v>681</v>
      </c>
      <c r="C10" s="530"/>
      <c r="D10" s="530"/>
      <c r="E10" s="530"/>
      <c r="F10" s="530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+SUM(G10:O10)</f>
        <v>1338151716.3200002</v>
      </c>
      <c r="T10" s="368">
        <f>+S10/$T$7</f>
        <v>0.2702790782306605</v>
      </c>
    </row>
    <row r="11" spans="1:20" ht="13.5" thickBot="1">
      <c r="A11" s="150">
        <v>711</v>
      </c>
      <c r="B11" s="553" t="s">
        <v>21</v>
      </c>
      <c r="C11" s="554"/>
      <c r="D11" s="554"/>
      <c r="E11" s="554"/>
      <c r="F11" s="55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3">
        <f t="shared" ref="S11:S28" si="3">+SUM(G11:O11)</f>
        <v>878844461.47000003</v>
      </c>
      <c r="T11" s="369">
        <f t="shared" ref="T11:T64" si="4">+S11/$T$7</f>
        <v>0.17750847535245406</v>
      </c>
    </row>
    <row r="12" spans="1:20" ht="13.5" thickBot="1">
      <c r="A12" s="150">
        <v>7111</v>
      </c>
      <c r="B12" s="539" t="s">
        <v>23</v>
      </c>
      <c r="C12" s="540"/>
      <c r="D12" s="540"/>
      <c r="E12" s="540"/>
      <c r="F12" s="540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3">
        <f t="shared" si="3"/>
        <v>85547113.409999996</v>
      </c>
      <c r="T12" s="370">
        <f t="shared" si="4"/>
        <v>1.727875447586346E-2</v>
      </c>
    </row>
    <row r="13" spans="1:20" ht="13.5" thickBot="1">
      <c r="A13" s="150">
        <v>7112</v>
      </c>
      <c r="B13" s="539" t="s">
        <v>25</v>
      </c>
      <c r="C13" s="540"/>
      <c r="D13" s="540"/>
      <c r="E13" s="540"/>
      <c r="F13" s="540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3">
        <f t="shared" si="3"/>
        <v>63460533.5</v>
      </c>
      <c r="T13" s="370">
        <f t="shared" si="4"/>
        <v>1.2817720359523329E-2</v>
      </c>
    </row>
    <row r="14" spans="1:20" ht="13.5" thickBot="1">
      <c r="A14" s="150">
        <v>7113</v>
      </c>
      <c r="B14" s="539" t="s">
        <v>27</v>
      </c>
      <c r="C14" s="540"/>
      <c r="D14" s="540"/>
      <c r="E14" s="540"/>
      <c r="F14" s="540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3">
        <f t="shared" si="3"/>
        <v>1401042.18</v>
      </c>
      <c r="T14" s="370">
        <f t="shared" si="4"/>
        <v>2.8298165623106441E-4</v>
      </c>
    </row>
    <row r="15" spans="1:20" ht="13.5" thickBot="1">
      <c r="A15" s="150">
        <v>7114</v>
      </c>
      <c r="B15" s="539" t="s">
        <v>29</v>
      </c>
      <c r="C15" s="540"/>
      <c r="D15" s="540"/>
      <c r="E15" s="540"/>
      <c r="F15" s="540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3">
        <f t="shared" si="3"/>
        <v>517818183.34000003</v>
      </c>
      <c r="T15" s="370">
        <f t="shared" si="4"/>
        <v>0.10458860499697031</v>
      </c>
    </row>
    <row r="16" spans="1:20" ht="13.5" thickBot="1">
      <c r="A16" s="150">
        <v>7115</v>
      </c>
      <c r="B16" s="539" t="s">
        <v>31</v>
      </c>
      <c r="C16" s="540"/>
      <c r="D16" s="540"/>
      <c r="E16" s="540"/>
      <c r="F16" s="540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3">
        <f t="shared" si="3"/>
        <v>178709360.70000002</v>
      </c>
      <c r="T16" s="370">
        <f t="shared" si="4"/>
        <v>3.6095609109270857E-2</v>
      </c>
    </row>
    <row r="17" spans="1:25" ht="13.5" thickBot="1">
      <c r="A17" s="150">
        <v>7116</v>
      </c>
      <c r="B17" s="539" t="s">
        <v>33</v>
      </c>
      <c r="C17" s="540"/>
      <c r="D17" s="540"/>
      <c r="E17" s="540"/>
      <c r="F17" s="540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3">
        <f t="shared" si="3"/>
        <v>21570886.120000001</v>
      </c>
      <c r="T17" s="370">
        <f t="shared" si="4"/>
        <v>4.3568745950313074E-3</v>
      </c>
    </row>
    <row r="18" spans="1:25" ht="13.5" thickBot="1">
      <c r="A18" s="150">
        <v>7118</v>
      </c>
      <c r="B18" s="539" t="s">
        <v>722</v>
      </c>
      <c r="C18" s="540"/>
      <c r="D18" s="540"/>
      <c r="E18" s="540"/>
      <c r="F18" s="540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3">
        <f t="shared" si="3"/>
        <v>10337342.220000001</v>
      </c>
      <c r="T18" s="370">
        <f t="shared" si="4"/>
        <v>2.0879301595637246E-3</v>
      </c>
    </row>
    <row r="19" spans="1:25" ht="13.5" thickBot="1">
      <c r="A19" s="150">
        <v>712</v>
      </c>
      <c r="B19" s="549" t="s">
        <v>37</v>
      </c>
      <c r="C19" s="550"/>
      <c r="D19" s="550"/>
      <c r="E19" s="550"/>
      <c r="F19" s="55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3">
        <f t="shared" si="3"/>
        <v>370571042.34999996</v>
      </c>
      <c r="T19" s="371">
        <f t="shared" si="4"/>
        <v>7.4847716087659055E-2</v>
      </c>
    </row>
    <row r="20" spans="1:25" ht="13.5" thickBot="1">
      <c r="A20" s="150">
        <v>7121</v>
      </c>
      <c r="B20" s="539" t="s">
        <v>39</v>
      </c>
      <c r="C20" s="540"/>
      <c r="D20" s="540"/>
      <c r="E20" s="540"/>
      <c r="F20" s="540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3">
        <f t="shared" si="3"/>
        <v>220192746.31</v>
      </c>
      <c r="T20" s="370">
        <f t="shared" si="4"/>
        <v>4.447439836598667E-2</v>
      </c>
    </row>
    <row r="21" spans="1:25" ht="13.5" thickBot="1">
      <c r="A21" s="150">
        <v>7122</v>
      </c>
      <c r="B21" s="539" t="s">
        <v>41</v>
      </c>
      <c r="C21" s="540"/>
      <c r="D21" s="540"/>
      <c r="E21" s="540"/>
      <c r="F21" s="540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3">
        <f t="shared" si="3"/>
        <v>130738336.89</v>
      </c>
      <c r="T21" s="370">
        <f t="shared" si="4"/>
        <v>2.6406450593819429E-2</v>
      </c>
    </row>
    <row r="22" spans="1:25" ht="13.5" thickBot="1">
      <c r="A22" s="150">
        <v>7123</v>
      </c>
      <c r="B22" s="539" t="s">
        <v>43</v>
      </c>
      <c r="C22" s="540"/>
      <c r="D22" s="540"/>
      <c r="E22" s="540"/>
      <c r="F22" s="540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3">
        <f t="shared" si="3"/>
        <v>10196734.950000001</v>
      </c>
      <c r="T22" s="370">
        <f t="shared" si="4"/>
        <v>2.0595303878004445E-3</v>
      </c>
    </row>
    <row r="23" spans="1:25" ht="13.5" thickBot="1">
      <c r="A23" s="150">
        <v>7124</v>
      </c>
      <c r="B23" s="539" t="s">
        <v>45</v>
      </c>
      <c r="C23" s="540"/>
      <c r="D23" s="540"/>
      <c r="E23" s="540"/>
      <c r="F23" s="540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3">
        <f t="shared" si="3"/>
        <v>9443224.1999999993</v>
      </c>
      <c r="T23" s="370">
        <f t="shared" si="4"/>
        <v>1.9073367400525144E-3</v>
      </c>
      <c r="Y23" s="305"/>
    </row>
    <row r="24" spans="1:25" ht="13.5" thickBot="1">
      <c r="A24" s="150">
        <v>713</v>
      </c>
      <c r="B24" s="541" t="s">
        <v>47</v>
      </c>
      <c r="C24" s="542"/>
      <c r="D24" s="542"/>
      <c r="E24" s="542"/>
      <c r="F24" s="542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3">
        <f t="shared" si="3"/>
        <v>11793221.899999999</v>
      </c>
      <c r="T24" s="371">
        <f t="shared" si="4"/>
        <v>2.3819878610381738E-3</v>
      </c>
      <c r="Y24" s="305"/>
    </row>
    <row r="25" spans="1:25" ht="13.5" thickBot="1">
      <c r="A25" s="150">
        <v>714</v>
      </c>
      <c r="B25" s="541" t="s">
        <v>61</v>
      </c>
      <c r="C25" s="542"/>
      <c r="D25" s="542"/>
      <c r="E25" s="542"/>
      <c r="F25" s="542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3">
        <f t="shared" si="3"/>
        <v>20484439.07</v>
      </c>
      <c r="T25" s="371">
        <f t="shared" si="4"/>
        <v>4.1374346738032725E-3</v>
      </c>
      <c r="W25" s="292"/>
    </row>
    <row r="26" spans="1:25" ht="13.5" thickBot="1">
      <c r="A26" s="150">
        <v>715</v>
      </c>
      <c r="B26" s="541" t="s">
        <v>81</v>
      </c>
      <c r="C26" s="542"/>
      <c r="D26" s="542"/>
      <c r="E26" s="542"/>
      <c r="F26" s="542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3">
        <f t="shared" si="3"/>
        <v>28696128.32</v>
      </c>
      <c r="T26" s="371">
        <f t="shared" si="4"/>
        <v>5.7960267259139567E-3</v>
      </c>
      <c r="W26" s="311"/>
    </row>
    <row r="27" spans="1:25" ht="13.5" thickBot="1">
      <c r="A27" s="150">
        <v>73</v>
      </c>
      <c r="B27" s="541" t="s">
        <v>99</v>
      </c>
      <c r="C27" s="542"/>
      <c r="D27" s="542"/>
      <c r="E27" s="542"/>
      <c r="F27" s="542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3">
        <f t="shared" si="3"/>
        <v>4775383.3</v>
      </c>
      <c r="T27" s="371">
        <f t="shared" si="4"/>
        <v>9.6452904463744694E-4</v>
      </c>
    </row>
    <row r="28" spans="1:25" ht="13.5" thickBot="1">
      <c r="A28" s="150">
        <v>74</v>
      </c>
      <c r="B28" s="543" t="s">
        <v>105</v>
      </c>
      <c r="C28" s="544"/>
      <c r="D28" s="544"/>
      <c r="E28" s="544"/>
      <c r="F28" s="544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3">
        <f t="shared" si="3"/>
        <v>22987039.909999996</v>
      </c>
      <c r="T28" s="372">
        <f t="shared" si="4"/>
        <v>4.6429084851545132E-3</v>
      </c>
    </row>
    <row r="29" spans="1:25" ht="13.5" thickBot="1">
      <c r="A29" s="150">
        <v>4</v>
      </c>
      <c r="B29" s="529" t="s">
        <v>802</v>
      </c>
      <c r="C29" s="530"/>
      <c r="D29" s="530"/>
      <c r="E29" s="530"/>
      <c r="F29" s="530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ref="S29:S63" si="6">+SUM(G29:R29)</f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45" t="s">
        <v>120</v>
      </c>
      <c r="C30" s="546"/>
      <c r="D30" s="546"/>
      <c r="E30" s="546"/>
      <c r="F30" s="546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8">
        <f t="shared" si="6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39" t="s">
        <v>122</v>
      </c>
      <c r="C31" s="540"/>
      <c r="D31" s="540"/>
      <c r="E31" s="540"/>
      <c r="F31" s="540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39" t="s">
        <v>133</v>
      </c>
      <c r="C32" s="540"/>
      <c r="D32" s="540"/>
      <c r="E32" s="540"/>
      <c r="F32" s="540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6"/>
        <v>15228326.93</v>
      </c>
      <c r="T32" s="370">
        <f t="shared" si="4"/>
        <v>3.0758083074126437E-3</v>
      </c>
    </row>
    <row r="33" spans="1:23">
      <c r="A33" s="150">
        <v>413</v>
      </c>
      <c r="B33" s="539" t="s">
        <v>148</v>
      </c>
      <c r="C33" s="540"/>
      <c r="D33" s="540"/>
      <c r="E33" s="540"/>
      <c r="F33" s="540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6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39" t="s">
        <v>162</v>
      </c>
      <c r="C34" s="540"/>
      <c r="D34" s="540"/>
      <c r="E34" s="540"/>
      <c r="F34" s="540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6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04" t="s">
        <v>182</v>
      </c>
      <c r="C35" s="605"/>
      <c r="D35" s="605"/>
      <c r="E35" s="605"/>
      <c r="F35" s="605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6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39" t="s">
        <v>190</v>
      </c>
      <c r="C36" s="540"/>
      <c r="D36" s="540"/>
      <c r="E36" s="540"/>
      <c r="F36" s="540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6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39" t="s">
        <v>196</v>
      </c>
      <c r="C37" s="540"/>
      <c r="D37" s="540"/>
      <c r="E37" s="540"/>
      <c r="F37" s="540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39" t="s">
        <v>204</v>
      </c>
      <c r="C38" s="540"/>
      <c r="D38" s="540"/>
      <c r="E38" s="540"/>
      <c r="F38" s="540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6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39" t="s">
        <v>212</v>
      </c>
      <c r="C39" s="540"/>
      <c r="D39" s="540"/>
      <c r="E39" s="540"/>
      <c r="F39" s="540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6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5" t="s">
        <v>230</v>
      </c>
      <c r="C40" s="536"/>
      <c r="D40" s="536"/>
      <c r="E40" s="536"/>
      <c r="F40" s="536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6">
        <f t="shared" si="6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39" t="s">
        <v>232</v>
      </c>
      <c r="C41" s="540"/>
      <c r="D41" s="540"/>
      <c r="E41" s="540"/>
      <c r="F41" s="540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6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39" t="s">
        <v>248</v>
      </c>
      <c r="C42" s="540"/>
      <c r="D42" s="540"/>
      <c r="E42" s="540"/>
      <c r="F42" s="540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6"/>
        <v>20398152.109999999</v>
      </c>
      <c r="T42" s="370">
        <f t="shared" si="4"/>
        <v>4.1200064855584726E-3</v>
      </c>
    </row>
    <row r="43" spans="1:23">
      <c r="A43" s="150">
        <v>423</v>
      </c>
      <c r="B43" s="539" t="s">
        <v>259</v>
      </c>
      <c r="C43" s="540"/>
      <c r="D43" s="540"/>
      <c r="E43" s="540"/>
      <c r="F43" s="540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6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39" t="s">
        <v>274</v>
      </c>
      <c r="C44" s="540"/>
      <c r="D44" s="540"/>
      <c r="E44" s="540"/>
      <c r="F44" s="540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6"/>
        <v>21699290.620000005</v>
      </c>
      <c r="T44" s="370">
        <f t="shared" si="4"/>
        <v>4.3828096586548178E-3</v>
      </c>
    </row>
    <row r="45" spans="1:23">
      <c r="A45" s="360">
        <v>425</v>
      </c>
      <c r="B45" s="539" t="s">
        <v>278</v>
      </c>
      <c r="C45" s="540"/>
      <c r="D45" s="540"/>
      <c r="E45" s="540"/>
      <c r="F45" s="540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6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7" t="s">
        <v>286</v>
      </c>
      <c r="C46" s="538"/>
      <c r="D46" s="538"/>
      <c r="E46" s="538"/>
      <c r="F46" s="538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6"/>
        <v>219689949.60999998</v>
      </c>
      <c r="T46" s="371">
        <f t="shared" si="4"/>
        <v>4.4372843791153298E-2</v>
      </c>
    </row>
    <row r="47" spans="1:23">
      <c r="A47" s="150">
        <v>44</v>
      </c>
      <c r="B47" s="537" t="s">
        <v>320</v>
      </c>
      <c r="C47" s="538"/>
      <c r="D47" s="538"/>
      <c r="E47" s="538"/>
      <c r="F47" s="538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6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02" t="s">
        <v>113</v>
      </c>
      <c r="C48" s="603"/>
      <c r="D48" s="603"/>
      <c r="E48" s="603"/>
      <c r="F48" s="603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6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94" t="s">
        <v>366</v>
      </c>
      <c r="C49" s="595"/>
      <c r="D49" s="595"/>
      <c r="E49" s="595"/>
      <c r="F49" s="595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6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5" t="s">
        <v>359</v>
      </c>
      <c r="C50" s="526"/>
      <c r="D50" s="526"/>
      <c r="E50" s="526"/>
      <c r="F50" s="52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6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96" t="s">
        <v>795</v>
      </c>
      <c r="C51" s="597"/>
      <c r="D51" s="597"/>
      <c r="E51" s="597"/>
      <c r="F51" s="597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98" t="s">
        <v>685</v>
      </c>
      <c r="C52" s="599"/>
      <c r="D52" s="599"/>
      <c r="E52" s="599"/>
      <c r="F52" s="599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31" t="s">
        <v>545</v>
      </c>
      <c r="C53" s="532"/>
      <c r="D53" s="532"/>
      <c r="E53" s="532"/>
      <c r="F53" s="532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2">
        <f t="shared" si="6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3" t="s">
        <v>793</v>
      </c>
      <c r="C54" s="534"/>
      <c r="D54" s="534"/>
      <c r="E54" s="534"/>
      <c r="F54" s="534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2">
        <f t="shared" si="6"/>
        <v>-37480382.479999945</v>
      </c>
      <c r="T54" s="377">
        <f t="shared" si="4"/>
        <v>-7.5702650939204093E-3</v>
      </c>
    </row>
    <row r="55" spans="1:22">
      <c r="A55" s="144">
        <v>46</v>
      </c>
      <c r="B55" s="555" t="s">
        <v>352</v>
      </c>
      <c r="C55" s="556"/>
      <c r="D55" s="556"/>
      <c r="E55" s="556"/>
      <c r="F55" s="556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3">
        <f t="shared" si="6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3" t="s">
        <v>355</v>
      </c>
      <c r="C56" s="524"/>
      <c r="D56" s="524"/>
      <c r="E56" s="524"/>
      <c r="F56" s="524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6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07" t="s">
        <v>357</v>
      </c>
      <c r="C57" s="508"/>
      <c r="D57" s="508"/>
      <c r="E57" s="508"/>
      <c r="F57" s="508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6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11" t="s">
        <v>336</v>
      </c>
      <c r="C58" s="612"/>
      <c r="D58" s="612"/>
      <c r="E58" s="612"/>
      <c r="F58" s="612"/>
      <c r="G58" s="496">
        <f>DataEx!FF167</f>
        <v>0</v>
      </c>
      <c r="H58" s="496">
        <f>DataEx!FG167</f>
        <v>35272.089999999997</v>
      </c>
      <c r="I58" s="496">
        <f>DataEx!FH167</f>
        <v>0</v>
      </c>
      <c r="J58" s="496">
        <f>DataEx!FI167</f>
        <v>39948396.369999997</v>
      </c>
      <c r="K58" s="496">
        <f>DataEx!FJ167</f>
        <v>0</v>
      </c>
      <c r="L58" s="496">
        <f>DataEx!FK167</f>
        <v>0</v>
      </c>
      <c r="M58" s="496">
        <f>DataEx!FL167</f>
        <v>0</v>
      </c>
      <c r="N58" s="496">
        <f>DataEx!FM167</f>
        <v>0</v>
      </c>
      <c r="O58" s="496">
        <f>DataEx!FN167</f>
        <v>0</v>
      </c>
      <c r="P58" s="496">
        <f>DataEx!FO167</f>
        <v>0</v>
      </c>
      <c r="Q58" s="496">
        <f>DataEx!FP167</f>
        <v>14495201.140000001</v>
      </c>
      <c r="R58" s="496">
        <f>DataEx!FQ167</f>
        <v>2849828.78</v>
      </c>
      <c r="S58" s="497">
        <f>SUM(G58:R58)</f>
        <v>57328698.380000003</v>
      </c>
      <c r="T58" s="498">
        <f>+S58/$T$7</f>
        <v>1.1579215992728742E-2</v>
      </c>
      <c r="V58" s="318"/>
    </row>
    <row r="59" spans="1:22" ht="13.5" thickBot="1">
      <c r="A59" s="144">
        <v>1002</v>
      </c>
      <c r="B59" s="527" t="s">
        <v>543</v>
      </c>
      <c r="C59" s="528"/>
      <c r="D59" s="528"/>
      <c r="E59" s="528"/>
      <c r="F59" s="528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5">
        <f t="shared" si="6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9" t="s">
        <v>544</v>
      </c>
      <c r="C60" s="530"/>
      <c r="D60" s="530"/>
      <c r="E60" s="530"/>
      <c r="F60" s="530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6">
        <f t="shared" si="6"/>
        <v>707953674.79999995</v>
      </c>
      <c r="T60" s="381">
        <f t="shared" si="4"/>
        <v>0.14299205711977378</v>
      </c>
    </row>
    <row r="61" spans="1:22">
      <c r="A61" s="144">
        <v>7511</v>
      </c>
      <c r="B61" s="523" t="s">
        <v>114</v>
      </c>
      <c r="C61" s="524"/>
      <c r="D61" s="524"/>
      <c r="E61" s="524"/>
      <c r="F61" s="524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6"/>
        <v>363438000</v>
      </c>
      <c r="T61" s="379">
        <f t="shared" si="4"/>
        <v>7.3406988487174307E-2</v>
      </c>
    </row>
    <row r="62" spans="1:22">
      <c r="A62" s="144">
        <v>7512</v>
      </c>
      <c r="B62" s="507" t="s">
        <v>116</v>
      </c>
      <c r="C62" s="508"/>
      <c r="D62" s="508"/>
      <c r="E62" s="508"/>
      <c r="F62" s="508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6"/>
        <v>651580293.42999995</v>
      </c>
      <c r="T62" s="379">
        <f t="shared" si="4"/>
        <v>0.13160579548172086</v>
      </c>
    </row>
    <row r="63" spans="1:22">
      <c r="A63" s="144">
        <v>72</v>
      </c>
      <c r="B63" s="507" t="s">
        <v>93</v>
      </c>
      <c r="C63" s="508"/>
      <c r="D63" s="508"/>
      <c r="E63" s="508"/>
      <c r="F63" s="508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6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83" t="s">
        <v>552</v>
      </c>
      <c r="C100" s="584"/>
      <c r="D100" s="584"/>
      <c r="E100" s="584"/>
      <c r="F100" s="584"/>
      <c r="G100" s="591">
        <v>2019</v>
      </c>
      <c r="H100" s="592"/>
      <c r="I100" s="592"/>
      <c r="J100" s="592"/>
      <c r="K100" s="592"/>
      <c r="L100" s="592"/>
      <c r="M100" s="592"/>
      <c r="N100" s="592"/>
      <c r="O100" s="592"/>
      <c r="P100" s="592"/>
      <c r="Q100" s="592"/>
      <c r="R100" s="593"/>
      <c r="S100" s="107" t="str">
        <f>+S7</f>
        <v>BDP</v>
      </c>
      <c r="T100" s="108">
        <f>+T7</f>
        <v>4951000000</v>
      </c>
    </row>
    <row r="101" spans="1:21" ht="15.75" customHeight="1">
      <c r="B101" s="585"/>
      <c r="C101" s="586"/>
      <c r="D101" s="586"/>
      <c r="E101" s="586"/>
      <c r="F101" s="587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591" t="s">
        <v>807</v>
      </c>
      <c r="T101" s="593">
        <f>+T8</f>
        <v>0</v>
      </c>
    </row>
    <row r="102" spans="1:21" ht="13.5" thickBot="1">
      <c r="B102" s="588"/>
      <c r="C102" s="589"/>
      <c r="D102" s="589"/>
      <c r="E102" s="589"/>
      <c r="F102" s="590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09" t="s">
        <v>681</v>
      </c>
      <c r="C103" s="610"/>
      <c r="D103" s="610"/>
      <c r="E103" s="610"/>
      <c r="F103" s="610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7"/>
        <v>711p</v>
      </c>
      <c r="B104" s="581" t="s">
        <v>21</v>
      </c>
      <c r="C104" s="582"/>
      <c r="D104" s="582"/>
      <c r="E104" s="582"/>
      <c r="F104" s="582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9">
        <f t="shared" ref="S104:S159" si="20">+SUM(G104:R104)</f>
        <v>1122669950.9867301</v>
      </c>
      <c r="T104" s="412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73" t="s">
        <v>23</v>
      </c>
      <c r="C105" s="574"/>
      <c r="D105" s="574"/>
      <c r="E105" s="574"/>
      <c r="F105" s="574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20"/>
        <v>120237518.04497004</v>
      </c>
      <c r="T105" s="413">
        <f t="shared" si="21"/>
        <v>2.4285501523928506E-2</v>
      </c>
    </row>
    <row r="106" spans="1:21">
      <c r="A106" s="116" t="str">
        <f t="shared" si="17"/>
        <v>7112p</v>
      </c>
      <c r="B106" s="573" t="s">
        <v>25</v>
      </c>
      <c r="C106" s="574"/>
      <c r="D106" s="574"/>
      <c r="E106" s="574"/>
      <c r="F106" s="574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20"/>
        <v>71194860.131909981</v>
      </c>
      <c r="T106" s="413">
        <f t="shared" si="21"/>
        <v>1.4379894997356086E-2</v>
      </c>
    </row>
    <row r="107" spans="1:21">
      <c r="A107" s="116" t="str">
        <f t="shared" si="17"/>
        <v>7113p</v>
      </c>
      <c r="B107" s="573" t="s">
        <v>27</v>
      </c>
      <c r="C107" s="574"/>
      <c r="D107" s="574"/>
      <c r="E107" s="574"/>
      <c r="F107" s="574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20"/>
        <v>1862816.4104000002</v>
      </c>
      <c r="T107" s="413">
        <f t="shared" si="21"/>
        <v>3.7625053734599074E-4</v>
      </c>
    </row>
    <row r="108" spans="1:21">
      <c r="A108" s="116" t="str">
        <f t="shared" si="17"/>
        <v>7114p</v>
      </c>
      <c r="B108" s="573" t="s">
        <v>29</v>
      </c>
      <c r="C108" s="574"/>
      <c r="D108" s="574"/>
      <c r="E108" s="574"/>
      <c r="F108" s="574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20"/>
        <v>657905657.67184997</v>
      </c>
      <c r="T108" s="413">
        <f t="shared" si="21"/>
        <v>0.1328833887440618</v>
      </c>
    </row>
    <row r="109" spans="1:21">
      <c r="A109" s="116" t="str">
        <f t="shared" si="17"/>
        <v>7115p</v>
      </c>
      <c r="B109" s="573" t="s">
        <v>31</v>
      </c>
      <c r="C109" s="574"/>
      <c r="D109" s="574"/>
      <c r="E109" s="574"/>
      <c r="F109" s="574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20"/>
        <v>234801605.29820004</v>
      </c>
      <c r="T109" s="413">
        <f t="shared" si="21"/>
        <v>4.7425086911371449E-2</v>
      </c>
    </row>
    <row r="110" spans="1:21">
      <c r="A110" s="116" t="str">
        <f t="shared" si="17"/>
        <v>7116p</v>
      </c>
      <c r="B110" s="573" t="s">
        <v>33</v>
      </c>
      <c r="C110" s="574"/>
      <c r="D110" s="574"/>
      <c r="E110" s="574"/>
      <c r="F110" s="574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20"/>
        <v>27167589.829800002</v>
      </c>
      <c r="T110" s="413">
        <f t="shared" si="21"/>
        <v>5.4872934416885484E-3</v>
      </c>
    </row>
    <row r="111" spans="1:21">
      <c r="A111" s="116" t="str">
        <f t="shared" si="17"/>
        <v>7118p</v>
      </c>
      <c r="B111" s="573" t="s">
        <v>722</v>
      </c>
      <c r="C111" s="574"/>
      <c r="D111" s="574"/>
      <c r="E111" s="574"/>
      <c r="F111" s="574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20"/>
        <v>9499903.5996000003</v>
      </c>
      <c r="T111" s="413">
        <f t="shared" si="21"/>
        <v>1.918784811068471E-3</v>
      </c>
    </row>
    <row r="112" spans="1:21">
      <c r="A112" s="116" t="str">
        <f t="shared" si="17"/>
        <v>712p</v>
      </c>
      <c r="B112" s="607" t="s">
        <v>37</v>
      </c>
      <c r="C112" s="608"/>
      <c r="D112" s="608"/>
      <c r="E112" s="608"/>
      <c r="F112" s="608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1">
        <f t="shared" si="20"/>
        <v>534213514.07533062</v>
      </c>
      <c r="T112" s="414">
        <f t="shared" si="21"/>
        <v>0.10790012403056566</v>
      </c>
    </row>
    <row r="113" spans="1:20">
      <c r="A113" s="116" t="str">
        <f t="shared" si="17"/>
        <v>7121p</v>
      </c>
      <c r="B113" s="573" t="s">
        <v>39</v>
      </c>
      <c r="C113" s="574"/>
      <c r="D113" s="574"/>
      <c r="E113" s="574"/>
      <c r="F113" s="574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20"/>
        <v>327876749.17454183</v>
      </c>
      <c r="T113" s="413">
        <f t="shared" si="21"/>
        <v>6.6224348449715573E-2</v>
      </c>
    </row>
    <row r="114" spans="1:20">
      <c r="A114" s="116" t="str">
        <f t="shared" si="17"/>
        <v>7122p</v>
      </c>
      <c r="B114" s="573" t="s">
        <v>41</v>
      </c>
      <c r="C114" s="574"/>
      <c r="D114" s="574"/>
      <c r="E114" s="574"/>
      <c r="F114" s="574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20"/>
        <v>178851341.72447601</v>
      </c>
      <c r="T114" s="413">
        <f t="shared" si="21"/>
        <v>3.6124286351136341E-2</v>
      </c>
    </row>
    <row r="115" spans="1:20">
      <c r="A115" s="116" t="str">
        <f t="shared" si="17"/>
        <v>7123p</v>
      </c>
      <c r="B115" s="573" t="s">
        <v>43</v>
      </c>
      <c r="C115" s="574"/>
      <c r="D115" s="574"/>
      <c r="E115" s="574"/>
      <c r="F115" s="574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20"/>
        <v>14950709.439620741</v>
      </c>
      <c r="T115" s="413">
        <f t="shared" si="21"/>
        <v>3.0197352938034216E-3</v>
      </c>
    </row>
    <row r="116" spans="1:20">
      <c r="A116" s="116" t="str">
        <f t="shared" si="17"/>
        <v>7124p</v>
      </c>
      <c r="B116" s="573" t="s">
        <v>45</v>
      </c>
      <c r="C116" s="574"/>
      <c r="D116" s="574"/>
      <c r="E116" s="574"/>
      <c r="F116" s="574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20"/>
        <v>12534713.736692008</v>
      </c>
      <c r="T116" s="413">
        <f t="shared" si="21"/>
        <v>2.5317539359103226E-3</v>
      </c>
    </row>
    <row r="117" spans="1:20">
      <c r="A117" s="116" t="str">
        <f t="shared" si="17"/>
        <v>713p</v>
      </c>
      <c r="B117" s="579" t="s">
        <v>47</v>
      </c>
      <c r="C117" s="580"/>
      <c r="D117" s="580"/>
      <c r="E117" s="580"/>
      <c r="F117" s="580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20"/>
        <v>15318488.925500004</v>
      </c>
      <c r="T117" s="414">
        <f t="shared" si="21"/>
        <v>3.0940191729953554E-3</v>
      </c>
    </row>
    <row r="118" spans="1:20">
      <c r="A118" s="116" t="str">
        <f t="shared" si="17"/>
        <v>714p</v>
      </c>
      <c r="B118" s="579" t="s">
        <v>61</v>
      </c>
      <c r="C118" s="580"/>
      <c r="D118" s="580"/>
      <c r="E118" s="580"/>
      <c r="F118" s="580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20"/>
        <v>31390844.861600004</v>
      </c>
      <c r="T118" s="414">
        <f t="shared" si="21"/>
        <v>6.3403039510401948E-3</v>
      </c>
    </row>
    <row r="119" spans="1:20">
      <c r="A119" s="116" t="str">
        <f t="shared" si="17"/>
        <v>715p</v>
      </c>
      <c r="B119" s="579" t="s">
        <v>81</v>
      </c>
      <c r="C119" s="580"/>
      <c r="D119" s="580"/>
      <c r="E119" s="580"/>
      <c r="F119" s="580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20"/>
        <v>77448450.912399963</v>
      </c>
      <c r="T119" s="414">
        <f t="shared" si="21"/>
        <v>1.5642991499171876E-2</v>
      </c>
    </row>
    <row r="120" spans="1:20">
      <c r="A120" s="116" t="str">
        <f t="shared" si="17"/>
        <v>73p</v>
      </c>
      <c r="B120" s="579" t="s">
        <v>99</v>
      </c>
      <c r="C120" s="580"/>
      <c r="D120" s="580"/>
      <c r="E120" s="580"/>
      <c r="F120" s="580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20"/>
        <v>8511664.0019999985</v>
      </c>
      <c r="T120" s="414">
        <f t="shared" si="21"/>
        <v>1.7191807719652591E-3</v>
      </c>
    </row>
    <row r="121" spans="1:20" ht="13.5" thickBot="1">
      <c r="A121" s="116" t="str">
        <f t="shared" si="17"/>
        <v>74p</v>
      </c>
      <c r="B121" s="575" t="s">
        <v>105</v>
      </c>
      <c r="C121" s="576"/>
      <c r="D121" s="576"/>
      <c r="E121" s="576"/>
      <c r="F121" s="576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20"/>
        <v>44480000</v>
      </c>
      <c r="T121" s="415">
        <f t="shared" si="21"/>
        <v>8.98404362754999E-3</v>
      </c>
    </row>
    <row r="122" spans="1:20" ht="13.5" thickBot="1">
      <c r="A122" s="116" t="str">
        <f t="shared" si="17"/>
        <v>4p</v>
      </c>
      <c r="B122" s="557" t="s">
        <v>809</v>
      </c>
      <c r="C122" s="558"/>
      <c r="D122" s="558"/>
      <c r="E122" s="558"/>
      <c r="F122" s="558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3">
        <f>+SUM(G122:R122)</f>
        <v>1976630978.4000001</v>
      </c>
      <c r="T122" s="416">
        <f t="shared" si="21"/>
        <v>0.39923873528580089</v>
      </c>
    </row>
    <row r="123" spans="1:20" ht="13.5" thickBot="1">
      <c r="A123" s="116" t="str">
        <f t="shared" si="17"/>
        <v>40p</v>
      </c>
      <c r="B123" s="615" t="s">
        <v>774</v>
      </c>
      <c r="C123" s="616"/>
      <c r="D123" s="616"/>
      <c r="E123" s="616"/>
      <c r="F123" s="616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4">
        <f t="shared" si="20"/>
        <v>1680705978.4000001</v>
      </c>
      <c r="T123" s="417">
        <f t="shared" si="21"/>
        <v>0.33946798190264593</v>
      </c>
    </row>
    <row r="124" spans="1:20">
      <c r="A124" s="116" t="e">
        <f>+CONCATENATE(#REF!,"p")</f>
        <v>#REF!</v>
      </c>
      <c r="B124" s="577" t="e">
        <v>#REF!</v>
      </c>
      <c r="C124" s="578"/>
      <c r="D124" s="578"/>
      <c r="E124" s="578"/>
      <c r="F124" s="578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9">
        <f t="shared" si="20"/>
        <v>846670934.61000013</v>
      </c>
      <c r="T124" s="412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73" t="s">
        <v>122</v>
      </c>
      <c r="C125" s="574"/>
      <c r="D125" s="574"/>
      <c r="E125" s="574"/>
      <c r="F125" s="574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20"/>
        <v>472054247.1500001</v>
      </c>
      <c r="T125" s="413">
        <f t="shared" si="21"/>
        <v>9.5345232710563541E-2</v>
      </c>
    </row>
    <row r="126" spans="1:20">
      <c r="A126" s="116" t="str">
        <f t="shared" si="26"/>
        <v>412p</v>
      </c>
      <c r="B126" s="573" t="s">
        <v>133</v>
      </c>
      <c r="C126" s="574"/>
      <c r="D126" s="574"/>
      <c r="E126" s="574"/>
      <c r="F126" s="574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20"/>
        <v>15077125.449999996</v>
      </c>
      <c r="T126" s="413">
        <f t="shared" si="21"/>
        <v>3.0452687234902029E-3</v>
      </c>
    </row>
    <row r="127" spans="1:20">
      <c r="A127" s="116" t="str">
        <f t="shared" si="26"/>
        <v>413p</v>
      </c>
      <c r="B127" s="573" t="s">
        <v>148</v>
      </c>
      <c r="C127" s="574"/>
      <c r="D127" s="574"/>
      <c r="E127" s="574"/>
      <c r="F127" s="574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20"/>
        <v>36652827.660000004</v>
      </c>
      <c r="T127" s="413">
        <f t="shared" si="21"/>
        <v>7.4031160694809136E-3</v>
      </c>
    </row>
    <row r="128" spans="1:20">
      <c r="A128" s="116" t="str">
        <f t="shared" si="26"/>
        <v>414p</v>
      </c>
      <c r="B128" s="573" t="s">
        <v>162</v>
      </c>
      <c r="C128" s="574"/>
      <c r="D128" s="574"/>
      <c r="E128" s="574"/>
      <c r="F128" s="574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20"/>
        <v>63127045.969999991</v>
      </c>
      <c r="T128" s="413">
        <f t="shared" si="21"/>
        <v>1.2750362748939606E-2</v>
      </c>
    </row>
    <row r="129" spans="1:20">
      <c r="A129" s="116" t="str">
        <f t="shared" si="26"/>
        <v>415p</v>
      </c>
      <c r="B129" s="573" t="s">
        <v>182</v>
      </c>
      <c r="C129" s="574"/>
      <c r="D129" s="574"/>
      <c r="E129" s="574"/>
      <c r="F129" s="574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20"/>
        <v>23117903.600000001</v>
      </c>
      <c r="T129" s="413">
        <f t="shared" si="21"/>
        <v>4.6693402544940423E-3</v>
      </c>
    </row>
    <row r="130" spans="1:20">
      <c r="A130" s="116" t="str">
        <f t="shared" si="26"/>
        <v>416p</v>
      </c>
      <c r="B130" s="573" t="s">
        <v>190</v>
      </c>
      <c r="C130" s="574"/>
      <c r="D130" s="574"/>
      <c r="E130" s="574"/>
      <c r="F130" s="574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20"/>
        <v>95752699.999999985</v>
      </c>
      <c r="T130" s="413">
        <f t="shared" si="21"/>
        <v>1.9340072712583315E-2</v>
      </c>
    </row>
    <row r="131" spans="1:20">
      <c r="A131" s="116" t="str">
        <f t="shared" si="26"/>
        <v>417p</v>
      </c>
      <c r="B131" s="573" t="s">
        <v>196</v>
      </c>
      <c r="C131" s="574"/>
      <c r="D131" s="574"/>
      <c r="E131" s="574"/>
      <c r="F131" s="574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20"/>
        <v>9821101.7599999998</v>
      </c>
      <c r="T131" s="413">
        <f t="shared" si="21"/>
        <v>1.9836602221773377E-3</v>
      </c>
    </row>
    <row r="132" spans="1:20">
      <c r="A132" s="116" t="str">
        <f t="shared" si="26"/>
        <v>418p</v>
      </c>
      <c r="B132" s="573" t="s">
        <v>204</v>
      </c>
      <c r="C132" s="574"/>
      <c r="D132" s="574"/>
      <c r="E132" s="574"/>
      <c r="F132" s="574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20"/>
        <v>30814599.999999993</v>
      </c>
      <c r="T132" s="413">
        <f t="shared" si="21"/>
        <v>6.2239143607352035E-3</v>
      </c>
    </row>
    <row r="133" spans="1:20">
      <c r="A133" s="116" t="str">
        <f t="shared" si="26"/>
        <v>419p</v>
      </c>
      <c r="B133" s="573" t="s">
        <v>212</v>
      </c>
      <c r="C133" s="574"/>
      <c r="D133" s="574"/>
      <c r="E133" s="574"/>
      <c r="F133" s="574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20"/>
        <v>41196323.400000006</v>
      </c>
      <c r="T133" s="413">
        <f t="shared" si="21"/>
        <v>8.3208086043223602E-3</v>
      </c>
    </row>
    <row r="134" spans="1:20">
      <c r="A134" s="116" t="e">
        <f>+CONCATENATE(#REF!,"p")</f>
        <v>#REF!</v>
      </c>
      <c r="B134" s="573" t="e">
        <v>#REF!</v>
      </c>
      <c r="C134" s="574"/>
      <c r="D134" s="574"/>
      <c r="E134" s="574"/>
      <c r="F134" s="574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20"/>
        <v>59057059.620000012</v>
      </c>
      <c r="T134" s="413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569" t="s">
        <v>230</v>
      </c>
      <c r="C135" s="570"/>
      <c r="D135" s="570"/>
      <c r="E135" s="570"/>
      <c r="F135" s="570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1">
        <f t="shared" si="20"/>
        <v>557842584.41999996</v>
      </c>
      <c r="T135" s="414">
        <f t="shared" si="21"/>
        <v>0.11267270943647748</v>
      </c>
    </row>
    <row r="136" spans="1:20">
      <c r="A136" s="116" t="str">
        <f t="shared" si="27"/>
        <v>421p</v>
      </c>
      <c r="B136" s="573" t="s">
        <v>232</v>
      </c>
      <c r="C136" s="574"/>
      <c r="D136" s="574"/>
      <c r="E136" s="574"/>
      <c r="F136" s="574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20"/>
        <v>80990000.000000015</v>
      </c>
      <c r="T136" s="413">
        <f t="shared" si="21"/>
        <v>1.6358311452231874E-2</v>
      </c>
    </row>
    <row r="137" spans="1:20">
      <c r="A137" s="116" t="str">
        <f t="shared" si="27"/>
        <v>422p</v>
      </c>
      <c r="B137" s="573" t="s">
        <v>248</v>
      </c>
      <c r="C137" s="574"/>
      <c r="D137" s="574"/>
      <c r="E137" s="574"/>
      <c r="F137" s="574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20"/>
        <v>18202468.969999999</v>
      </c>
      <c r="T137" s="413">
        <f t="shared" si="21"/>
        <v>3.6765237265198947E-3</v>
      </c>
    </row>
    <row r="138" spans="1:20">
      <c r="A138" s="116" t="str">
        <f t="shared" si="27"/>
        <v>423p</v>
      </c>
      <c r="B138" s="573" t="s">
        <v>259</v>
      </c>
      <c r="C138" s="574"/>
      <c r="D138" s="574"/>
      <c r="E138" s="574"/>
      <c r="F138" s="574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20"/>
        <v>429025014.44999993</v>
      </c>
      <c r="T138" s="413">
        <f t="shared" si="21"/>
        <v>8.6654214189052697E-2</v>
      </c>
    </row>
    <row r="139" spans="1:20">
      <c r="A139" s="116" t="str">
        <f t="shared" si="27"/>
        <v>424p</v>
      </c>
      <c r="B139" s="573" t="s">
        <v>274</v>
      </c>
      <c r="C139" s="574"/>
      <c r="D139" s="574"/>
      <c r="E139" s="574"/>
      <c r="F139" s="574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20"/>
        <v>19000100</v>
      </c>
      <c r="T139" s="413">
        <f t="shared" si="21"/>
        <v>3.8376287618662897E-3</v>
      </c>
    </row>
    <row r="140" spans="1:20">
      <c r="A140" s="116" t="str">
        <f t="shared" si="27"/>
        <v>425p</v>
      </c>
      <c r="B140" s="573" t="s">
        <v>278</v>
      </c>
      <c r="C140" s="574"/>
      <c r="D140" s="574"/>
      <c r="E140" s="574"/>
      <c r="F140" s="574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20"/>
        <v>10625001</v>
      </c>
      <c r="T140" s="413">
        <f t="shared" si="21"/>
        <v>2.1460313068067055E-3</v>
      </c>
    </row>
    <row r="141" spans="1:20">
      <c r="A141" s="116" t="str">
        <f t="shared" si="27"/>
        <v>43p</v>
      </c>
      <c r="B141" s="571" t="s">
        <v>286</v>
      </c>
      <c r="C141" s="572"/>
      <c r="D141" s="572"/>
      <c r="E141" s="572"/>
      <c r="F141" s="572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1"/>
        <v>4.4626901022015754E-2</v>
      </c>
    </row>
    <row r="142" spans="1:20">
      <c r="A142" s="116" t="str">
        <f t="shared" si="27"/>
        <v>44p</v>
      </c>
      <c r="B142" s="571" t="s">
        <v>810</v>
      </c>
      <c r="C142" s="572"/>
      <c r="D142" s="572"/>
      <c r="E142" s="572"/>
      <c r="F142" s="572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20"/>
        <v>295925000</v>
      </c>
      <c r="T142" s="414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563" t="s">
        <v>113</v>
      </c>
      <c r="C143" s="564"/>
      <c r="D143" s="564"/>
      <c r="E143" s="564"/>
      <c r="F143" s="564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20"/>
        <v>2280000.9999999995</v>
      </c>
      <c r="T143" s="413">
        <f t="shared" si="21"/>
        <v>4.6051322965057553E-4</v>
      </c>
    </row>
    <row r="144" spans="1:20">
      <c r="A144" s="116" t="str">
        <f t="shared" si="29"/>
        <v>47p</v>
      </c>
      <c r="B144" s="563" t="s">
        <v>366</v>
      </c>
      <c r="C144" s="564"/>
      <c r="D144" s="564"/>
      <c r="E144" s="564"/>
      <c r="F144" s="564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20"/>
        <v>24999999.999999996</v>
      </c>
      <c r="T144" s="413">
        <f t="shared" si="21"/>
        <v>5.0494849525348409E-3</v>
      </c>
    </row>
    <row r="145" spans="1:20">
      <c r="A145" s="116" t="str">
        <f t="shared" si="29"/>
        <v>462p</v>
      </c>
      <c r="B145" s="563" t="s">
        <v>359</v>
      </c>
      <c r="C145" s="564"/>
      <c r="D145" s="564"/>
      <c r="E145" s="564"/>
      <c r="F145" s="564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20"/>
        <v>9434672.4100000001</v>
      </c>
      <c r="T145" s="413">
        <f t="shared" si="21"/>
        <v>1.9056094546556252E-3</v>
      </c>
    </row>
    <row r="146" spans="1:20">
      <c r="A146" s="117" t="str">
        <f>+CONCATENATE(A51,"p")</f>
        <v>4630p</v>
      </c>
      <c r="B146" s="563" t="s">
        <v>365</v>
      </c>
      <c r="C146" s="564"/>
      <c r="D146" s="564"/>
      <c r="E146" s="564"/>
      <c r="F146" s="564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3" t="s">
        <v>686</v>
      </c>
      <c r="C147" s="614"/>
      <c r="D147" s="614"/>
      <c r="E147" s="614"/>
      <c r="F147" s="614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1"/>
        <v>0</v>
      </c>
    </row>
    <row r="148" spans="1:20" ht="13.5" thickBot="1">
      <c r="A148" s="117" t="str">
        <f>+CONCATENATE(A53,"p")</f>
        <v>1000p</v>
      </c>
      <c r="B148" s="565" t="s">
        <v>545</v>
      </c>
      <c r="C148" s="566"/>
      <c r="D148" s="566"/>
      <c r="E148" s="566"/>
      <c r="F148" s="566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6">
        <f t="shared" si="20"/>
        <v>-142598064.63643947</v>
      </c>
      <c r="T148" s="419">
        <f t="shared" si="21"/>
        <v>-2.8801871265691673E-2</v>
      </c>
    </row>
    <row r="149" spans="1:20" ht="13.5" thickBot="1">
      <c r="A149" s="117" t="str">
        <f>+CONCATENATE(A54,"p")</f>
        <v>1001p</v>
      </c>
      <c r="B149" s="567" t="s">
        <v>811</v>
      </c>
      <c r="C149" s="568"/>
      <c r="D149" s="568"/>
      <c r="E149" s="568"/>
      <c r="F149" s="568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6">
        <f t="shared" si="20"/>
        <v>-46845364.63643948</v>
      </c>
      <c r="T149" s="419">
        <f t="shared" si="21"/>
        <v>-9.4617985531083582E-3</v>
      </c>
    </row>
    <row r="150" spans="1:20">
      <c r="A150" s="117" t="str">
        <f>+CONCATENATE(A55,"p")</f>
        <v>46p</v>
      </c>
      <c r="B150" s="569" t="s">
        <v>352</v>
      </c>
      <c r="C150" s="570"/>
      <c r="D150" s="570"/>
      <c r="E150" s="570"/>
      <c r="F150" s="570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7">
        <f t="shared" si="20"/>
        <v>373600000</v>
      </c>
      <c r="T150" s="420">
        <f t="shared" si="21"/>
        <v>7.5459503130680672E-2</v>
      </c>
    </row>
    <row r="151" spans="1:20">
      <c r="A151" s="117" t="str">
        <f>+CONCATENATE(A56,"p")</f>
        <v>4611p</v>
      </c>
      <c r="B151" s="561" t="s">
        <v>355</v>
      </c>
      <c r="C151" s="562"/>
      <c r="D151" s="562"/>
      <c r="E151" s="562"/>
      <c r="F151" s="562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20"/>
        <v>44100000.039999999</v>
      </c>
      <c r="T151" s="418">
        <f t="shared" si="21"/>
        <v>8.9072914643506355E-3</v>
      </c>
    </row>
    <row r="152" spans="1:20">
      <c r="A152" s="117" t="str">
        <f>+CONCATENATE(A57,"p")</f>
        <v>4612p</v>
      </c>
      <c r="B152" s="563" t="s">
        <v>357</v>
      </c>
      <c r="C152" s="564"/>
      <c r="D152" s="564"/>
      <c r="E152" s="564"/>
      <c r="F152" s="564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20"/>
        <v>329499999.95999998</v>
      </c>
      <c r="T152" s="418">
        <f t="shared" si="21"/>
        <v>6.6552211666330033E-2</v>
      </c>
    </row>
    <row r="153" spans="1:20" ht="13.5" thickBot="1">
      <c r="A153" s="117"/>
      <c r="B153" s="611" t="s">
        <v>336</v>
      </c>
      <c r="C153" s="612"/>
      <c r="D153" s="612"/>
      <c r="E153" s="612"/>
      <c r="F153" s="612"/>
      <c r="G153" s="493">
        <v>26666.67</v>
      </c>
      <c r="H153" s="493">
        <v>26666.67</v>
      </c>
      <c r="I153" s="493">
        <v>26666.67</v>
      </c>
      <c r="J153" s="493">
        <v>39926666.670000002</v>
      </c>
      <c r="K153" s="493">
        <v>26666.67</v>
      </c>
      <c r="L153" s="493">
        <v>26666.67</v>
      </c>
      <c r="M153" s="493">
        <v>26666.67</v>
      </c>
      <c r="N153" s="493">
        <v>26666.67</v>
      </c>
      <c r="O153" s="493">
        <v>26666.67</v>
      </c>
      <c r="P153" s="493">
        <v>26666.67</v>
      </c>
      <c r="Q153" s="493">
        <v>26666.67</v>
      </c>
      <c r="R153" s="493">
        <v>26666.63</v>
      </c>
      <c r="S153" s="494">
        <f t="shared" si="20"/>
        <v>40220000.000000015</v>
      </c>
      <c r="T153" s="495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559" t="s">
        <v>543</v>
      </c>
      <c r="C154" s="560"/>
      <c r="D154" s="560"/>
      <c r="E154" s="560"/>
      <c r="F154" s="560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8">
        <f t="shared" si="20"/>
        <v>-556418064.63643956</v>
      </c>
      <c r="T154" s="421">
        <f t="shared" si="21"/>
        <v>-0.11238498578801041</v>
      </c>
    </row>
    <row r="155" spans="1:20" ht="13.5" thickBot="1">
      <c r="A155" s="117" t="str">
        <f t="shared" si="33"/>
        <v>1003p</v>
      </c>
      <c r="B155" s="557" t="s">
        <v>544</v>
      </c>
      <c r="C155" s="558"/>
      <c r="D155" s="558"/>
      <c r="E155" s="558"/>
      <c r="F155" s="558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9">
        <f t="shared" si="20"/>
        <v>556418064.63643956</v>
      </c>
      <c r="T155" s="422">
        <f t="shared" si="21"/>
        <v>0.11238498578801041</v>
      </c>
    </row>
    <row r="156" spans="1:20">
      <c r="A156" s="117" t="str">
        <f t="shared" si="33"/>
        <v>7511p</v>
      </c>
      <c r="B156" s="561" t="s">
        <v>114</v>
      </c>
      <c r="C156" s="562"/>
      <c r="D156" s="562"/>
      <c r="E156" s="562"/>
      <c r="F156" s="562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20"/>
        <v>190000000</v>
      </c>
      <c r="T156" s="418">
        <f t="shared" si="21"/>
        <v>3.8376085639264798E-2</v>
      </c>
    </row>
    <row r="157" spans="1:20">
      <c r="A157" s="117" t="str">
        <f t="shared" si="33"/>
        <v>7512p</v>
      </c>
      <c r="B157" s="563" t="s">
        <v>116</v>
      </c>
      <c r="C157" s="564"/>
      <c r="D157" s="564"/>
      <c r="E157" s="564"/>
      <c r="F157" s="564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20"/>
        <v>180405268.74155378</v>
      </c>
      <c r="T157" s="418">
        <f t="shared" si="21"/>
        <v>3.6438147594739199E-2</v>
      </c>
    </row>
    <row r="158" spans="1:20">
      <c r="A158" s="117" t="str">
        <f t="shared" si="33"/>
        <v>72p</v>
      </c>
      <c r="B158" s="563" t="s">
        <v>93</v>
      </c>
      <c r="C158" s="564"/>
      <c r="D158" s="564"/>
      <c r="E158" s="564"/>
      <c r="F158" s="564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20"/>
        <v>6000000</v>
      </c>
      <c r="T158" s="418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10">
        <f t="shared" si="20"/>
        <v>180012795.89488566</v>
      </c>
      <c r="T159" s="423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806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6" t="s">
        <v>554</v>
      </c>
      <c r="C7" s="510"/>
      <c r="D7" s="510"/>
      <c r="E7" s="510"/>
      <c r="F7" s="510"/>
      <c r="G7" s="518">
        <v>2018</v>
      </c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22"/>
      <c r="S7" s="235" t="s">
        <v>419</v>
      </c>
      <c r="T7" s="236">
        <v>4663130000</v>
      </c>
    </row>
    <row r="8" spans="1:20" ht="16.5" customHeight="1">
      <c r="A8" s="144"/>
      <c r="B8" s="511"/>
      <c r="C8" s="512"/>
      <c r="D8" s="512"/>
      <c r="E8" s="512"/>
      <c r="F8" s="51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8" t="s">
        <v>807</v>
      </c>
      <c r="T8" s="522"/>
    </row>
    <row r="9" spans="1:20" ht="13.5" thickBot="1">
      <c r="A9" s="144"/>
      <c r="B9" s="514"/>
      <c r="C9" s="515"/>
      <c r="D9" s="515"/>
      <c r="E9" s="515"/>
      <c r="F9" s="51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808</v>
      </c>
    </row>
    <row r="10" spans="1:20" ht="13.5" thickBot="1">
      <c r="A10" s="150">
        <v>7</v>
      </c>
      <c r="B10" s="551" t="s">
        <v>681</v>
      </c>
      <c r="C10" s="552"/>
      <c r="D10" s="552"/>
      <c r="E10" s="552"/>
      <c r="F10" s="55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3" t="s">
        <v>21</v>
      </c>
      <c r="C11" s="554"/>
      <c r="D11" s="554"/>
      <c r="E11" s="554"/>
      <c r="F11" s="55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39" t="s">
        <v>23</v>
      </c>
      <c r="C12" s="540"/>
      <c r="D12" s="540"/>
      <c r="E12" s="540"/>
      <c r="F12" s="540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39" t="s">
        <v>25</v>
      </c>
      <c r="C13" s="540"/>
      <c r="D13" s="540"/>
      <c r="E13" s="540"/>
      <c r="F13" s="540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39" t="s">
        <v>27</v>
      </c>
      <c r="C14" s="540"/>
      <c r="D14" s="540"/>
      <c r="E14" s="540"/>
      <c r="F14" s="540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39" t="s">
        <v>29</v>
      </c>
      <c r="C15" s="540"/>
      <c r="D15" s="540"/>
      <c r="E15" s="540"/>
      <c r="F15" s="540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39" t="s">
        <v>31</v>
      </c>
      <c r="C16" s="540"/>
      <c r="D16" s="540"/>
      <c r="E16" s="540"/>
      <c r="F16" s="540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39" t="s">
        <v>33</v>
      </c>
      <c r="C17" s="540"/>
      <c r="D17" s="540"/>
      <c r="E17" s="540"/>
      <c r="F17" s="540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39" t="s">
        <v>722</v>
      </c>
      <c r="C18" s="540"/>
      <c r="D18" s="540"/>
      <c r="E18" s="540"/>
      <c r="F18" s="540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49" t="s">
        <v>37</v>
      </c>
      <c r="C19" s="550"/>
      <c r="D19" s="550"/>
      <c r="E19" s="550"/>
      <c r="F19" s="55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39" t="s">
        <v>39</v>
      </c>
      <c r="C20" s="540"/>
      <c r="D20" s="540"/>
      <c r="E20" s="540"/>
      <c r="F20" s="540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39" t="s">
        <v>41</v>
      </c>
      <c r="C21" s="540"/>
      <c r="D21" s="540"/>
      <c r="E21" s="540"/>
      <c r="F21" s="540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39" t="s">
        <v>43</v>
      </c>
      <c r="C22" s="540"/>
      <c r="D22" s="540"/>
      <c r="E22" s="540"/>
      <c r="F22" s="540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39" t="s">
        <v>45</v>
      </c>
      <c r="C23" s="540"/>
      <c r="D23" s="540"/>
      <c r="E23" s="540"/>
      <c r="F23" s="540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41" t="s">
        <v>47</v>
      </c>
      <c r="C24" s="542"/>
      <c r="D24" s="542"/>
      <c r="E24" s="542"/>
      <c r="F24" s="542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41" t="s">
        <v>61</v>
      </c>
      <c r="C25" s="542"/>
      <c r="D25" s="542"/>
      <c r="E25" s="542"/>
      <c r="F25" s="542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41" t="s">
        <v>81</v>
      </c>
      <c r="C26" s="542"/>
      <c r="D26" s="542"/>
      <c r="E26" s="542"/>
      <c r="F26" s="542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41" t="s">
        <v>99</v>
      </c>
      <c r="C27" s="542"/>
      <c r="D27" s="542"/>
      <c r="E27" s="542"/>
      <c r="F27" s="542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3" t="s">
        <v>105</v>
      </c>
      <c r="C28" s="544"/>
      <c r="D28" s="544"/>
      <c r="E28" s="544"/>
      <c r="F28" s="544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9" t="s">
        <v>802</v>
      </c>
      <c r="C29" s="530"/>
      <c r="D29" s="530"/>
      <c r="E29" s="530"/>
      <c r="F29" s="530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45" t="s">
        <v>774</v>
      </c>
      <c r="C30" s="546"/>
      <c r="D30" s="546"/>
      <c r="E30" s="546"/>
      <c r="F30" s="54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47" t="s">
        <v>120</v>
      </c>
      <c r="C31" s="548"/>
      <c r="D31" s="548"/>
      <c r="E31" s="548"/>
      <c r="F31" s="54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39" t="s">
        <v>122</v>
      </c>
      <c r="C32" s="540"/>
      <c r="D32" s="540"/>
      <c r="E32" s="540"/>
      <c r="F32" s="540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39" t="s">
        <v>133</v>
      </c>
      <c r="C33" s="540"/>
      <c r="D33" s="540"/>
      <c r="E33" s="540"/>
      <c r="F33" s="540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39" t="s">
        <v>148</v>
      </c>
      <c r="C34" s="540"/>
      <c r="D34" s="540"/>
      <c r="E34" s="540"/>
      <c r="F34" s="540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39" t="s">
        <v>162</v>
      </c>
      <c r="C35" s="540"/>
      <c r="D35" s="540"/>
      <c r="E35" s="540"/>
      <c r="F35" s="540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39" t="s">
        <v>182</v>
      </c>
      <c r="C36" s="540"/>
      <c r="D36" s="540"/>
      <c r="E36" s="540"/>
      <c r="F36" s="540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39" t="s">
        <v>190</v>
      </c>
      <c r="C37" s="540"/>
      <c r="D37" s="540"/>
      <c r="E37" s="540"/>
      <c r="F37" s="540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39" t="s">
        <v>196</v>
      </c>
      <c r="C38" s="540"/>
      <c r="D38" s="540"/>
      <c r="E38" s="540"/>
      <c r="F38" s="540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39" t="s">
        <v>204</v>
      </c>
      <c r="C39" s="540"/>
      <c r="D39" s="540"/>
      <c r="E39" s="540"/>
      <c r="F39" s="540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39" t="s">
        <v>212</v>
      </c>
      <c r="C40" s="540"/>
      <c r="D40" s="540"/>
      <c r="E40" s="540"/>
      <c r="F40" s="540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39" t="s">
        <v>803</v>
      </c>
      <c r="C41" s="540"/>
      <c r="D41" s="540"/>
      <c r="E41" s="540"/>
      <c r="F41" s="540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5" t="s">
        <v>230</v>
      </c>
      <c r="C42" s="536"/>
      <c r="D42" s="536"/>
      <c r="E42" s="536"/>
      <c r="F42" s="536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39" t="s">
        <v>232</v>
      </c>
      <c r="C43" s="540"/>
      <c r="D43" s="540"/>
      <c r="E43" s="540"/>
      <c r="F43" s="540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39" t="s">
        <v>248</v>
      </c>
      <c r="C44" s="540"/>
      <c r="D44" s="540"/>
      <c r="E44" s="540"/>
      <c r="F44" s="540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39" t="s">
        <v>259</v>
      </c>
      <c r="C45" s="540"/>
      <c r="D45" s="540"/>
      <c r="E45" s="540"/>
      <c r="F45" s="540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39" t="s">
        <v>274</v>
      </c>
      <c r="C46" s="540"/>
      <c r="D46" s="540"/>
      <c r="E46" s="540"/>
      <c r="F46" s="540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9" t="s">
        <v>278</v>
      </c>
      <c r="C47" s="620"/>
      <c r="D47" s="620"/>
      <c r="E47" s="620"/>
      <c r="F47" s="620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7" t="s">
        <v>286</v>
      </c>
      <c r="C48" s="538"/>
      <c r="D48" s="538"/>
      <c r="E48" s="538"/>
      <c r="F48" s="538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7" t="s">
        <v>320</v>
      </c>
      <c r="C49" s="538"/>
      <c r="D49" s="538"/>
      <c r="E49" s="538"/>
      <c r="F49" s="538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02" t="s">
        <v>113</v>
      </c>
      <c r="C50" s="603"/>
      <c r="D50" s="603"/>
      <c r="E50" s="603"/>
      <c r="F50" s="603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07" t="s">
        <v>366</v>
      </c>
      <c r="C51" s="508"/>
      <c r="D51" s="508"/>
      <c r="E51" s="508"/>
      <c r="F51" s="508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5" t="s">
        <v>359</v>
      </c>
      <c r="C52" s="526"/>
      <c r="D52" s="526"/>
      <c r="E52" s="526"/>
      <c r="F52" s="52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96" t="s">
        <v>795</v>
      </c>
      <c r="C53" s="597"/>
      <c r="D53" s="597"/>
      <c r="E53" s="597"/>
      <c r="F53" s="597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98" t="s">
        <v>685</v>
      </c>
      <c r="C54" s="599"/>
      <c r="D54" s="599"/>
      <c r="E54" s="599"/>
      <c r="F54" s="599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31" t="s">
        <v>545</v>
      </c>
      <c r="C55" s="532"/>
      <c r="D55" s="532"/>
      <c r="E55" s="532"/>
      <c r="F55" s="532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3" t="s">
        <v>794</v>
      </c>
      <c r="C57" s="534"/>
      <c r="D57" s="534"/>
      <c r="E57" s="534"/>
      <c r="F57" s="534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5" t="s">
        <v>352</v>
      </c>
      <c r="C58" s="556"/>
      <c r="D58" s="556"/>
      <c r="E58" s="556"/>
      <c r="F58" s="556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3" t="s">
        <v>355</v>
      </c>
      <c r="C59" s="524"/>
      <c r="D59" s="524"/>
      <c r="E59" s="524"/>
      <c r="F59" s="524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07" t="s">
        <v>357</v>
      </c>
      <c r="C60" s="508"/>
      <c r="D60" s="508"/>
      <c r="E60" s="508"/>
      <c r="F60" s="508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7" t="s">
        <v>336</v>
      </c>
      <c r="C61" s="618"/>
      <c r="D61" s="618"/>
      <c r="E61" s="618"/>
      <c r="F61" s="618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27" t="s">
        <v>543</v>
      </c>
      <c r="C62" s="528"/>
      <c r="D62" s="528"/>
      <c r="E62" s="528"/>
      <c r="F62" s="528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9" t="s">
        <v>544</v>
      </c>
      <c r="C63" s="530"/>
      <c r="D63" s="530"/>
      <c r="E63" s="530"/>
      <c r="F63" s="530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3" t="s">
        <v>114</v>
      </c>
      <c r="C64" s="524"/>
      <c r="D64" s="524"/>
      <c r="E64" s="524"/>
      <c r="F64" s="524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07" t="s">
        <v>116</v>
      </c>
      <c r="C65" s="508"/>
      <c r="D65" s="508"/>
      <c r="E65" s="508"/>
      <c r="F65" s="508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07" t="s">
        <v>93</v>
      </c>
      <c r="C66" s="508"/>
      <c r="D66" s="508"/>
      <c r="E66" s="508"/>
      <c r="F66" s="508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3" t="s">
        <v>552</v>
      </c>
      <c r="C103" s="584"/>
      <c r="D103" s="584"/>
      <c r="E103" s="584"/>
      <c r="F103" s="584"/>
      <c r="G103" s="591">
        <v>2018</v>
      </c>
      <c r="H103" s="592"/>
      <c r="I103" s="592"/>
      <c r="J103" s="592"/>
      <c r="K103" s="592"/>
      <c r="L103" s="592"/>
      <c r="M103" s="592"/>
      <c r="N103" s="592"/>
      <c r="O103" s="592"/>
      <c r="P103" s="592"/>
      <c r="Q103" s="592"/>
      <c r="R103" s="593"/>
      <c r="S103" s="107" t="str">
        <f>+S7</f>
        <v>BDP</v>
      </c>
      <c r="T103" s="108">
        <f>+T7</f>
        <v>4663130000</v>
      </c>
    </row>
    <row r="104" spans="1:21" ht="15.75" customHeight="1">
      <c r="B104" s="585"/>
      <c r="C104" s="586"/>
      <c r="D104" s="586"/>
      <c r="E104" s="586"/>
      <c r="F104" s="587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1" t="s">
        <v>807</v>
      </c>
      <c r="T104" s="593">
        <f>+T8</f>
        <v>0</v>
      </c>
    </row>
    <row r="105" spans="1:21" ht="13.5" thickBot="1">
      <c r="B105" s="588"/>
      <c r="C105" s="589"/>
      <c r="D105" s="589"/>
      <c r="E105" s="589"/>
      <c r="F105" s="590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09" t="s">
        <v>681</v>
      </c>
      <c r="C106" s="610"/>
      <c r="D106" s="610"/>
      <c r="E106" s="610"/>
      <c r="F106" s="61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1" t="s">
        <v>21</v>
      </c>
      <c r="C107" s="582"/>
      <c r="D107" s="582"/>
      <c r="E107" s="582"/>
      <c r="F107" s="58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3" t="s">
        <v>23</v>
      </c>
      <c r="C108" s="574"/>
      <c r="D108" s="574"/>
      <c r="E108" s="574"/>
      <c r="F108" s="574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3" t="s">
        <v>25</v>
      </c>
      <c r="C109" s="574"/>
      <c r="D109" s="574"/>
      <c r="E109" s="574"/>
      <c r="F109" s="574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3" t="s">
        <v>27</v>
      </c>
      <c r="C110" s="574"/>
      <c r="D110" s="574"/>
      <c r="E110" s="574"/>
      <c r="F110" s="574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3" t="s">
        <v>29</v>
      </c>
      <c r="C111" s="574"/>
      <c r="D111" s="574"/>
      <c r="E111" s="574"/>
      <c r="F111" s="574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3" t="s">
        <v>31</v>
      </c>
      <c r="C112" s="574"/>
      <c r="D112" s="574"/>
      <c r="E112" s="574"/>
      <c r="F112" s="574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3" t="s">
        <v>33</v>
      </c>
      <c r="C113" s="574"/>
      <c r="D113" s="574"/>
      <c r="E113" s="574"/>
      <c r="F113" s="574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3" t="s">
        <v>722</v>
      </c>
      <c r="C114" s="574"/>
      <c r="D114" s="574"/>
      <c r="E114" s="574"/>
      <c r="F114" s="574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607" t="s">
        <v>37</v>
      </c>
      <c r="C115" s="608"/>
      <c r="D115" s="608"/>
      <c r="E115" s="608"/>
      <c r="F115" s="608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3" t="s">
        <v>39</v>
      </c>
      <c r="C116" s="574"/>
      <c r="D116" s="574"/>
      <c r="E116" s="574"/>
      <c r="F116" s="574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3" t="s">
        <v>41</v>
      </c>
      <c r="C117" s="574"/>
      <c r="D117" s="574"/>
      <c r="E117" s="574"/>
      <c r="F117" s="574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3" t="s">
        <v>43</v>
      </c>
      <c r="C118" s="574"/>
      <c r="D118" s="574"/>
      <c r="E118" s="574"/>
      <c r="F118" s="574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3" t="s">
        <v>45</v>
      </c>
      <c r="C119" s="574"/>
      <c r="D119" s="574"/>
      <c r="E119" s="574"/>
      <c r="F119" s="574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79" t="s">
        <v>47</v>
      </c>
      <c r="C120" s="580"/>
      <c r="D120" s="580"/>
      <c r="E120" s="580"/>
      <c r="F120" s="580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79" t="s">
        <v>61</v>
      </c>
      <c r="C121" s="580"/>
      <c r="D121" s="580"/>
      <c r="E121" s="580"/>
      <c r="F121" s="580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79" t="s">
        <v>81</v>
      </c>
      <c r="C122" s="580"/>
      <c r="D122" s="580"/>
      <c r="E122" s="580"/>
      <c r="F122" s="580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79" t="s">
        <v>99</v>
      </c>
      <c r="C123" s="580"/>
      <c r="D123" s="580"/>
      <c r="E123" s="580"/>
      <c r="F123" s="580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75" t="s">
        <v>105</v>
      </c>
      <c r="C124" s="576"/>
      <c r="D124" s="576"/>
      <c r="E124" s="576"/>
      <c r="F124" s="576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57" t="s">
        <v>809</v>
      </c>
      <c r="C125" s="558"/>
      <c r="D125" s="558"/>
      <c r="E125" s="558"/>
      <c r="F125" s="558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15" t="s">
        <v>774</v>
      </c>
      <c r="C126" s="616"/>
      <c r="D126" s="616"/>
      <c r="E126" s="616"/>
      <c r="F126" s="616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77" t="s">
        <v>120</v>
      </c>
      <c r="C127" s="578"/>
      <c r="D127" s="578"/>
      <c r="E127" s="578"/>
      <c r="F127" s="578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3" t="s">
        <v>122</v>
      </c>
      <c r="C128" s="574"/>
      <c r="D128" s="574"/>
      <c r="E128" s="574"/>
      <c r="F128" s="574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3" t="s">
        <v>133</v>
      </c>
      <c r="C129" s="574"/>
      <c r="D129" s="574"/>
      <c r="E129" s="574"/>
      <c r="F129" s="574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3" t="s">
        <v>148</v>
      </c>
      <c r="C130" s="574"/>
      <c r="D130" s="574"/>
      <c r="E130" s="574"/>
      <c r="F130" s="574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3" t="s">
        <v>162</v>
      </c>
      <c r="C131" s="574"/>
      <c r="D131" s="574"/>
      <c r="E131" s="574"/>
      <c r="F131" s="574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3" t="s">
        <v>182</v>
      </c>
      <c r="C132" s="574"/>
      <c r="D132" s="574"/>
      <c r="E132" s="574"/>
      <c r="F132" s="574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3" t="s">
        <v>190</v>
      </c>
      <c r="C133" s="574"/>
      <c r="D133" s="574"/>
      <c r="E133" s="574"/>
      <c r="F133" s="574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3" t="s">
        <v>196</v>
      </c>
      <c r="C134" s="574"/>
      <c r="D134" s="574"/>
      <c r="E134" s="574"/>
      <c r="F134" s="574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3" t="s">
        <v>204</v>
      </c>
      <c r="C135" s="574"/>
      <c r="D135" s="574"/>
      <c r="E135" s="574"/>
      <c r="F135" s="574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3" t="s">
        <v>212</v>
      </c>
      <c r="C136" s="574"/>
      <c r="D136" s="574"/>
      <c r="E136" s="574"/>
      <c r="F136" s="574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3" t="s">
        <v>803</v>
      </c>
      <c r="C137" s="574"/>
      <c r="D137" s="574"/>
      <c r="E137" s="574"/>
      <c r="F137" s="574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69" t="s">
        <v>230</v>
      </c>
      <c r="C138" s="570"/>
      <c r="D138" s="570"/>
      <c r="E138" s="570"/>
      <c r="F138" s="570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3" t="s">
        <v>232</v>
      </c>
      <c r="C139" s="574"/>
      <c r="D139" s="574"/>
      <c r="E139" s="574"/>
      <c r="F139" s="574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3" t="s">
        <v>248</v>
      </c>
      <c r="C140" s="574"/>
      <c r="D140" s="574"/>
      <c r="E140" s="574"/>
      <c r="F140" s="574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3" t="s">
        <v>259</v>
      </c>
      <c r="C141" s="574"/>
      <c r="D141" s="574"/>
      <c r="E141" s="574"/>
      <c r="F141" s="574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3" t="s">
        <v>274</v>
      </c>
      <c r="C142" s="574"/>
      <c r="D142" s="574"/>
      <c r="E142" s="574"/>
      <c r="F142" s="574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3" t="s">
        <v>278</v>
      </c>
      <c r="C143" s="574"/>
      <c r="D143" s="574"/>
      <c r="E143" s="574"/>
      <c r="F143" s="574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71" t="s">
        <v>286</v>
      </c>
      <c r="C144" s="572"/>
      <c r="D144" s="572"/>
      <c r="E144" s="572"/>
      <c r="F144" s="572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71" t="s">
        <v>810</v>
      </c>
      <c r="C145" s="572"/>
      <c r="D145" s="572"/>
      <c r="E145" s="572"/>
      <c r="F145" s="572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3" t="s">
        <v>113</v>
      </c>
      <c r="C146" s="564"/>
      <c r="D146" s="564"/>
      <c r="E146" s="564"/>
      <c r="F146" s="564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3" t="s">
        <v>366</v>
      </c>
      <c r="C147" s="564"/>
      <c r="D147" s="564"/>
      <c r="E147" s="564"/>
      <c r="F147" s="564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3" t="s">
        <v>359</v>
      </c>
      <c r="C148" s="564"/>
      <c r="D148" s="564"/>
      <c r="E148" s="564"/>
      <c r="F148" s="564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65" t="s">
        <v>545</v>
      </c>
      <c r="C150" s="566"/>
      <c r="D150" s="566"/>
      <c r="E150" s="566"/>
      <c r="F150" s="566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67" t="s">
        <v>811</v>
      </c>
      <c r="C151" s="568"/>
      <c r="D151" s="568"/>
      <c r="E151" s="568"/>
      <c r="F151" s="568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69" t="s">
        <v>352</v>
      </c>
      <c r="C152" s="570"/>
      <c r="D152" s="570"/>
      <c r="E152" s="570"/>
      <c r="F152" s="570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61" t="s">
        <v>355</v>
      </c>
      <c r="C153" s="562"/>
      <c r="D153" s="562"/>
      <c r="E153" s="562"/>
      <c r="F153" s="562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3" t="s">
        <v>357</v>
      </c>
      <c r="C154" s="564"/>
      <c r="D154" s="564"/>
      <c r="E154" s="564"/>
      <c r="F154" s="564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3" t="s">
        <v>365</v>
      </c>
      <c r="C155" s="564"/>
      <c r="D155" s="564"/>
      <c r="E155" s="564"/>
      <c r="F155" s="564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9" t="s">
        <v>543</v>
      </c>
      <c r="C157" s="560"/>
      <c r="D157" s="560"/>
      <c r="E157" s="560"/>
      <c r="F157" s="560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57" t="s">
        <v>544</v>
      </c>
      <c r="C158" s="558"/>
      <c r="D158" s="558"/>
      <c r="E158" s="558"/>
      <c r="F158" s="558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61" t="s">
        <v>114</v>
      </c>
      <c r="C159" s="562"/>
      <c r="D159" s="562"/>
      <c r="E159" s="562"/>
      <c r="F159" s="562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3" t="s">
        <v>116</v>
      </c>
      <c r="C160" s="564"/>
      <c r="D160" s="564"/>
      <c r="E160" s="564"/>
      <c r="F160" s="564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3" t="s">
        <v>93</v>
      </c>
      <c r="C161" s="564"/>
      <c r="D161" s="564"/>
      <c r="E161" s="564"/>
      <c r="F161" s="564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4" t="s">
        <v>555</v>
      </c>
      <c r="F6" s="621">
        <v>2006</v>
      </c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3"/>
      <c r="R6" s="621">
        <v>2007</v>
      </c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3"/>
      <c r="AD6" s="621">
        <v>2008</v>
      </c>
      <c r="AE6" s="622"/>
      <c r="AF6" s="622"/>
      <c r="AG6" s="622"/>
      <c r="AH6" s="622"/>
      <c r="AI6" s="622"/>
      <c r="AJ6" s="622"/>
      <c r="AK6" s="622"/>
      <c r="AL6" s="622"/>
      <c r="AM6" s="622"/>
      <c r="AN6" s="622"/>
      <c r="AO6" s="623"/>
      <c r="AP6" s="621">
        <v>2009</v>
      </c>
      <c r="AQ6" s="622"/>
      <c r="AR6" s="622"/>
      <c r="AS6" s="622"/>
      <c r="AT6" s="622"/>
      <c r="AU6" s="622"/>
      <c r="AV6" s="622"/>
      <c r="AW6" s="622"/>
      <c r="AX6" s="622"/>
      <c r="AY6" s="622"/>
      <c r="AZ6" s="622"/>
      <c r="BA6" s="623"/>
      <c r="BB6" s="621">
        <v>2010</v>
      </c>
      <c r="BC6" s="622"/>
      <c r="BD6" s="622"/>
      <c r="BE6" s="622"/>
      <c r="BF6" s="622"/>
      <c r="BG6" s="622"/>
      <c r="BH6" s="622"/>
      <c r="BI6" s="622"/>
      <c r="BJ6" s="622"/>
      <c r="BK6" s="622"/>
      <c r="BL6" s="622"/>
      <c r="BM6" s="623"/>
      <c r="BN6" s="621">
        <v>2011</v>
      </c>
      <c r="BO6" s="622"/>
      <c r="BP6" s="622"/>
      <c r="BQ6" s="622"/>
      <c r="BR6" s="622"/>
      <c r="BS6" s="622"/>
      <c r="BT6" s="622"/>
      <c r="BU6" s="622"/>
      <c r="BV6" s="622"/>
      <c r="BW6" s="622"/>
      <c r="BX6" s="622"/>
      <c r="BY6" s="623"/>
      <c r="BZ6" s="622">
        <v>2012</v>
      </c>
      <c r="CA6" s="622"/>
      <c r="CB6" s="622"/>
      <c r="CC6" s="622"/>
      <c r="CD6" s="622"/>
      <c r="CE6" s="622"/>
      <c r="CF6" s="622"/>
      <c r="CG6" s="622"/>
      <c r="CH6" s="622"/>
      <c r="CI6" s="622"/>
      <c r="CJ6" s="622"/>
      <c r="CK6" s="622"/>
      <c r="CL6" s="621">
        <v>2013</v>
      </c>
      <c r="CM6" s="622"/>
      <c r="CN6" s="622"/>
      <c r="CO6" s="622"/>
      <c r="CP6" s="622"/>
      <c r="CQ6" s="622"/>
      <c r="CR6" s="622"/>
      <c r="CS6" s="622"/>
      <c r="CT6" s="622"/>
      <c r="CU6" s="622"/>
      <c r="CV6" s="622"/>
      <c r="CW6" s="623"/>
      <c r="CX6" s="621">
        <v>2014</v>
      </c>
      <c r="CY6" s="622"/>
      <c r="CZ6" s="622"/>
      <c r="DA6" s="622"/>
      <c r="DB6" s="622"/>
      <c r="DC6" s="622"/>
      <c r="DD6" s="622"/>
      <c r="DE6" s="622"/>
      <c r="DF6" s="622"/>
      <c r="DG6" s="622"/>
      <c r="DH6" s="622"/>
      <c r="DI6" s="623"/>
      <c r="DJ6" s="621">
        <v>2015</v>
      </c>
      <c r="DK6" s="622"/>
      <c r="DL6" s="622"/>
      <c r="DM6" s="622"/>
      <c r="DN6" s="622"/>
      <c r="DO6" s="622"/>
      <c r="DP6" s="622"/>
      <c r="DQ6" s="622"/>
      <c r="DR6" s="622"/>
      <c r="DS6" s="622"/>
      <c r="DT6" s="622"/>
      <c r="DU6" s="623"/>
    </row>
    <row r="7" spans="1:321">
      <c r="E7" s="624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4" t="s">
        <v>676</v>
      </c>
      <c r="F214" s="621">
        <v>2006</v>
      </c>
      <c r="G214" s="622"/>
      <c r="H214" s="622"/>
      <c r="I214" s="622"/>
      <c r="J214" s="622"/>
      <c r="K214" s="622"/>
      <c r="L214" s="622"/>
      <c r="M214" s="622"/>
      <c r="N214" s="622"/>
      <c r="O214" s="622"/>
      <c r="P214" s="622"/>
      <c r="Q214" s="623"/>
      <c r="R214" s="621">
        <v>2007</v>
      </c>
      <c r="S214" s="622"/>
      <c r="T214" s="622"/>
      <c r="U214" s="622"/>
      <c r="V214" s="622"/>
      <c r="W214" s="622"/>
      <c r="X214" s="622"/>
      <c r="Y214" s="622"/>
      <c r="Z214" s="622"/>
      <c r="AA214" s="622"/>
      <c r="AB214" s="622"/>
      <c r="AC214" s="623"/>
      <c r="AD214" s="621">
        <v>2008</v>
      </c>
      <c r="AE214" s="622"/>
      <c r="AF214" s="622"/>
      <c r="AG214" s="622"/>
      <c r="AH214" s="622"/>
      <c r="AI214" s="622"/>
      <c r="AJ214" s="622"/>
      <c r="AK214" s="622"/>
      <c r="AL214" s="622"/>
      <c r="AM214" s="622"/>
      <c r="AN214" s="622"/>
      <c r="AO214" s="623"/>
      <c r="AP214" s="621">
        <v>2009</v>
      </c>
      <c r="AQ214" s="622"/>
      <c r="AR214" s="622"/>
      <c r="AS214" s="622"/>
      <c r="AT214" s="622"/>
      <c r="AU214" s="622"/>
      <c r="AV214" s="622"/>
      <c r="AW214" s="622"/>
      <c r="AX214" s="622"/>
      <c r="AY214" s="622"/>
      <c r="AZ214" s="622"/>
      <c r="BA214" s="623"/>
      <c r="BB214" s="621">
        <v>2010</v>
      </c>
      <c r="BC214" s="622"/>
      <c r="BD214" s="622"/>
      <c r="BE214" s="622"/>
      <c r="BF214" s="622"/>
      <c r="BG214" s="622"/>
      <c r="BH214" s="622"/>
      <c r="BI214" s="622"/>
      <c r="BJ214" s="622"/>
      <c r="BK214" s="622"/>
      <c r="BL214" s="622"/>
      <c r="BM214" s="623"/>
      <c r="BN214" s="621">
        <v>2011</v>
      </c>
      <c r="BO214" s="622"/>
      <c r="BP214" s="622"/>
      <c r="BQ214" s="622"/>
      <c r="BR214" s="622"/>
      <c r="BS214" s="622"/>
      <c r="BT214" s="622"/>
      <c r="BU214" s="622"/>
      <c r="BV214" s="622"/>
      <c r="BW214" s="622"/>
      <c r="BX214" s="622"/>
      <c r="BY214" s="623"/>
      <c r="BZ214" s="622">
        <v>2012</v>
      </c>
      <c r="CA214" s="622"/>
      <c r="CB214" s="622"/>
      <c r="CC214" s="622"/>
      <c r="CD214" s="622"/>
      <c r="CE214" s="622"/>
      <c r="CF214" s="622"/>
      <c r="CG214" s="622"/>
      <c r="CH214" s="622"/>
      <c r="CI214" s="622"/>
      <c r="CJ214" s="622"/>
      <c r="CK214" s="622"/>
      <c r="CL214" s="621">
        <v>2013</v>
      </c>
      <c r="CM214" s="622"/>
      <c r="CN214" s="622"/>
      <c r="CO214" s="622"/>
      <c r="CP214" s="622"/>
      <c r="CQ214" s="622"/>
      <c r="CR214" s="622"/>
      <c r="CS214" s="622"/>
      <c r="CT214" s="622"/>
      <c r="CU214" s="622"/>
      <c r="CV214" s="622"/>
      <c r="CW214" s="623"/>
      <c r="CX214" s="621">
        <v>2014</v>
      </c>
      <c r="CY214" s="622"/>
      <c r="CZ214" s="622"/>
      <c r="DA214" s="622"/>
      <c r="DB214" s="622"/>
      <c r="DC214" s="622"/>
      <c r="DD214" s="622"/>
      <c r="DE214" s="622"/>
      <c r="DF214" s="622"/>
      <c r="DG214" s="622"/>
      <c r="DH214" s="622"/>
      <c r="DI214" s="623"/>
      <c r="DJ214" s="621">
        <v>2015</v>
      </c>
      <c r="DK214" s="622"/>
      <c r="DL214" s="622"/>
      <c r="DM214" s="622"/>
      <c r="DN214" s="622"/>
      <c r="DO214" s="622"/>
      <c r="DP214" s="622"/>
      <c r="DQ214" s="622"/>
      <c r="DR214" s="622"/>
      <c r="DS214" s="622"/>
      <c r="DT214" s="622"/>
      <c r="DU214" s="623"/>
    </row>
    <row r="215" spans="1:187">
      <c r="E215" s="624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Milena Milovic</cp:lastModifiedBy>
  <cp:lastPrinted>2022-03-03T07:18:34Z</cp:lastPrinted>
  <dcterms:created xsi:type="dcterms:W3CDTF">2014-09-15T13:41:17Z</dcterms:created>
  <dcterms:modified xsi:type="dcterms:W3CDTF">2022-12-01T13:21:25Z</dcterms:modified>
</cp:coreProperties>
</file>