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jela.bulatovic\Desktop\"/>
    </mc:Choice>
  </mc:AlternateContent>
  <workbookProtection workbookAlgorithmName="SHA-512" workbookHashValue="RDyVoaTlbzUeepVoZ9HSbpFZ0shaXLqxBscl0PNKdt4GKkbpEFCLzwoax88kG+sGFLxWskfPbAMzqYti7nU6mA==" workbookSaltValue="D2Wu0v/+G1PwdG3taIS7tg==" workbookSpinCount="100000" lockStructure="1"/>
  <bookViews>
    <workbookView xWindow="-105" yWindow="-105" windowWidth="23250" windowHeight="12570" tabRatio="587" firstSheet="1" activeTab="2"/>
  </bookViews>
  <sheets>
    <sheet name="Analitika - 2014" sheetId="3" state="hidden" r:id="rId1"/>
    <sheet name="Breakdown" sheetId="1" r:id="rId2"/>
    <sheet name="Analytics - 2021" sheetId="11" r:id="rId3"/>
    <sheet name="2021" sheetId="22" r:id="rId4"/>
    <sheet name="2020" sheetId="19" state="hidden" r:id="rId5"/>
    <sheet name="2019" sheetId="20" state="hidden" r:id="rId6"/>
    <sheet name="2018" sheetId="21" state="hidden" r:id="rId7"/>
    <sheet name="DataEx" sheetId="6" state="hidden" r:id="rId8"/>
    <sheet name="Master" sheetId="2" state="hidden" r:id="rId9"/>
  </sheets>
  <definedNames>
    <definedName name="_2015plan" localSheetId="6">'2018'!$A$103:$A$162</definedName>
    <definedName name="_2015plan" localSheetId="5">'2019'!$A$100:$A$159</definedName>
    <definedName name="_2015plan" localSheetId="4">'2020'!$A$100:$A$157</definedName>
    <definedName name="_2015plan" localSheetId="3">'2021'!$A$81:$A$138</definedName>
  </definedNames>
  <calcPr calcId="181029"/>
</workbook>
</file>

<file path=xl/calcChain.xml><?xml version="1.0" encoding="utf-8"?>
<calcChain xmlns="http://schemas.openxmlformats.org/spreadsheetml/2006/main">
  <c r="O12" i="11" l="1"/>
  <c r="O13" i="11"/>
  <c r="O14" i="11"/>
  <c r="O15" i="11"/>
  <c r="O16" i="11"/>
  <c r="O17" i="11"/>
  <c r="O18" i="11"/>
  <c r="O20" i="11"/>
  <c r="O21" i="11"/>
  <c r="O22" i="11"/>
  <c r="O23" i="11"/>
  <c r="O24" i="11"/>
  <c r="O25" i="11"/>
  <c r="O26" i="11"/>
  <c r="O27" i="11"/>
  <c r="O28" i="11"/>
  <c r="O31" i="11"/>
  <c r="O32" i="11"/>
  <c r="O33" i="11"/>
  <c r="O34" i="11"/>
  <c r="O35" i="11"/>
  <c r="O36" i="11"/>
  <c r="O37" i="11"/>
  <c r="O38" i="11"/>
  <c r="O39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6" i="11"/>
  <c r="O57" i="11"/>
  <c r="O58" i="11"/>
  <c r="O61" i="11"/>
  <c r="O62" i="11"/>
  <c r="O63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61" i="11"/>
  <c r="N62" i="11"/>
  <c r="N63" i="11"/>
  <c r="G5" i="19" l="1"/>
  <c r="H5" i="19"/>
  <c r="I5" i="19"/>
  <c r="J5" i="19"/>
  <c r="K5" i="19"/>
  <c r="L5" i="19"/>
  <c r="M5" i="19"/>
  <c r="N5" i="19"/>
  <c r="O5" i="19"/>
  <c r="P5" i="19"/>
  <c r="Q5" i="19"/>
  <c r="R5" i="19"/>
  <c r="G5" i="22" l="1"/>
  <c r="H5" i="22"/>
  <c r="I5" i="22"/>
  <c r="J5" i="22"/>
  <c r="H17" i="1" l="1"/>
  <c r="H21" i="1" s="1"/>
  <c r="G17" i="1"/>
  <c r="G21" i="1" s="1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N19" i="11" s="1"/>
  <c r="M19" i="22"/>
  <c r="N19" i="22"/>
  <c r="O19" i="22"/>
  <c r="P19" i="22"/>
  <c r="Q19" i="22"/>
  <c r="R19" i="22"/>
  <c r="G19" i="22"/>
  <c r="S27" i="22"/>
  <c r="T27" i="22" s="1"/>
  <c r="S28" i="22"/>
  <c r="T28" i="22" s="1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M129" i="22"/>
  <c r="L129" i="22"/>
  <c r="O55" i="11" s="1"/>
  <c r="K129" i="22"/>
  <c r="J129" i="22"/>
  <c r="I129" i="22"/>
  <c r="H129" i="22"/>
  <c r="A129" i="22"/>
  <c r="A128" i="22"/>
  <c r="A127" i="22"/>
  <c r="S126" i="22"/>
  <c r="H52" i="11" s="1"/>
  <c r="A126" i="22"/>
  <c r="S125" i="22"/>
  <c r="H51" i="11" s="1"/>
  <c r="A125" i="22"/>
  <c r="S124" i="22"/>
  <c r="H50" i="11" s="1"/>
  <c r="A124" i="22"/>
  <c r="S123" i="22"/>
  <c r="H49" i="11" s="1"/>
  <c r="A123" i="22"/>
  <c r="S122" i="22"/>
  <c r="H48" i="11" s="1"/>
  <c r="A122" i="22"/>
  <c r="S121" i="22"/>
  <c r="H47" i="11" s="1"/>
  <c r="A121" i="22"/>
  <c r="S120" i="22"/>
  <c r="H46" i="11" s="1"/>
  <c r="A120" i="22"/>
  <c r="S119" i="22"/>
  <c r="H45" i="11" s="1"/>
  <c r="A119" i="22"/>
  <c r="S118" i="22"/>
  <c r="H44" i="11" s="1"/>
  <c r="A118" i="22"/>
  <c r="S117" i="22"/>
  <c r="H43" i="11" s="1"/>
  <c r="A117" i="22"/>
  <c r="S116" i="22"/>
  <c r="H42" i="11" s="1"/>
  <c r="A116" i="22"/>
  <c r="S115" i="22"/>
  <c r="H41" i="11" s="1"/>
  <c r="A115" i="22"/>
  <c r="R114" i="22"/>
  <c r="Q114" i="22"/>
  <c r="P114" i="22"/>
  <c r="P103" i="22" s="1"/>
  <c r="O114" i="22"/>
  <c r="N114" i="22"/>
  <c r="M114" i="22"/>
  <c r="L114" i="22"/>
  <c r="O40" i="11" s="1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H36" i="11" s="1"/>
  <c r="A110" i="22"/>
  <c r="S109" i="22"/>
  <c r="A109" i="22"/>
  <c r="S108" i="22"/>
  <c r="H34" i="11" s="1"/>
  <c r="A108" i="22"/>
  <c r="S107" i="22"/>
  <c r="A107" i="22"/>
  <c r="S106" i="22"/>
  <c r="H32" i="11" s="1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M103" i="22"/>
  <c r="A103" i="22"/>
  <c r="S102" i="22"/>
  <c r="H28" i="11" s="1"/>
  <c r="A102" i="22"/>
  <c r="S101" i="22"/>
  <c r="A101" i="22"/>
  <c r="S100" i="22"/>
  <c r="H26" i="11" s="1"/>
  <c r="A100" i="22"/>
  <c r="S99" i="22"/>
  <c r="A99" i="22"/>
  <c r="S98" i="22"/>
  <c r="H24" i="11" s="1"/>
  <c r="A98" i="22"/>
  <c r="S97" i="22"/>
  <c r="A97" i="22"/>
  <c r="S96" i="22"/>
  <c r="H22" i="11" s="1"/>
  <c r="A96" i="22"/>
  <c r="S95" i="22"/>
  <c r="A95" i="22"/>
  <c r="S94" i="22"/>
  <c r="H20" i="11" s="1"/>
  <c r="A94" i="22"/>
  <c r="R93" i="22"/>
  <c r="Q93" i="22"/>
  <c r="P93" i="22"/>
  <c r="O93" i="22"/>
  <c r="N93" i="22"/>
  <c r="M93" i="22"/>
  <c r="L93" i="22"/>
  <c r="O19" i="11" s="1"/>
  <c r="K93" i="22"/>
  <c r="J93" i="22"/>
  <c r="I93" i="22"/>
  <c r="H93" i="22"/>
  <c r="G93" i="22"/>
  <c r="A93" i="22"/>
  <c r="S92" i="22"/>
  <c r="A92" i="22"/>
  <c r="S91" i="22"/>
  <c r="H17" i="11" s="1"/>
  <c r="A91" i="22"/>
  <c r="S90" i="22"/>
  <c r="A90" i="22"/>
  <c r="S89" i="22"/>
  <c r="H15" i="11" s="1"/>
  <c r="A89" i="22"/>
  <c r="S88" i="22"/>
  <c r="A88" i="22"/>
  <c r="S87" i="22"/>
  <c r="H13" i="11" s="1"/>
  <c r="A87" i="22"/>
  <c r="S86" i="22"/>
  <c r="A86" i="22"/>
  <c r="R85" i="22"/>
  <c r="Q85" i="22"/>
  <c r="P85" i="22"/>
  <c r="O85" i="22"/>
  <c r="N85" i="22"/>
  <c r="M85" i="22"/>
  <c r="L85" i="22"/>
  <c r="O11" i="11" s="1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N55" i="11" s="1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N40" i="11" s="1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T34" i="22" s="1"/>
  <c r="S33" i="22"/>
  <c r="T33" i="22" s="1"/>
  <c r="S32" i="22"/>
  <c r="T32" i="22" s="1"/>
  <c r="R30" i="22"/>
  <c r="P30" i="22"/>
  <c r="N30" i="22"/>
  <c r="L30" i="22"/>
  <c r="N30" i="11" s="1"/>
  <c r="J30" i="22"/>
  <c r="H30" i="22"/>
  <c r="S31" i="22"/>
  <c r="T31" i="22" s="1"/>
  <c r="Q30" i="22"/>
  <c r="O30" i="22"/>
  <c r="M30" i="22"/>
  <c r="K30" i="22"/>
  <c r="I30" i="22"/>
  <c r="G30" i="22"/>
  <c r="S26" i="22"/>
  <c r="T26" i="22" s="1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P10" i="22" s="1"/>
  <c r="N11" i="22"/>
  <c r="L11" i="22"/>
  <c r="J11" i="22"/>
  <c r="H11" i="22"/>
  <c r="S12" i="22"/>
  <c r="T12" i="22" s="1"/>
  <c r="Q11" i="22"/>
  <c r="O11" i="22"/>
  <c r="M11" i="22"/>
  <c r="K11" i="22"/>
  <c r="K10" i="22" s="1"/>
  <c r="I11" i="22"/>
  <c r="G11" i="22"/>
  <c r="R5" i="22"/>
  <c r="Q5" i="22"/>
  <c r="P5" i="22"/>
  <c r="O5" i="22"/>
  <c r="N5" i="22"/>
  <c r="M5" i="22"/>
  <c r="L5" i="22"/>
  <c r="K5" i="22"/>
  <c r="T135" i="22" l="1"/>
  <c r="H61" i="11"/>
  <c r="O10" i="22"/>
  <c r="O103" i="22"/>
  <c r="I10" i="22"/>
  <c r="Q10" i="22"/>
  <c r="L10" i="22"/>
  <c r="N10" i="11" s="1"/>
  <c r="N11" i="11"/>
  <c r="P11" i="11" s="1"/>
  <c r="Q103" i="22"/>
  <c r="L103" i="22"/>
  <c r="O29" i="11" s="1"/>
  <c r="O30" i="11"/>
  <c r="T132" i="22"/>
  <c r="H58" i="11"/>
  <c r="K103" i="22"/>
  <c r="T137" i="22"/>
  <c r="H63" i="11"/>
  <c r="T136" i="22"/>
  <c r="H62" i="11"/>
  <c r="T131" i="22"/>
  <c r="H57" i="11"/>
  <c r="T130" i="22"/>
  <c r="H56" i="11"/>
  <c r="T113" i="22"/>
  <c r="H39" i="11"/>
  <c r="T112" i="22"/>
  <c r="H38" i="11"/>
  <c r="T111" i="22"/>
  <c r="H37" i="11"/>
  <c r="T109" i="22"/>
  <c r="H35" i="11"/>
  <c r="T107" i="22"/>
  <c r="H33" i="11"/>
  <c r="T105" i="22"/>
  <c r="H31" i="11"/>
  <c r="I103" i="22"/>
  <c r="T101" i="22"/>
  <c r="H27" i="11"/>
  <c r="T99" i="22"/>
  <c r="H25" i="11"/>
  <c r="T95" i="22"/>
  <c r="H21" i="11"/>
  <c r="T97" i="22"/>
  <c r="H23" i="11"/>
  <c r="T86" i="22"/>
  <c r="H12" i="11"/>
  <c r="T88" i="22"/>
  <c r="H14" i="11"/>
  <c r="T90" i="22"/>
  <c r="H16" i="11"/>
  <c r="T92" i="22"/>
  <c r="H18" i="11"/>
  <c r="H103" i="22"/>
  <c r="H10" i="22"/>
  <c r="G29" i="22"/>
  <c r="N84" i="22"/>
  <c r="S11" i="22"/>
  <c r="T11" i="22" s="1"/>
  <c r="G10" i="22"/>
  <c r="J103" i="22"/>
  <c r="N103" i="22"/>
  <c r="R103" i="22"/>
  <c r="M10" i="22"/>
  <c r="J84" i="22"/>
  <c r="R84" i="22"/>
  <c r="G103" i="22"/>
  <c r="K29" i="22"/>
  <c r="O29" i="22"/>
  <c r="L29" i="22"/>
  <c r="P29" i="22"/>
  <c r="P53" i="22" s="1"/>
  <c r="P54" i="22" s="1"/>
  <c r="H29" i="22"/>
  <c r="J10" i="22"/>
  <c r="N10" i="22"/>
  <c r="R10" i="22"/>
  <c r="S129" i="22"/>
  <c r="L84" i="22"/>
  <c r="P84" i="22"/>
  <c r="I84" i="22"/>
  <c r="K84" i="22"/>
  <c r="M84" i="22"/>
  <c r="M127" i="22" s="1"/>
  <c r="M133" i="22" s="1"/>
  <c r="M138" i="22" s="1"/>
  <c r="M134" i="22" s="1"/>
  <c r="O84" i="22"/>
  <c r="O127" i="22" s="1"/>
  <c r="O128" i="22" s="1"/>
  <c r="Q84" i="22"/>
  <c r="Q127" i="22" s="1"/>
  <c r="Q133" i="22" s="1"/>
  <c r="Q138" i="22" s="1"/>
  <c r="Q134" i="22" s="1"/>
  <c r="H84" i="22"/>
  <c r="G43" i="11"/>
  <c r="G31" i="11"/>
  <c r="G58" i="11"/>
  <c r="G57" i="11"/>
  <c r="S55" i="22"/>
  <c r="T55" i="22" s="1"/>
  <c r="G56" i="11"/>
  <c r="G52" i="11"/>
  <c r="G51" i="11"/>
  <c r="G50" i="11"/>
  <c r="G49" i="11"/>
  <c r="G48" i="11"/>
  <c r="G47" i="11"/>
  <c r="I47" i="11" s="1"/>
  <c r="G46" i="11"/>
  <c r="G45" i="11"/>
  <c r="G44" i="11"/>
  <c r="G42" i="11"/>
  <c r="G41" i="11"/>
  <c r="Q40" i="11"/>
  <c r="G39" i="11"/>
  <c r="G38" i="11"/>
  <c r="G37" i="11"/>
  <c r="G36" i="11"/>
  <c r="G35" i="11"/>
  <c r="G34" i="11"/>
  <c r="G33" i="11"/>
  <c r="G32" i="11"/>
  <c r="G61" i="11"/>
  <c r="G62" i="11"/>
  <c r="G63" i="11"/>
  <c r="G27" i="11"/>
  <c r="G28" i="11"/>
  <c r="G26" i="11"/>
  <c r="G25" i="11"/>
  <c r="G24" i="11"/>
  <c r="G20" i="11"/>
  <c r="G21" i="11"/>
  <c r="G22" i="11"/>
  <c r="G23" i="11"/>
  <c r="G12" i="11"/>
  <c r="G13" i="11"/>
  <c r="G14" i="11"/>
  <c r="G15" i="11"/>
  <c r="G16" i="11"/>
  <c r="G17" i="11"/>
  <c r="G18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P127" i="22"/>
  <c r="P133" i="22" s="1"/>
  <c r="P138" i="22" s="1"/>
  <c r="P134" i="22" s="1"/>
  <c r="S104" i="22"/>
  <c r="G84" i="22"/>
  <c r="I29" i="22"/>
  <c r="M29" i="22"/>
  <c r="Q29" i="22"/>
  <c r="Q53" i="22" s="1"/>
  <c r="Q54" i="22" s="1"/>
  <c r="J29" i="22"/>
  <c r="N29" i="22"/>
  <c r="R29" i="22"/>
  <c r="S40" i="22"/>
  <c r="T40" i="22" s="1"/>
  <c r="S19" i="22"/>
  <c r="T19" i="22" s="1"/>
  <c r="S30" i="22"/>
  <c r="T30" i="22" s="1"/>
  <c r="L127" i="22" l="1"/>
  <c r="O10" i="11"/>
  <c r="O53" i="22"/>
  <c r="O59" i="22" s="1"/>
  <c r="O64" i="22" s="1"/>
  <c r="O60" i="22" s="1"/>
  <c r="L53" i="22"/>
  <c r="N29" i="11"/>
  <c r="L133" i="22"/>
  <c r="O53" i="11"/>
  <c r="K127" i="22"/>
  <c r="K53" i="22"/>
  <c r="Q29" i="11"/>
  <c r="K54" i="22"/>
  <c r="J127" i="22"/>
  <c r="J128" i="22" s="1"/>
  <c r="I53" i="22"/>
  <c r="T129" i="22"/>
  <c r="H55" i="11"/>
  <c r="T114" i="22"/>
  <c r="H40" i="11"/>
  <c r="T104" i="22"/>
  <c r="H30" i="11"/>
  <c r="T93" i="22"/>
  <c r="H19" i="11"/>
  <c r="I127" i="22"/>
  <c r="I128" i="22" s="1"/>
  <c r="P10" i="11"/>
  <c r="T85" i="22"/>
  <c r="H11" i="11"/>
  <c r="H127" i="22"/>
  <c r="H133" i="22" s="1"/>
  <c r="Q10" i="11"/>
  <c r="H53" i="22"/>
  <c r="S10" i="22"/>
  <c r="T10" i="22" s="1"/>
  <c r="M53" i="22"/>
  <c r="M59" i="22" s="1"/>
  <c r="M64" i="22" s="1"/>
  <c r="M60" i="22" s="1"/>
  <c r="R127" i="22"/>
  <c r="R133" i="22" s="1"/>
  <c r="R138" i="22" s="1"/>
  <c r="R134" i="22" s="1"/>
  <c r="N127" i="22"/>
  <c r="N53" i="22"/>
  <c r="N59" i="22" s="1"/>
  <c r="N64" i="22" s="1"/>
  <c r="N60" i="22" s="1"/>
  <c r="S103" i="22"/>
  <c r="L59" i="22"/>
  <c r="R53" i="22"/>
  <c r="R54" i="22" s="1"/>
  <c r="I59" i="22"/>
  <c r="Q59" i="22"/>
  <c r="Q64" i="22" s="1"/>
  <c r="Q60" i="22" s="1"/>
  <c r="L128" i="22"/>
  <c r="O54" i="11" s="1"/>
  <c r="P128" i="22"/>
  <c r="O133" i="22"/>
  <c r="O138" i="22" s="1"/>
  <c r="O134" i="22" s="1"/>
  <c r="S84" i="22"/>
  <c r="M128" i="22"/>
  <c r="Q128" i="22"/>
  <c r="J43" i="11"/>
  <c r="I43" i="11"/>
  <c r="J31" i="11"/>
  <c r="I31" i="11"/>
  <c r="J58" i="11"/>
  <c r="I58" i="11"/>
  <c r="J57" i="11"/>
  <c r="I57" i="11"/>
  <c r="J56" i="11"/>
  <c r="I56" i="11"/>
  <c r="Q55" i="11"/>
  <c r="G55" i="11"/>
  <c r="J52" i="11"/>
  <c r="I52" i="11"/>
  <c r="J51" i="11"/>
  <c r="I51" i="11"/>
  <c r="J50" i="11"/>
  <c r="I50" i="11"/>
  <c r="J49" i="11"/>
  <c r="I49" i="11"/>
  <c r="J48" i="11"/>
  <c r="I48" i="11"/>
  <c r="J47" i="11"/>
  <c r="J46" i="11"/>
  <c r="I46" i="11"/>
  <c r="J45" i="11"/>
  <c r="I45" i="11"/>
  <c r="J44" i="11"/>
  <c r="I44" i="11"/>
  <c r="J42" i="11"/>
  <c r="I42" i="11"/>
  <c r="J41" i="11"/>
  <c r="I41" i="11"/>
  <c r="G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G30" i="11"/>
  <c r="S29" i="22"/>
  <c r="T29" i="22" s="1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G19" i="11"/>
  <c r="G11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54" i="22" s="1"/>
  <c r="G127" i="22"/>
  <c r="G128" i="22" s="1"/>
  <c r="P59" i="22"/>
  <c r="P64" i="22" s="1"/>
  <c r="P60" i="22" s="1"/>
  <c r="O54" i="22"/>
  <c r="J53" i="22"/>
  <c r="M54" i="22"/>
  <c r="N54" i="22"/>
  <c r="A145" i="19"/>
  <c r="A144" i="19"/>
  <c r="A151" i="19"/>
  <c r="A157" i="19"/>
  <c r="A152" i="19"/>
  <c r="A153" i="19"/>
  <c r="L64" i="22" l="1"/>
  <c r="N59" i="11"/>
  <c r="L54" i="22"/>
  <c r="N54" i="11" s="1"/>
  <c r="N53" i="11"/>
  <c r="L138" i="22"/>
  <c r="O59" i="11"/>
  <c r="K128" i="22"/>
  <c r="K133" i="22"/>
  <c r="K59" i="22"/>
  <c r="K64" i="22" s="1"/>
  <c r="J133" i="22"/>
  <c r="J138" i="22"/>
  <c r="I64" i="22"/>
  <c r="I54" i="22"/>
  <c r="T103" i="22"/>
  <c r="H29" i="11"/>
  <c r="T84" i="22"/>
  <c r="H10" i="11"/>
  <c r="I133" i="22"/>
  <c r="H128" i="22"/>
  <c r="H138" i="22"/>
  <c r="H54" i="22"/>
  <c r="H59" i="22"/>
  <c r="N128" i="22"/>
  <c r="N133" i="22"/>
  <c r="N138" i="22" s="1"/>
  <c r="N134" i="22" s="1"/>
  <c r="S127" i="22"/>
  <c r="R128" i="22"/>
  <c r="G10" i="11"/>
  <c r="G12" i="1" s="1"/>
  <c r="H12" i="1" s="1"/>
  <c r="R59" i="22"/>
  <c r="R64" i="22" s="1"/>
  <c r="R60" i="22" s="1"/>
  <c r="J55" i="11"/>
  <c r="I55" i="11"/>
  <c r="J40" i="11"/>
  <c r="I40" i="11"/>
  <c r="G29" i="11"/>
  <c r="G16" i="1" s="1"/>
  <c r="H16" i="1" s="1"/>
  <c r="J30" i="11"/>
  <c r="I30" i="11"/>
  <c r="S53" i="22"/>
  <c r="T53" i="22" s="1"/>
  <c r="J19" i="11"/>
  <c r="I19" i="11"/>
  <c r="G59" i="22"/>
  <c r="J11" i="11"/>
  <c r="I11" i="11"/>
  <c r="G133" i="22"/>
  <c r="J59" i="22"/>
  <c r="J54" i="22"/>
  <c r="L60" i="22" l="1"/>
  <c r="N60" i="11" s="1"/>
  <c r="N64" i="11"/>
  <c r="L134" i="22"/>
  <c r="O60" i="11" s="1"/>
  <c r="O64" i="11"/>
  <c r="K138" i="22"/>
  <c r="K134" i="22"/>
  <c r="K60" i="22"/>
  <c r="J134" i="22"/>
  <c r="J64" i="22"/>
  <c r="I60" i="22"/>
  <c r="S54" i="22"/>
  <c r="T54" i="22" s="1"/>
  <c r="T127" i="22"/>
  <c r="H53" i="11"/>
  <c r="I138" i="22"/>
  <c r="Q59" i="11"/>
  <c r="H134" i="22"/>
  <c r="H64" i="22"/>
  <c r="I10" i="11"/>
  <c r="J10" i="11"/>
  <c r="Q53" i="11"/>
  <c r="P53" i="11"/>
  <c r="G64" i="22"/>
  <c r="J29" i="11"/>
  <c r="I29" i="11"/>
  <c r="G53" i="11"/>
  <c r="S59" i="22"/>
  <c r="T59" i="22" s="1"/>
  <c r="G54" i="11"/>
  <c r="G138" i="22"/>
  <c r="S133" i="22"/>
  <c r="Q54" i="11"/>
  <c r="S128" i="22"/>
  <c r="J60" i="22" l="1"/>
  <c r="Q64" i="11"/>
  <c r="T128" i="22"/>
  <c r="H54" i="11"/>
  <c r="I54" i="11" s="1"/>
  <c r="T133" i="22"/>
  <c r="H59" i="11"/>
  <c r="I134" i="22"/>
  <c r="H60" i="22"/>
  <c r="I53" i="11"/>
  <c r="G20" i="1"/>
  <c r="H20" i="1" s="1"/>
  <c r="S64" i="22"/>
  <c r="T64" i="22" s="1"/>
  <c r="J53" i="11"/>
  <c r="G60" i="22"/>
  <c r="G59" i="11"/>
  <c r="S138" i="22"/>
  <c r="G134" i="22"/>
  <c r="GC35" i="6"/>
  <c r="GC28" i="6"/>
  <c r="GC23" i="6"/>
  <c r="GC18" i="6"/>
  <c r="GC10" i="6"/>
  <c r="S60" i="22" l="1"/>
  <c r="T60" i="22" s="1"/>
  <c r="J54" i="11"/>
  <c r="T138" i="22"/>
  <c r="H64" i="11"/>
  <c r="G64" i="11"/>
  <c r="G60" i="11"/>
  <c r="J59" i="11"/>
  <c r="I59" i="11"/>
  <c r="S134" i="22"/>
  <c r="Q60" i="11"/>
  <c r="GB35" i="6"/>
  <c r="GB28" i="6"/>
  <c r="GB23" i="6"/>
  <c r="GB18" i="6"/>
  <c r="GB10" i="6"/>
  <c r="T134" i="22" l="1"/>
  <c r="H60" i="11"/>
  <c r="J60" i="11" s="1"/>
  <c r="I64" i="11"/>
  <c r="J64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I60" i="11" l="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H30" i="20" s="1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Q30" i="20" s="1"/>
  <c r="R32" i="20"/>
  <c r="R30" i="20" s="1"/>
  <c r="G32" i="20"/>
  <c r="L30" i="20"/>
  <c r="O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I30" i="20" l="1"/>
  <c r="P40" i="20"/>
  <c r="L40" i="20"/>
  <c r="H40" i="20"/>
  <c r="P55" i="20"/>
  <c r="P30" i="20"/>
  <c r="H29" i="20"/>
  <c r="G30" i="20"/>
  <c r="K30" i="20"/>
  <c r="P29" i="20"/>
  <c r="J30" i="20"/>
  <c r="L29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R48" i="11" s="1"/>
  <c r="T48" i="11" s="1"/>
  <c r="M48" i="19"/>
  <c r="N48" i="19"/>
  <c r="O48" i="19"/>
  <c r="P48" i="19"/>
  <c r="Q48" i="19"/>
  <c r="R48" i="19"/>
  <c r="H48" i="19"/>
  <c r="G48" i="19"/>
  <c r="K48" i="11" s="1"/>
  <c r="M48" i="11" l="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50" i="21" s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55" i="21" l="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R62" i="21"/>
  <c r="R67" i="21" s="1"/>
  <c r="R63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N57" i="21" l="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S53" i="20"/>
  <c r="T53" i="20" s="1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R63" i="11" s="1"/>
  <c r="K63" i="19"/>
  <c r="J63" i="19"/>
  <c r="I63" i="19"/>
  <c r="H63" i="19"/>
  <c r="G63" i="19"/>
  <c r="R62" i="19"/>
  <c r="Q62" i="19"/>
  <c r="P62" i="19"/>
  <c r="O62" i="19"/>
  <c r="N62" i="19"/>
  <c r="M62" i="19"/>
  <c r="L62" i="19"/>
  <c r="R62" i="11" s="1"/>
  <c r="K62" i="19"/>
  <c r="J62" i="19"/>
  <c r="I62" i="19"/>
  <c r="H62" i="19"/>
  <c r="G62" i="19"/>
  <c r="R61" i="19"/>
  <c r="Q61" i="19"/>
  <c r="P61" i="19"/>
  <c r="O61" i="19"/>
  <c r="N61" i="19"/>
  <c r="M61" i="19"/>
  <c r="L61" i="19"/>
  <c r="R61" i="11" s="1"/>
  <c r="K61" i="19"/>
  <c r="J61" i="19"/>
  <c r="I61" i="19"/>
  <c r="H61" i="19"/>
  <c r="G61" i="19"/>
  <c r="R58" i="19"/>
  <c r="Q58" i="19"/>
  <c r="P58" i="19"/>
  <c r="O58" i="19"/>
  <c r="N58" i="19"/>
  <c r="M58" i="19"/>
  <c r="L58" i="19"/>
  <c r="R58" i="11" s="1"/>
  <c r="K58" i="19"/>
  <c r="J58" i="19"/>
  <c r="I58" i="19"/>
  <c r="H58" i="19"/>
  <c r="G58" i="19"/>
  <c r="R57" i="19"/>
  <c r="Q57" i="19"/>
  <c r="P57" i="19"/>
  <c r="O57" i="19"/>
  <c r="N57" i="19"/>
  <c r="M57" i="19"/>
  <c r="L57" i="19"/>
  <c r="R57" i="11" s="1"/>
  <c r="K57" i="19"/>
  <c r="J57" i="19"/>
  <c r="I57" i="19"/>
  <c r="H57" i="19"/>
  <c r="G57" i="19"/>
  <c r="R56" i="19"/>
  <c r="Q56" i="19"/>
  <c r="P56" i="19"/>
  <c r="O56" i="19"/>
  <c r="N56" i="19"/>
  <c r="M56" i="19"/>
  <c r="L56" i="19"/>
  <c r="R56" i="11" s="1"/>
  <c r="K56" i="19"/>
  <c r="J56" i="19"/>
  <c r="I56" i="19"/>
  <c r="H56" i="19"/>
  <c r="G56" i="19"/>
  <c r="R52" i="19"/>
  <c r="Q52" i="19"/>
  <c r="P52" i="19"/>
  <c r="O52" i="19"/>
  <c r="N52" i="19"/>
  <c r="M52" i="19"/>
  <c r="L52" i="19"/>
  <c r="R52" i="11" s="1"/>
  <c r="K52" i="19"/>
  <c r="J52" i="19"/>
  <c r="I52" i="19"/>
  <c r="H52" i="19"/>
  <c r="G52" i="19"/>
  <c r="R51" i="19"/>
  <c r="Q51" i="19"/>
  <c r="P51" i="19"/>
  <c r="O51" i="19"/>
  <c r="N51" i="19"/>
  <c r="M51" i="19"/>
  <c r="L51" i="19"/>
  <c r="R51" i="11" s="1"/>
  <c r="K51" i="19"/>
  <c r="J51" i="19"/>
  <c r="I51" i="19"/>
  <c r="H51" i="19"/>
  <c r="G51" i="19"/>
  <c r="R50" i="19"/>
  <c r="Q50" i="19"/>
  <c r="P50" i="19"/>
  <c r="O50" i="19"/>
  <c r="N50" i="19"/>
  <c r="M50" i="19"/>
  <c r="L50" i="19"/>
  <c r="R50" i="11" s="1"/>
  <c r="K50" i="19"/>
  <c r="J50" i="19"/>
  <c r="I50" i="19"/>
  <c r="H50" i="19"/>
  <c r="G50" i="19"/>
  <c r="R49" i="19"/>
  <c r="Q49" i="19"/>
  <c r="P49" i="19"/>
  <c r="O49" i="19"/>
  <c r="N49" i="19"/>
  <c r="M49" i="19"/>
  <c r="L49" i="19"/>
  <c r="R49" i="11" s="1"/>
  <c r="K49" i="19"/>
  <c r="J49" i="19"/>
  <c r="I49" i="19"/>
  <c r="H49" i="19"/>
  <c r="G49" i="19"/>
  <c r="R47" i="19"/>
  <c r="Q47" i="19"/>
  <c r="P47" i="19"/>
  <c r="O47" i="19"/>
  <c r="N47" i="19"/>
  <c r="M47" i="19"/>
  <c r="L47" i="19"/>
  <c r="R47" i="11" s="1"/>
  <c r="K47" i="19"/>
  <c r="J47" i="19"/>
  <c r="I47" i="19"/>
  <c r="H47" i="19"/>
  <c r="G47" i="19"/>
  <c r="R46" i="19"/>
  <c r="Q46" i="19"/>
  <c r="P46" i="19"/>
  <c r="O46" i="19"/>
  <c r="N46" i="19"/>
  <c r="M46" i="19"/>
  <c r="L46" i="19"/>
  <c r="R46" i="11" s="1"/>
  <c r="K46" i="19"/>
  <c r="J46" i="19"/>
  <c r="I46" i="19"/>
  <c r="H46" i="19"/>
  <c r="G46" i="19"/>
  <c r="R45" i="19"/>
  <c r="Q45" i="19"/>
  <c r="P45" i="19"/>
  <c r="O45" i="19"/>
  <c r="N45" i="19"/>
  <c r="M45" i="19"/>
  <c r="L45" i="19"/>
  <c r="R45" i="11" s="1"/>
  <c r="K45" i="19"/>
  <c r="J45" i="19"/>
  <c r="I45" i="19"/>
  <c r="H45" i="19"/>
  <c r="G45" i="19"/>
  <c r="R44" i="19"/>
  <c r="Q44" i="19"/>
  <c r="P44" i="19"/>
  <c r="O44" i="19"/>
  <c r="N44" i="19"/>
  <c r="M44" i="19"/>
  <c r="L44" i="19"/>
  <c r="R44" i="11" s="1"/>
  <c r="K44" i="19"/>
  <c r="J44" i="19"/>
  <c r="I44" i="19"/>
  <c r="H44" i="19"/>
  <c r="G44" i="19"/>
  <c r="R43" i="19"/>
  <c r="Q43" i="19"/>
  <c r="P43" i="19"/>
  <c r="O43" i="19"/>
  <c r="N43" i="19"/>
  <c r="M43" i="19"/>
  <c r="L43" i="19"/>
  <c r="R43" i="11" s="1"/>
  <c r="K43" i="19"/>
  <c r="J43" i="19"/>
  <c r="I43" i="19"/>
  <c r="H43" i="19"/>
  <c r="G43" i="19"/>
  <c r="R42" i="19"/>
  <c r="Q42" i="19"/>
  <c r="P42" i="19"/>
  <c r="O42" i="19"/>
  <c r="N42" i="19"/>
  <c r="M42" i="19"/>
  <c r="L42" i="19"/>
  <c r="R42" i="11" s="1"/>
  <c r="K42" i="19"/>
  <c r="J42" i="19"/>
  <c r="I42" i="19"/>
  <c r="H42" i="19"/>
  <c r="G42" i="19"/>
  <c r="R41" i="19"/>
  <c r="Q41" i="19"/>
  <c r="P41" i="19"/>
  <c r="O41" i="19"/>
  <c r="N41" i="19"/>
  <c r="M41" i="19"/>
  <c r="L41" i="19"/>
  <c r="R41" i="11" s="1"/>
  <c r="K41" i="19"/>
  <c r="J41" i="19"/>
  <c r="I41" i="19"/>
  <c r="H41" i="19"/>
  <c r="G41" i="19"/>
  <c r="R39" i="19"/>
  <c r="Q39" i="19"/>
  <c r="P39" i="19"/>
  <c r="O39" i="19"/>
  <c r="N39" i="19"/>
  <c r="M39" i="19"/>
  <c r="L39" i="19"/>
  <c r="R39" i="11" s="1"/>
  <c r="K39" i="19"/>
  <c r="J39" i="19"/>
  <c r="I39" i="19"/>
  <c r="H39" i="19"/>
  <c r="G39" i="19"/>
  <c r="R38" i="19"/>
  <c r="Q38" i="19"/>
  <c r="P38" i="19"/>
  <c r="O38" i="19"/>
  <c r="N38" i="19"/>
  <c r="M38" i="19"/>
  <c r="L38" i="19"/>
  <c r="R38" i="11" s="1"/>
  <c r="K38" i="19"/>
  <c r="J38" i="19"/>
  <c r="I38" i="19"/>
  <c r="H38" i="19"/>
  <c r="G38" i="19"/>
  <c r="R37" i="19"/>
  <c r="Q37" i="19"/>
  <c r="P37" i="19"/>
  <c r="O37" i="19"/>
  <c r="N37" i="19"/>
  <c r="M37" i="19"/>
  <c r="L37" i="19"/>
  <c r="R37" i="11" s="1"/>
  <c r="K37" i="19"/>
  <c r="J37" i="19"/>
  <c r="I37" i="19"/>
  <c r="H37" i="19"/>
  <c r="G37" i="19"/>
  <c r="R36" i="19"/>
  <c r="Q36" i="19"/>
  <c r="P36" i="19"/>
  <c r="O36" i="19"/>
  <c r="N36" i="19"/>
  <c r="M36" i="19"/>
  <c r="L36" i="19"/>
  <c r="R36" i="11" s="1"/>
  <c r="K36" i="19"/>
  <c r="J36" i="19"/>
  <c r="I36" i="19"/>
  <c r="H36" i="19"/>
  <c r="G36" i="19"/>
  <c r="R35" i="19"/>
  <c r="Q35" i="19"/>
  <c r="P35" i="19"/>
  <c r="O35" i="19"/>
  <c r="N35" i="19"/>
  <c r="M35" i="19"/>
  <c r="L35" i="19"/>
  <c r="R35" i="11" s="1"/>
  <c r="K35" i="19"/>
  <c r="J35" i="19"/>
  <c r="I35" i="19"/>
  <c r="H35" i="19"/>
  <c r="G35" i="19"/>
  <c r="R34" i="19"/>
  <c r="Q34" i="19"/>
  <c r="P34" i="19"/>
  <c r="O34" i="19"/>
  <c r="N34" i="19"/>
  <c r="M34" i="19"/>
  <c r="L34" i="19"/>
  <c r="R34" i="11" s="1"/>
  <c r="K34" i="19"/>
  <c r="J34" i="19"/>
  <c r="I34" i="19"/>
  <c r="H34" i="19"/>
  <c r="G34" i="19"/>
  <c r="R33" i="19"/>
  <c r="Q33" i="19"/>
  <c r="P33" i="19"/>
  <c r="O33" i="19"/>
  <c r="N33" i="19"/>
  <c r="M33" i="19"/>
  <c r="L33" i="19"/>
  <c r="R33" i="11" s="1"/>
  <c r="K33" i="19"/>
  <c r="J33" i="19"/>
  <c r="I33" i="19"/>
  <c r="H33" i="19"/>
  <c r="G33" i="19"/>
  <c r="R32" i="19"/>
  <c r="Q32" i="19"/>
  <c r="P32" i="19"/>
  <c r="O32" i="19"/>
  <c r="N32" i="19"/>
  <c r="M32" i="19"/>
  <c r="L32" i="19"/>
  <c r="R32" i="11" s="1"/>
  <c r="K32" i="19"/>
  <c r="J32" i="19"/>
  <c r="I32" i="19"/>
  <c r="H32" i="19"/>
  <c r="G32" i="19"/>
  <c r="R31" i="19"/>
  <c r="Q31" i="19"/>
  <c r="P31" i="19"/>
  <c r="O31" i="19"/>
  <c r="N31" i="19"/>
  <c r="M31" i="19"/>
  <c r="L31" i="19"/>
  <c r="R31" i="11" s="1"/>
  <c r="K31" i="19"/>
  <c r="J31" i="19"/>
  <c r="I31" i="19"/>
  <c r="H31" i="19"/>
  <c r="G31" i="19"/>
  <c r="R28" i="19"/>
  <c r="Q28" i="19"/>
  <c r="P28" i="19"/>
  <c r="O28" i="19"/>
  <c r="N28" i="19"/>
  <c r="M28" i="19"/>
  <c r="L28" i="19"/>
  <c r="R28" i="11" s="1"/>
  <c r="K28" i="19"/>
  <c r="J28" i="19"/>
  <c r="I28" i="19"/>
  <c r="H28" i="19"/>
  <c r="G28" i="19"/>
  <c r="R27" i="19"/>
  <c r="Q27" i="19"/>
  <c r="P27" i="19"/>
  <c r="O27" i="19"/>
  <c r="N27" i="19"/>
  <c r="M27" i="19"/>
  <c r="L27" i="19"/>
  <c r="R27" i="11" s="1"/>
  <c r="K27" i="19"/>
  <c r="J27" i="19"/>
  <c r="I27" i="19"/>
  <c r="H27" i="19"/>
  <c r="G27" i="19"/>
  <c r="R26" i="19"/>
  <c r="Q26" i="19"/>
  <c r="P26" i="19"/>
  <c r="O26" i="19"/>
  <c r="N26" i="19"/>
  <c r="M26" i="19"/>
  <c r="L26" i="19"/>
  <c r="R26" i="11" s="1"/>
  <c r="K26" i="19"/>
  <c r="J26" i="19"/>
  <c r="I26" i="19"/>
  <c r="H26" i="19"/>
  <c r="G26" i="19"/>
  <c r="R25" i="19"/>
  <c r="Q25" i="19"/>
  <c r="P25" i="19"/>
  <c r="O25" i="19"/>
  <c r="N25" i="19"/>
  <c r="M25" i="19"/>
  <c r="L25" i="19"/>
  <c r="R25" i="11" s="1"/>
  <c r="K25" i="19"/>
  <c r="J25" i="19"/>
  <c r="I25" i="19"/>
  <c r="H25" i="19"/>
  <c r="G25" i="19"/>
  <c r="R24" i="19"/>
  <c r="Q24" i="19"/>
  <c r="P24" i="19"/>
  <c r="O24" i="19"/>
  <c r="N24" i="19"/>
  <c r="M24" i="19"/>
  <c r="L24" i="19"/>
  <c r="R24" i="11" s="1"/>
  <c r="K24" i="19"/>
  <c r="J24" i="19"/>
  <c r="I24" i="19"/>
  <c r="H24" i="19"/>
  <c r="G24" i="19"/>
  <c r="R23" i="19"/>
  <c r="Q23" i="19"/>
  <c r="P23" i="19"/>
  <c r="O23" i="19"/>
  <c r="N23" i="19"/>
  <c r="M23" i="19"/>
  <c r="L23" i="19"/>
  <c r="R23" i="11" s="1"/>
  <c r="K23" i="19"/>
  <c r="J23" i="19"/>
  <c r="I23" i="19"/>
  <c r="H23" i="19"/>
  <c r="G23" i="19"/>
  <c r="R22" i="19"/>
  <c r="Q22" i="19"/>
  <c r="P22" i="19"/>
  <c r="O22" i="19"/>
  <c r="N22" i="19"/>
  <c r="M22" i="19"/>
  <c r="L22" i="19"/>
  <c r="R22" i="11" s="1"/>
  <c r="K22" i="19"/>
  <c r="J22" i="19"/>
  <c r="I22" i="19"/>
  <c r="H22" i="19"/>
  <c r="G22" i="19"/>
  <c r="R21" i="19"/>
  <c r="Q21" i="19"/>
  <c r="P21" i="19"/>
  <c r="O21" i="19"/>
  <c r="N21" i="19"/>
  <c r="M21" i="19"/>
  <c r="L21" i="19"/>
  <c r="R21" i="11" s="1"/>
  <c r="K21" i="19"/>
  <c r="J21" i="19"/>
  <c r="I21" i="19"/>
  <c r="H21" i="19"/>
  <c r="G21" i="19"/>
  <c r="R20" i="19"/>
  <c r="Q20" i="19"/>
  <c r="P20" i="19"/>
  <c r="O20" i="19"/>
  <c r="N20" i="19"/>
  <c r="M20" i="19"/>
  <c r="L20" i="19"/>
  <c r="R20" i="11" s="1"/>
  <c r="K20" i="19"/>
  <c r="J20" i="19"/>
  <c r="I20" i="19"/>
  <c r="H20" i="19"/>
  <c r="G20" i="19"/>
  <c r="R19" i="19"/>
  <c r="Q19" i="19"/>
  <c r="P19" i="19"/>
  <c r="O19" i="19"/>
  <c r="N19" i="19"/>
  <c r="M19" i="19"/>
  <c r="L19" i="19"/>
  <c r="R19" i="11" s="1"/>
  <c r="K19" i="19"/>
  <c r="J19" i="19"/>
  <c r="I19" i="19"/>
  <c r="H19" i="19"/>
  <c r="G19" i="19"/>
  <c r="R18" i="19"/>
  <c r="Q18" i="19"/>
  <c r="P18" i="19"/>
  <c r="O18" i="19"/>
  <c r="N18" i="19"/>
  <c r="M18" i="19"/>
  <c r="L18" i="19"/>
  <c r="R18" i="11" s="1"/>
  <c r="K18" i="19"/>
  <c r="J18" i="19"/>
  <c r="I18" i="19"/>
  <c r="H18" i="19"/>
  <c r="G18" i="19"/>
  <c r="R17" i="19"/>
  <c r="Q17" i="19"/>
  <c r="P17" i="19"/>
  <c r="O17" i="19"/>
  <c r="N17" i="19"/>
  <c r="M17" i="19"/>
  <c r="L17" i="19"/>
  <c r="R17" i="11" s="1"/>
  <c r="K17" i="19"/>
  <c r="J17" i="19"/>
  <c r="I17" i="19"/>
  <c r="H17" i="19"/>
  <c r="G17" i="19"/>
  <c r="R16" i="19"/>
  <c r="Q16" i="19"/>
  <c r="P16" i="19"/>
  <c r="O16" i="19"/>
  <c r="N16" i="19"/>
  <c r="M16" i="19"/>
  <c r="L16" i="19"/>
  <c r="R16" i="11" s="1"/>
  <c r="K16" i="19"/>
  <c r="J16" i="19"/>
  <c r="I16" i="19"/>
  <c r="H16" i="19"/>
  <c r="G16" i="19"/>
  <c r="R15" i="19"/>
  <c r="Q15" i="19"/>
  <c r="P15" i="19"/>
  <c r="O15" i="19"/>
  <c r="N15" i="19"/>
  <c r="M15" i="19"/>
  <c r="L15" i="19"/>
  <c r="R15" i="11" s="1"/>
  <c r="K15" i="19"/>
  <c r="J15" i="19"/>
  <c r="I15" i="19"/>
  <c r="H15" i="19"/>
  <c r="G15" i="19"/>
  <c r="R14" i="19"/>
  <c r="Q14" i="19"/>
  <c r="P14" i="19"/>
  <c r="O14" i="19"/>
  <c r="N14" i="19"/>
  <c r="M14" i="19"/>
  <c r="L14" i="19"/>
  <c r="R14" i="11" s="1"/>
  <c r="K14" i="19"/>
  <c r="J14" i="19"/>
  <c r="I14" i="19"/>
  <c r="H14" i="19"/>
  <c r="G14" i="19"/>
  <c r="R13" i="19"/>
  <c r="Q13" i="19"/>
  <c r="P13" i="19"/>
  <c r="O13" i="19"/>
  <c r="N13" i="19"/>
  <c r="M13" i="19"/>
  <c r="L13" i="19"/>
  <c r="R13" i="11" s="1"/>
  <c r="K13" i="19"/>
  <c r="J13" i="19"/>
  <c r="I13" i="19"/>
  <c r="H13" i="19"/>
  <c r="G13" i="19"/>
  <c r="R12" i="19"/>
  <c r="Q12" i="19"/>
  <c r="P12" i="19"/>
  <c r="O12" i="19"/>
  <c r="N12" i="19"/>
  <c r="M12" i="19"/>
  <c r="L12" i="19"/>
  <c r="R12" i="11" s="1"/>
  <c r="K12" i="19"/>
  <c r="J12" i="19"/>
  <c r="I12" i="19"/>
  <c r="H12" i="19"/>
  <c r="G12" i="19"/>
  <c r="K12" i="11" l="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31" i="11"/>
  <c r="K32" i="11"/>
  <c r="K33" i="11"/>
  <c r="K34" i="11"/>
  <c r="K35" i="11"/>
  <c r="K36" i="11"/>
  <c r="K37" i="11"/>
  <c r="K38" i="11"/>
  <c r="K39" i="11"/>
  <c r="K41" i="11"/>
  <c r="K42" i="11"/>
  <c r="K43" i="11"/>
  <c r="K44" i="11"/>
  <c r="K45" i="11"/>
  <c r="K46" i="11"/>
  <c r="K47" i="11"/>
  <c r="K49" i="11"/>
  <c r="K50" i="11"/>
  <c r="K51" i="11"/>
  <c r="K52" i="11"/>
  <c r="K56" i="11"/>
  <c r="K57" i="11"/>
  <c r="K58" i="11"/>
  <c r="K61" i="11"/>
  <c r="K62" i="11"/>
  <c r="K63" i="1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R11" i="11" s="1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R30" i="11" s="1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R40" i="11" s="1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R55" i="11" s="1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K11" i="11" l="1"/>
  <c r="K30" i="11"/>
  <c r="K55" i="11"/>
  <c r="K40" i="11"/>
  <c r="T40" i="1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R10" i="11" s="1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K10" i="11" s="1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R29" i="11" s="1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K29" i="11" l="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R53" i="11" s="1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K53" i="11" l="1"/>
  <c r="G54" i="19"/>
  <c r="T53" i="11"/>
  <c r="M10" i="11"/>
  <c r="L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R59" i="11" s="1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R54" i="11" s="1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K59" i="11" l="1"/>
  <c r="K54" i="11"/>
  <c r="L53" i="1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R64" i="11" s="1"/>
  <c r="K153" i="19"/>
  <c r="K64" i="19"/>
  <c r="J64" i="19"/>
  <c r="I64" i="19"/>
  <c r="H64" i="19"/>
  <c r="H153" i="19"/>
  <c r="S147" i="19"/>
  <c r="T147" i="19" s="1"/>
  <c r="G157" i="19"/>
  <c r="G64" i="19"/>
  <c r="K64" i="11" s="1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N60" i="19"/>
  <c r="M60" i="19"/>
  <c r="L60" i="19"/>
  <c r="R60" i="11" s="1"/>
  <c r="K60" i="19"/>
  <c r="J60" i="19"/>
  <c r="I60" i="19"/>
  <c r="H60" i="19"/>
  <c r="G153" i="19"/>
  <c r="G60" i="19"/>
  <c r="S64" i="19"/>
  <c r="T64" i="19" s="1"/>
  <c r="I153" i="19"/>
  <c r="S157" i="19"/>
  <c r="T157" i="19" s="1"/>
  <c r="K60" i="11" l="1"/>
  <c r="T60" i="1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G251" i="2"/>
  <c r="B7" i="22" s="1"/>
  <c r="G248" i="2"/>
  <c r="G242" i="2"/>
  <c r="R8" i="22" s="1"/>
  <c r="R82" i="22" s="1"/>
  <c r="G241" i="2"/>
  <c r="Q8" i="22" s="1"/>
  <c r="Q82" i="22" s="1"/>
  <c r="G240" i="2"/>
  <c r="G239" i="2"/>
  <c r="O8" i="22" s="1"/>
  <c r="O82" i="22" s="1"/>
  <c r="G238" i="2"/>
  <c r="N8" i="22" s="1"/>
  <c r="N82" i="22" s="1"/>
  <c r="G237" i="2"/>
  <c r="M8" i="22" s="1"/>
  <c r="M82" i="22" s="1"/>
  <c r="G236" i="2"/>
  <c r="G235" i="2"/>
  <c r="K8" i="22" s="1"/>
  <c r="K82" i="22" s="1"/>
  <c r="G234" i="2"/>
  <c r="J8" i="22" s="1"/>
  <c r="J82" i="22" s="1"/>
  <c r="G233" i="2"/>
  <c r="I8" i="22" s="1"/>
  <c r="I82" i="22" s="1"/>
  <c r="G232" i="2"/>
  <c r="H8" i="22" s="1"/>
  <c r="H82" i="22" s="1"/>
  <c r="G231" i="2"/>
  <c r="G8" i="22" s="1"/>
  <c r="G82" i="22" s="1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E4" i="11" s="1"/>
  <c r="G7" i="2"/>
  <c r="E3" i="22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R385" i="6" s="1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CL320" i="6"/>
  <c r="DD320" i="6"/>
  <c r="CZ385" i="6"/>
  <c r="DP385" i="6"/>
  <c r="CT350" i="6"/>
  <c r="DR350" i="6"/>
  <c r="CS350" i="6"/>
  <c r="DA350" i="6"/>
  <c r="H8" i="3" l="1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9" i="2"/>
  <c r="T9" i="22" s="1"/>
  <c r="T83" i="22" s="1"/>
  <c r="B63" i="11"/>
  <c r="B11" i="3"/>
  <c r="B43" i="3"/>
  <c r="E3" i="1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G11" i="1" s="1"/>
  <c r="CM190" i="6"/>
  <c r="CN190" i="6"/>
  <c r="CP190" i="6"/>
  <c r="CQ190" i="6"/>
  <c r="G275" i="2"/>
  <c r="G19" i="1" s="1"/>
  <c r="G274" i="2"/>
  <c r="G15" i="1" s="1"/>
  <c r="G269" i="2"/>
  <c r="D11" i="1" s="1"/>
  <c r="G271" i="2"/>
  <c r="D19" i="1" s="1"/>
  <c r="G245" i="2"/>
  <c r="R8" i="3"/>
  <c r="R8" i="11"/>
  <c r="G270" i="2"/>
  <c r="D15" i="1" s="1"/>
  <c r="E253" i="2" l="1"/>
  <c r="G253" i="2" s="1"/>
  <c r="B7" i="11" s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48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<sst xmlns="http://schemas.openxmlformats.org/spreadsheetml/2006/main" count="1728" uniqueCount="828">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</sst>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8"/>
      <color rgb="FF000000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03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>
      <alignment vertical="center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firstButton="1" fmlaLink="Master!$B$2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firstButton="1" fmlaLink="Master!$B$2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firstButton="1" fmlaLink="Master!$B$2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firstButton="1" fmlaLink="Master!$B$2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'Analitika - 2020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Historical Data, since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Public Debt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23</xdr:row>
      <xdr:rowOff>83820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197091" y="1278255"/>
          <a:ext cx="3228974" cy="302704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revenues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period January - June 2021 amounted to 787,6 mill. € or 17,0% of GDP and they were higher by 14,2 mill. € or 1,8% than the plan. Compared to the same period of the previous year, revenues were higher by 39,8 mill. € or 5,3%.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expenditures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period January - June 2021 amounted to 948,2 mill. € or 20,5% of GDP and were lower by 14,0 mill. € or 1,5% compared to the same period of the previous year. Compared to the plan, expenditures were lower by 86,1 mill. € or 8,3%. In the period January - June 2021, the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deficit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amounted to 160,6 mill. € or 3,5% of the estimated GDP, 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which is 100,3 mill. € or 38.4% less than planned.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 the same time, in June, a budget surplus is realized in the amount of 3,0 mill. €. This is the first recorded positive budget result since</a:t>
          </a:r>
          <a:r>
            <a:rPr lang="sr-Latn-M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September 2019.</a:t>
          </a:r>
          <a:endParaRPr lang="sr-Latn-M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ME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23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511790" y="1287780"/>
          <a:ext cx="3749039" cy="3009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Methodological remarks: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on the items "Gross salaries and contributions at the expense of the employer" and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"Rights in the field of pension and disability insurance" were obtained on the basis of accrual adjustment, while the other items are shown by cash.</a:t>
          </a:r>
          <a:endParaRPr lang="sr-Latn-ME">
            <a:effectLst/>
          </a:endParaRPr>
        </a:p>
        <a:p>
          <a:pPr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Other remarks: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plan of budget expenditures was prepared in accordance with the Decision on temporary financing of the budget for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January, February, March, April May and June 2021.</a:t>
          </a:r>
          <a:endParaRPr lang="sr-Latn-ME">
            <a:effectLst/>
          </a:endParaRPr>
        </a:p>
        <a:p>
          <a:pPr eaLnBrk="1" fontAlgn="auto" latinLnBrk="0" hangingPunct="1"/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9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Breakdown</a:t>
          </a:fld>
          <a:endParaRPr lang="en-US" sz="1800" u="sng"/>
        </a:p>
      </xdr:txBody>
    </xdr:sp>
    <xdr:clientData/>
  </xdr:one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438151</xdr:colOff>
      <xdr:row>1</xdr:row>
      <xdr:rowOff>122092</xdr:rowOff>
    </xdr:from>
    <xdr:to>
      <xdr:col>10</xdr:col>
      <xdr:colOff>202623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Welcome tab</a:t>
          </a:fld>
          <a:endParaRPr lang="en-US" sz="1100"/>
        </a:p>
      </xdr:txBody>
    </xdr:sp>
    <xdr:clientData/>
  </xdr:twoCellAnchor>
  <xdr:twoCellAnchor editAs="absolute">
    <xdr:from>
      <xdr:col>10</xdr:col>
      <xdr:colOff>661555</xdr:colOff>
      <xdr:row>2</xdr:row>
      <xdr:rowOff>9524</xdr:rowOff>
    </xdr:from>
    <xdr:to>
      <xdr:col>12</xdr:col>
      <xdr:colOff>782620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Montly Data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Welcome tab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Analytics Tab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Execution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Montenegro</v>
      </c>
      <c r="I2" s="4"/>
    </row>
    <row r="3" spans="1:20" s="1" customFormat="1">
      <c r="E3" s="4" t="str">
        <f>+Master!G7</f>
        <v>Ministry of Finance and social welfare</v>
      </c>
    </row>
    <row r="4" spans="1:20" s="1" customFormat="1">
      <c r="E4" s="4" t="str">
        <f>+Master!G8</f>
        <v>Directorate for State Budget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2021-06</v>
      </c>
      <c r="O6" s="143" t="str">
        <f>+CONCATENATE(N6,"p")</f>
        <v>2021-06p</v>
      </c>
      <c r="P6" s="130"/>
      <c r="Q6" s="130"/>
      <c r="R6" s="143" t="str">
        <f>+IF(Master!B3-10&gt;=0,CONCATENATE(Master!B4-1,"-",Master!B3),CONCATENATE(Master!B4-1,"-0",Master!B3))</f>
        <v>2020-06</v>
      </c>
      <c r="S6" s="130"/>
      <c r="T6" s="130"/>
    </row>
    <row r="7" spans="1:20">
      <c r="A7" s="144"/>
      <c r="B7" s="489" t="s">
        <v>692</v>
      </c>
      <c r="C7" s="490"/>
      <c r="D7" s="490"/>
      <c r="E7" s="490"/>
      <c r="F7" s="490"/>
      <c r="G7" s="498" t="s">
        <v>691</v>
      </c>
      <c r="H7" s="499"/>
      <c r="I7" s="499"/>
      <c r="J7" s="499"/>
      <c r="K7" s="499"/>
      <c r="L7" s="499"/>
      <c r="M7" s="500"/>
      <c r="N7" s="501" t="str">
        <f>+Master!G242</f>
        <v>December</v>
      </c>
      <c r="O7" s="499"/>
      <c r="P7" s="499"/>
      <c r="Q7" s="499"/>
      <c r="R7" s="499"/>
      <c r="S7" s="499"/>
      <c r="T7" s="502"/>
    </row>
    <row r="8" spans="1:20">
      <c r="A8" s="144"/>
      <c r="B8" s="491"/>
      <c r="C8" s="492"/>
      <c r="D8" s="492"/>
      <c r="E8" s="492"/>
      <c r="F8" s="493"/>
      <c r="G8" s="145" t="str">
        <f>+Master!G25</f>
        <v>Execution</v>
      </c>
      <c r="H8" s="145" t="str">
        <f>+Master!G24</f>
        <v>Plan</v>
      </c>
      <c r="I8" s="485" t="str">
        <f>+Master!G260</f>
        <v>Deviation</v>
      </c>
      <c r="J8" s="485"/>
      <c r="K8" s="145" t="str">
        <f>+CONCATENATE(Master!G245," ",Master!B4-1)</f>
        <v>Jan - Jun 2020</v>
      </c>
      <c r="L8" s="485" t="str">
        <f>+I8</f>
        <v>Deviation</v>
      </c>
      <c r="M8" s="497"/>
      <c r="N8" s="146" t="str">
        <f>+G8</f>
        <v>Execution</v>
      </c>
      <c r="O8" s="145" t="str">
        <f>+H8</f>
        <v>Plan</v>
      </c>
      <c r="P8" s="485" t="str">
        <f>+I8</f>
        <v>Deviation</v>
      </c>
      <c r="Q8" s="485"/>
      <c r="R8" s="145" t="str">
        <f>+CONCATENATE(Master!G244," ",Master!B4-1)</f>
        <v>June 2020</v>
      </c>
      <c r="S8" s="485" t="str">
        <f>+P8</f>
        <v>Deviation</v>
      </c>
      <c r="T8" s="486"/>
    </row>
    <row r="9" spans="1:20" ht="15.75" thickBot="1">
      <c r="A9" s="144"/>
      <c r="B9" s="494"/>
      <c r="C9" s="495"/>
      <c r="D9" s="495"/>
      <c r="E9" s="495"/>
      <c r="F9" s="496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31" t="str">
        <f>+VLOOKUP($A10,Master!$D$29:$G$225,4,FALSE)</f>
        <v>Total Revenues</v>
      </c>
      <c r="C10" s="532"/>
      <c r="D10" s="532"/>
      <c r="E10" s="532"/>
      <c r="F10" s="532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33" t="str">
        <f>+VLOOKUP($A11,Master!$D$29:$G$225,4,FALSE)</f>
        <v>Taxes</v>
      </c>
      <c r="C11" s="534"/>
      <c r="D11" s="534"/>
      <c r="E11" s="534"/>
      <c r="F11" s="534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19" t="str">
        <f>+VLOOKUP($A12,Master!$D$29:$G$225,4,FALSE)</f>
        <v>Personal Income Tax</v>
      </c>
      <c r="C12" s="520"/>
      <c r="D12" s="520"/>
      <c r="E12" s="520"/>
      <c r="F12" s="520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19" t="str">
        <f>+VLOOKUP($A13,Master!$D$29:$G$225,4,FALSE)</f>
        <v>Corporate Income Tax</v>
      </c>
      <c r="C13" s="520"/>
      <c r="D13" s="520"/>
      <c r="E13" s="520"/>
      <c r="F13" s="520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19" t="str">
        <f>+VLOOKUP($A14,Master!$D$29:$G$225,4,FALSE)</f>
        <v xml:space="preserve">Taxes on Sales of Property </v>
      </c>
      <c r="C14" s="520"/>
      <c r="D14" s="520"/>
      <c r="E14" s="520"/>
      <c r="F14" s="520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19" t="str">
        <f>+VLOOKUP($A15,Master!$D$29:$G$225,4,FALSE)</f>
        <v>Value Added Tax</v>
      </c>
      <c r="C15" s="520"/>
      <c r="D15" s="520"/>
      <c r="E15" s="520"/>
      <c r="F15" s="520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19" t="str">
        <f>+VLOOKUP($A16,Master!$D$29:$G$225,4,FALSE)</f>
        <v>Excises</v>
      </c>
      <c r="C16" s="520"/>
      <c r="D16" s="520"/>
      <c r="E16" s="520"/>
      <c r="F16" s="520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19" t="str">
        <f>+VLOOKUP($A17,Master!$D$29:$G$225,4,FALSE)</f>
        <v>Tax on International Trade and Transactions</v>
      </c>
      <c r="C17" s="520"/>
      <c r="D17" s="520"/>
      <c r="E17" s="520"/>
      <c r="F17" s="520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19" t="e">
        <f>+VLOOKUP($A18,Master!$D$29:$G$225,4,FALSE)</f>
        <v>#N/A</v>
      </c>
      <c r="C18" s="520"/>
      <c r="D18" s="520"/>
      <c r="E18" s="520"/>
      <c r="F18" s="520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19" t="str">
        <f>+VLOOKUP($A19,Master!$D$29:$G$225,4,FALSE)</f>
        <v>Other Republic Taxes</v>
      </c>
      <c r="C19" s="520"/>
      <c r="D19" s="520"/>
      <c r="E19" s="520"/>
      <c r="F19" s="520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29" t="str">
        <f>+VLOOKUP($A20,Master!$D$29:$G$225,4,FALSE)</f>
        <v>Contributions</v>
      </c>
      <c r="C20" s="530"/>
      <c r="D20" s="530"/>
      <c r="E20" s="530"/>
      <c r="F20" s="530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19" t="str">
        <f>+VLOOKUP($A21,Master!$D$29:$G$225,4,FALSE)</f>
        <v>Contributions for Pension and Disability Insurance</v>
      </c>
      <c r="C21" s="520"/>
      <c r="D21" s="520"/>
      <c r="E21" s="520"/>
      <c r="F21" s="520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19" t="str">
        <f>+VLOOKUP($A22,Master!$D$29:$G$225,4,FALSE)</f>
        <v>Contributions for Health Insurance</v>
      </c>
      <c r="C22" s="520"/>
      <c r="D22" s="520"/>
      <c r="E22" s="520"/>
      <c r="F22" s="520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19" t="str">
        <f>+VLOOKUP($A23,Master!$D$29:$G$225,4,FALSE)</f>
        <v>Contributions for  Unemployment Insurance</v>
      </c>
      <c r="C23" s="520"/>
      <c r="D23" s="520"/>
      <c r="E23" s="520"/>
      <c r="F23" s="520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19" t="str">
        <f>+VLOOKUP($A24,Master!$D$29:$G$225,4,FALSE)</f>
        <v>Other contributions</v>
      </c>
      <c r="C24" s="520"/>
      <c r="D24" s="520"/>
      <c r="E24" s="520"/>
      <c r="F24" s="520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21" t="str">
        <f>+VLOOKUP($A25,Master!$D$29:$G$225,4,FALSE)</f>
        <v>Duties</v>
      </c>
      <c r="C25" s="522"/>
      <c r="D25" s="522"/>
      <c r="E25" s="522"/>
      <c r="F25" s="522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21" t="str">
        <f>+VLOOKUP($A26,Master!$D$29:$G$225,4,FALSE)</f>
        <v>Fees</v>
      </c>
      <c r="C26" s="522"/>
      <c r="D26" s="522"/>
      <c r="E26" s="522"/>
      <c r="F26" s="522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21" t="str">
        <f>+VLOOKUP($A27,Master!$D$29:$G$225,4,FALSE)</f>
        <v>Other revenues</v>
      </c>
      <c r="C27" s="522"/>
      <c r="D27" s="522"/>
      <c r="E27" s="522"/>
      <c r="F27" s="522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21" t="str">
        <f>+VLOOKUP($A28,Master!$D$29:$G$225,4,FALSE)</f>
        <v>Receipts from Repayment of Loans and Funds Carried over from Previous Year</v>
      </c>
      <c r="C28" s="522"/>
      <c r="D28" s="522"/>
      <c r="E28" s="522"/>
      <c r="F28" s="522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23" t="str">
        <f>+VLOOKUP($A29,Master!$D$29:$G$225,4,FALSE)</f>
        <v>Grants and Transfers</v>
      </c>
      <c r="C29" s="524"/>
      <c r="D29" s="524"/>
      <c r="E29" s="524"/>
      <c r="F29" s="524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09" t="str">
        <f>+VLOOKUP($A30,Master!$D$29:$G$225,4,FALSE)</f>
        <v>Total Expenditures</v>
      </c>
      <c r="C30" s="510"/>
      <c r="D30" s="510"/>
      <c r="E30" s="510"/>
      <c r="F30" s="510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25" t="str">
        <f>+VLOOKUP($A31,Master!$D$29:$G$225,4,FALSE)</f>
        <v>Current Expenditures</v>
      </c>
      <c r="C31" s="526"/>
      <c r="D31" s="526"/>
      <c r="E31" s="526"/>
      <c r="F31" s="526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27" t="str">
        <f>+VLOOKUP($A32,Master!$D$29:$G$225,4,FALSE)</f>
        <v>Current Budgetary Consumption</v>
      </c>
      <c r="C32" s="528"/>
      <c r="D32" s="528"/>
      <c r="E32" s="528"/>
      <c r="F32" s="528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19" t="str">
        <f>+VLOOKUP($A33,Master!$D$29:$G$225,4,FALSE)</f>
        <v>Gross Salaries and Contributions</v>
      </c>
      <c r="C33" s="520"/>
      <c r="D33" s="520"/>
      <c r="E33" s="520"/>
      <c r="F33" s="520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19" t="str">
        <f>+VLOOKUP($A34,Master!$D$29:$G$225,4,FALSE)</f>
        <v>Other Personal Income</v>
      </c>
      <c r="C34" s="520"/>
      <c r="D34" s="520"/>
      <c r="E34" s="520"/>
      <c r="F34" s="520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19" t="str">
        <f>+VLOOKUP($A35,Master!$D$29:$G$225,4,FALSE)</f>
        <v>Expenditures for Supplies</v>
      </c>
      <c r="C35" s="520"/>
      <c r="D35" s="520"/>
      <c r="E35" s="520"/>
      <c r="F35" s="520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19" t="str">
        <f>+VLOOKUP($A36,Master!$D$29:$G$225,4,FALSE)</f>
        <v>Expenditures for Services</v>
      </c>
      <c r="C36" s="520"/>
      <c r="D36" s="520"/>
      <c r="E36" s="520"/>
      <c r="F36" s="520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19" t="str">
        <f>+VLOOKUP($A37,Master!$D$29:$G$225,4,FALSE)</f>
        <v>Current Maintenance</v>
      </c>
      <c r="C37" s="520"/>
      <c r="D37" s="520"/>
      <c r="E37" s="520"/>
      <c r="F37" s="520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19" t="str">
        <f>+VLOOKUP($A38,Master!$D$29:$G$225,4,FALSE)</f>
        <v>Interests</v>
      </c>
      <c r="C38" s="520"/>
      <c r="D38" s="520"/>
      <c r="E38" s="520"/>
      <c r="F38" s="520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19" t="str">
        <f>+VLOOKUP($A39,Master!$D$29:$G$225,4,FALSE)</f>
        <v>Rent</v>
      </c>
      <c r="C39" s="520"/>
      <c r="D39" s="520"/>
      <c r="E39" s="520"/>
      <c r="F39" s="520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19" t="str">
        <f>+VLOOKUP($A40,Master!$D$29:$G$225,4,FALSE)</f>
        <v>Subsidies</v>
      </c>
      <c r="C40" s="520"/>
      <c r="D40" s="520"/>
      <c r="E40" s="520"/>
      <c r="F40" s="520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19" t="str">
        <f>+VLOOKUP($A41,Master!$D$29:$G$225,4,FALSE)</f>
        <v>Other expenditures</v>
      </c>
      <c r="C41" s="520"/>
      <c r="D41" s="520"/>
      <c r="E41" s="520"/>
      <c r="F41" s="520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19" t="e">
        <f>+VLOOKUP($A42,Master!$D$29:$G$225,4,FALSE)</f>
        <v>#N/A</v>
      </c>
      <c r="C42" s="520"/>
      <c r="D42" s="520"/>
      <c r="E42" s="520"/>
      <c r="F42" s="520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15" t="str">
        <f>+VLOOKUP($A43,Master!$D$29:$G$225,4,FALSE)</f>
        <v>Social Security Transfers</v>
      </c>
      <c r="C43" s="516"/>
      <c r="D43" s="516"/>
      <c r="E43" s="516"/>
      <c r="F43" s="516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19" t="str">
        <f>+VLOOKUP($A44,Master!$D$29:$G$225,4,FALSE)</f>
        <v>Social Security</v>
      </c>
      <c r="C44" s="520"/>
      <c r="D44" s="520"/>
      <c r="E44" s="520"/>
      <c r="F44" s="520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19" t="str">
        <f>+VLOOKUP($A45,Master!$D$29:$G$225,4,FALSE)</f>
        <v>Funds for redundant labor</v>
      </c>
      <c r="C45" s="520"/>
      <c r="D45" s="520"/>
      <c r="E45" s="520"/>
      <c r="F45" s="520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19" t="str">
        <f>+VLOOKUP($A46,Master!$D$29:$G$225,4,FALSE)</f>
        <v>Pension and Disability Insurance</v>
      </c>
      <c r="C46" s="520"/>
      <c r="D46" s="520"/>
      <c r="E46" s="520"/>
      <c r="F46" s="520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19" t="str">
        <f>+VLOOKUP($A47,Master!$D$29:$G$225,4,FALSE)</f>
        <v>Other Health Care Transfers</v>
      </c>
      <c r="C47" s="520"/>
      <c r="D47" s="520"/>
      <c r="E47" s="520"/>
      <c r="F47" s="520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19" t="str">
        <f>+VLOOKUP($A48,Master!$D$29:$G$225,4,FALSE)</f>
        <v>Other Health Care Insurance</v>
      </c>
      <c r="C48" s="520"/>
      <c r="D48" s="520"/>
      <c r="E48" s="520"/>
      <c r="F48" s="520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17" t="str">
        <f>+VLOOKUP($A49,Master!$D$29:$G$225,4,FALSE)</f>
        <v xml:space="preserve">Transfers to Institutions, Individuals, NGO and Public Sector </v>
      </c>
      <c r="C49" s="518"/>
      <c r="D49" s="518"/>
      <c r="E49" s="518"/>
      <c r="F49" s="518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17" t="str">
        <f>+VLOOKUP($A50,Master!$D$29:$G$225,4,FALSE)</f>
        <v>Capital Expenditure</v>
      </c>
      <c r="C50" s="518"/>
      <c r="D50" s="518"/>
      <c r="E50" s="518"/>
      <c r="F50" s="518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487" t="str">
        <f>+VLOOKUP($A51,Master!$D$29:$G$225,4,FALSE)</f>
        <v>Credits and Borrowings</v>
      </c>
      <c r="C51" s="488"/>
      <c r="D51" s="488"/>
      <c r="E51" s="488"/>
      <c r="F51" s="488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487" t="str">
        <f>+VLOOKUP($A52,Master!$D$29:$G$225,4,FALSE)</f>
        <v>Reserves</v>
      </c>
      <c r="C52" s="488"/>
      <c r="D52" s="488"/>
      <c r="E52" s="488"/>
      <c r="F52" s="488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05" t="str">
        <f>+VLOOKUP($A53,Master!$D$29:$G$225,4,FALSE)</f>
        <v>Repayment of Guarantees</v>
      </c>
      <c r="C53" s="506"/>
      <c r="D53" s="506"/>
      <c r="E53" s="506"/>
      <c r="F53" s="506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05" t="str">
        <f>+VLOOKUP($A54,Master!$D$29:$G$225,4,FALSE)</f>
        <v>Repayments of liabilities form the previous period</v>
      </c>
      <c r="C54" s="506"/>
      <c r="D54" s="506"/>
      <c r="E54" s="506"/>
      <c r="F54" s="506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05" t="str">
        <f>+VLOOKUP($A55,Master!$D$29:$G$227,4,FALSE)</f>
        <v>Net increase of liabilities</v>
      </c>
      <c r="C55" s="506"/>
      <c r="D55" s="506"/>
      <c r="E55" s="506"/>
      <c r="F55" s="506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11" t="str">
        <f>+VLOOKUP($A56,Master!$D$29:$G$225,4,FALSE)</f>
        <v>Surplus / deficit</v>
      </c>
      <c r="C56" s="512"/>
      <c r="D56" s="512"/>
      <c r="E56" s="512"/>
      <c r="F56" s="512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13" t="str">
        <f>+VLOOKUP($A57,Master!$D$29:$G$225,4,FALSE)</f>
        <v>Primary surplus/deficit</v>
      </c>
      <c r="C57" s="514"/>
      <c r="D57" s="514"/>
      <c r="E57" s="514"/>
      <c r="F57" s="514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15" t="str">
        <f>+VLOOKUP($A58,Master!$D$29:$G$225,4,FALSE)</f>
        <v>Repayment of Debt</v>
      </c>
      <c r="C58" s="516"/>
      <c r="D58" s="516"/>
      <c r="E58" s="516"/>
      <c r="F58" s="516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03" t="str">
        <f>+VLOOKUP($A59,Master!$D$29:$G$225,4,FALSE)</f>
        <v>Repayment of Domestic Debt</v>
      </c>
      <c r="C59" s="504"/>
      <c r="D59" s="504"/>
      <c r="E59" s="504"/>
      <c r="F59" s="504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487" t="str">
        <f>+VLOOKUP($A60,Master!$D$29:$G$225,4,FALSE)</f>
        <v>Repayment of Foreign Debt</v>
      </c>
      <c r="C60" s="488"/>
      <c r="D60" s="488"/>
      <c r="E60" s="488"/>
      <c r="F60" s="488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Repayments of liabilities form the previous period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07" t="str">
        <f>+VLOOKUP($A62,Master!$D$29:$G$225,4,FALSE)</f>
        <v>Financing needs</v>
      </c>
      <c r="C62" s="508"/>
      <c r="D62" s="508"/>
      <c r="E62" s="508"/>
      <c r="F62" s="508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09" t="str">
        <f>+VLOOKUP($A63,Master!$D$29:$G$225,4,FALSE)</f>
        <v>Financing</v>
      </c>
      <c r="C63" s="510"/>
      <c r="D63" s="510"/>
      <c r="E63" s="510"/>
      <c r="F63" s="510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03" t="str">
        <f>+VLOOKUP($A64,Master!$D$29:$G$225,4,FALSE)</f>
        <v>Domestic Loans and Borrowings</v>
      </c>
      <c r="C64" s="504"/>
      <c r="D64" s="504"/>
      <c r="E64" s="504"/>
      <c r="F64" s="504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487" t="str">
        <f>+VLOOKUP($A65,Master!$D$29:$G$225,4,FALSE)</f>
        <v>Foreign Loans and Borrowings</v>
      </c>
      <c r="C65" s="488"/>
      <c r="D65" s="488"/>
      <c r="E65" s="488"/>
      <c r="F65" s="488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487" t="str">
        <f>+VLOOKUP($A66,Master!$D$29:$G$225,4,FALSE)</f>
        <v>Revenues from Selling Assets</v>
      </c>
      <c r="C66" s="488"/>
      <c r="D66" s="488"/>
      <c r="E66" s="488"/>
      <c r="F66" s="488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Increase / decrease of deposits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L32"/>
  <sheetViews>
    <sheetView showRowColHeaders="0" workbookViewId="0">
      <pane ySplit="5" topLeftCell="A6" activePane="bottomLeft" state="frozen"/>
      <selection activeCell="DK219" sqref="DK219"/>
      <selection pane="bottomLeft" activeCell="H16" sqref="H16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Montenegro</v>
      </c>
      <c r="I2" s="129"/>
    </row>
    <row r="3" spans="3:11" s="126" customFormat="1">
      <c r="E3" s="129" t="str">
        <f>+Master!G7</f>
        <v>Ministry of Finance and social welfare</v>
      </c>
    </row>
    <row r="4" spans="3:11" s="126" customFormat="1">
      <c r="E4" s="129" t="str">
        <f>+Master!G8</f>
        <v>Directorate for State Budget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+Master!G269</f>
        <v>Revenues for June</v>
      </c>
      <c r="E11" s="135"/>
      <c r="F11" s="135"/>
      <c r="G11" s="137" t="str">
        <f>+Master!G273</f>
        <v>Revenues for period January - June</v>
      </c>
      <c r="H11" s="135"/>
      <c r="I11" s="135"/>
      <c r="J11" s="135"/>
      <c r="K11" s="136"/>
    </row>
    <row r="12" spans="3:11">
      <c r="C12" s="134"/>
      <c r="D12" s="138">
        <f>+'Analytics - 2021'!N10</f>
        <v>158947740.94</v>
      </c>
      <c r="E12" s="456">
        <f>+D12/'2021'!T7</f>
        <v>3.4281098421256956E-2</v>
      </c>
      <c r="F12" s="135"/>
      <c r="G12" s="138">
        <f>+'Analytics - 2021'!G10</f>
        <v>787597666.91000009</v>
      </c>
      <c r="H12" s="456">
        <f>+G12/'2021'!T7</f>
        <v>0.16986534678643836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+Master!G249</f>
        <v>% GDP</v>
      </c>
      <c r="F13" s="135"/>
      <c r="G13" s="139" t="s">
        <v>417</v>
      </c>
      <c r="H13" s="139" t="s">
        <v>810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+Master!G270</f>
        <v>Expenditures for June</v>
      </c>
      <c r="E15" s="135"/>
      <c r="F15" s="135"/>
      <c r="G15" s="137" t="str">
        <f>+Master!G274</f>
        <v>Expenditures for period January - June</v>
      </c>
      <c r="H15" s="135"/>
      <c r="I15" s="135"/>
      <c r="J15" s="135"/>
      <c r="K15" s="136"/>
    </row>
    <row r="16" spans="3:11">
      <c r="C16" s="134"/>
      <c r="D16" s="138">
        <f>+'Analytics - 2021'!N29</f>
        <v>155973616.70000002</v>
      </c>
      <c r="E16" s="456">
        <f>+D16/'2021'!T7</f>
        <v>3.3639653345123588E-2</v>
      </c>
      <c r="F16" s="135"/>
      <c r="G16" s="138">
        <f>+'Analytics - 2021'!G29</f>
        <v>948223060.45000005</v>
      </c>
      <c r="H16" s="456">
        <f>+G16/'2021'!T7</f>
        <v>0.20450827340076783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GDP</v>
      </c>
      <c r="F17" s="135"/>
      <c r="G17" s="139" t="str">
        <f>+G13</f>
        <v>mil. €</v>
      </c>
      <c r="H17" s="139" t="str">
        <f>+H13</f>
        <v>% BDP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+Master!G271</f>
        <v>Deficit for June</v>
      </c>
      <c r="E19" s="135"/>
      <c r="F19" s="135"/>
      <c r="G19" s="137" t="str">
        <f>+Master!G275</f>
        <v>Surplus/Deficit for period January - June</v>
      </c>
      <c r="H19" s="135"/>
      <c r="I19" s="135"/>
      <c r="J19" s="135"/>
      <c r="K19" s="136"/>
    </row>
    <row r="20" spans="3:12">
      <c r="C20" s="134"/>
      <c r="D20" s="138">
        <f>+'Analytics - 2021'!N53</f>
        <v>2974124.2399999797</v>
      </c>
      <c r="E20" s="456">
        <f>+D20/'2021'!T7</f>
        <v>6.4144507613336918E-4</v>
      </c>
      <c r="F20" s="135"/>
      <c r="G20" s="138">
        <f>+'Analytics - 2021'!G53</f>
        <v>-160625393.54000002</v>
      </c>
      <c r="H20" s="456">
        <f>+G20/'2021'!T7</f>
        <v>-3.4642926614329467E-2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GDP</v>
      </c>
      <c r="F21" s="135"/>
      <c r="G21" s="139" t="str">
        <f>+G17</f>
        <v>mil. €</v>
      </c>
      <c r="H21" s="139" t="str">
        <f>+H17</f>
        <v>% BDP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7"/>
    </row>
  </sheetData>
  <sheetProtection algorithmName="SHA-512" hashValue="96VZH8lULWyw/QtE0FgEU2Qulp3vbIse3TafDIhkwNvT07iFdXn4zRIJ0FdKzvyHOMCM7I2yP3gudc8Je5FVuA==" saltValue="o+WPZBRITKJpGnSv+ji64Q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W69"/>
  <sheetViews>
    <sheetView tabSelected="1" zoomScale="110" zoomScaleNormal="110" workbookViewId="0">
      <pane ySplit="5" topLeftCell="A6" activePane="bottomLeft" state="frozen"/>
      <selection activeCell="DK219" sqref="DK219"/>
      <selection pane="bottomLeft" activeCell="G10" sqref="G10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60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6"/>
    </row>
    <row r="2" spans="1:20" s="1" customFormat="1">
      <c r="C2" s="2"/>
      <c r="E2" s="3" t="str">
        <f>+Master!G6</f>
        <v>Montenegro</v>
      </c>
      <c r="G2" s="356"/>
      <c r="I2" s="4"/>
    </row>
    <row r="3" spans="1:20" s="1" customFormat="1">
      <c r="B3" s="163"/>
      <c r="E3" s="4" t="str">
        <f>+Master!G7</f>
        <v>Ministry of Finance and social welfare</v>
      </c>
      <c r="G3" s="356"/>
    </row>
    <row r="4" spans="1:20" s="1" customFormat="1">
      <c r="E4" s="4" t="str">
        <f>+Master!G8</f>
        <v>Directorate for State Budget</v>
      </c>
      <c r="G4" s="356"/>
      <c r="H4" s="364"/>
      <c r="I4" s="364"/>
      <c r="J4" s="364"/>
    </row>
    <row r="5" spans="1:20" s="1" customFormat="1">
      <c r="G5" s="356"/>
    </row>
    <row r="6" spans="1:20" ht="15.75" thickBot="1">
      <c r="A6" s="130"/>
      <c r="B6" s="130"/>
      <c r="C6" s="130"/>
      <c r="D6" s="130"/>
      <c r="E6" s="130"/>
      <c r="F6" s="130"/>
      <c r="G6" s="357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2021-06</v>
      </c>
      <c r="O6" s="143" t="str">
        <f>+CONCATENATE(N6,"p")</f>
        <v>2021-06p</v>
      </c>
      <c r="P6" s="130"/>
      <c r="Q6" s="130"/>
      <c r="R6" s="143" t="str">
        <f>+IF(Master!B3-10&gt;=0,CONCATENATE(Master!B4-1,"-",Master!B3),CONCATENATE(Master!B4-1,"-0",Master!B3))</f>
        <v>2020-06</v>
      </c>
      <c r="S6" s="130"/>
      <c r="T6" s="130"/>
    </row>
    <row r="7" spans="1:20">
      <c r="A7" s="144"/>
      <c r="B7" s="489" t="str">
        <f>+Master!G253</f>
        <v>Analytics for period Jan - Jun</v>
      </c>
      <c r="C7" s="490"/>
      <c r="D7" s="490"/>
      <c r="E7" s="490"/>
      <c r="F7" s="490"/>
      <c r="G7" s="498" t="str">
        <f>+Master!G245</f>
        <v>Jan - Jun</v>
      </c>
      <c r="H7" s="499"/>
      <c r="I7" s="499"/>
      <c r="J7" s="499"/>
      <c r="K7" s="499"/>
      <c r="L7" s="499"/>
      <c r="M7" s="500"/>
      <c r="N7" s="501" t="str">
        <f>+Master!G244</f>
        <v>June</v>
      </c>
      <c r="O7" s="499"/>
      <c r="P7" s="499"/>
      <c r="Q7" s="499"/>
      <c r="R7" s="499"/>
      <c r="S7" s="499"/>
      <c r="T7" s="502"/>
    </row>
    <row r="8" spans="1:20">
      <c r="A8" s="144"/>
      <c r="B8" s="491"/>
      <c r="C8" s="492"/>
      <c r="D8" s="492"/>
      <c r="E8" s="492"/>
      <c r="F8" s="493"/>
      <c r="G8" s="358" t="str">
        <f>+Master!G25</f>
        <v>Execution</v>
      </c>
      <c r="H8" s="145" t="str">
        <f>+Master!G24</f>
        <v>Plan</v>
      </c>
      <c r="I8" s="485" t="str">
        <f>+Master!G260</f>
        <v>Deviation</v>
      </c>
      <c r="J8" s="485"/>
      <c r="K8" s="145" t="str">
        <f>+CONCATENATE(Master!G245," ",Master!B4-1)</f>
        <v>Jan - Jun 2020</v>
      </c>
      <c r="L8" s="485" t="str">
        <f>+I8</f>
        <v>Deviation</v>
      </c>
      <c r="M8" s="497"/>
      <c r="N8" s="146" t="str">
        <f>+G8</f>
        <v>Execution</v>
      </c>
      <c r="O8" s="145" t="str">
        <f>+H8</f>
        <v>Plan</v>
      </c>
      <c r="P8" s="485" t="str">
        <f>+I8</f>
        <v>Deviation</v>
      </c>
      <c r="Q8" s="485"/>
      <c r="R8" s="145" t="str">
        <f>+CONCATENATE(Master!G244," ",Master!B4-1)</f>
        <v>June 2020</v>
      </c>
      <c r="S8" s="485" t="str">
        <f>+P8</f>
        <v>Deviation</v>
      </c>
      <c r="T8" s="486"/>
    </row>
    <row r="9" spans="1:20" ht="15.75" thickBot="1">
      <c r="A9" s="144"/>
      <c r="B9" s="494"/>
      <c r="C9" s="495"/>
      <c r="D9" s="495"/>
      <c r="E9" s="495"/>
      <c r="F9" s="496"/>
      <c r="G9" s="35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09" t="str">
        <f>+VLOOKUP($A10,Master!$D$29:$G$225,4,FALSE)</f>
        <v>Total Revenues</v>
      </c>
      <c r="C10" s="510"/>
      <c r="D10" s="510"/>
      <c r="E10" s="510"/>
      <c r="F10" s="510"/>
      <c r="G10" s="151">
        <f>'2021'!S10</f>
        <v>787597666.91000009</v>
      </c>
      <c r="H10" s="151">
        <f>'2021'!S84</f>
        <v>773378245.42187905</v>
      </c>
      <c r="I10" s="152">
        <f>+G10-H10</f>
        <v>14219421.488121033</v>
      </c>
      <c r="J10" s="154">
        <f>IF(+IF(ISERROR(G10/H10),"…",G10/H10-1)&gt;200%,"...",IF(ISERROR(G10/H10),"…",G10/H10-1))</f>
        <v>1.8386115167183581E-2</v>
      </c>
      <c r="K10" s="151">
        <f>SUM('2020'!G10:L10)</f>
        <v>747821341.45000005</v>
      </c>
      <c r="L10" s="152">
        <f>+G10-K10</f>
        <v>39776325.460000038</v>
      </c>
      <c r="M10" s="154">
        <f>IF(+IF(ISERROR(G10/K10),"…",G10/K10-1)&gt;200%,"...",IF(ISERROR(G10/K10),"…",G10/K10-1))</f>
        <v>5.3189609944636063E-2</v>
      </c>
      <c r="N10" s="151">
        <f>'2021'!L10</f>
        <v>158947740.94</v>
      </c>
      <c r="O10" s="151">
        <f>'2021'!L84</f>
        <v>144135301.14752704</v>
      </c>
      <c r="P10" s="152">
        <f>+N10-O10</f>
        <v>14812439.792472959</v>
      </c>
      <c r="Q10" s="154">
        <f>IF(+IF(ISERROR(N10/O10),"…",N10/O10-1)&gt;200%,"...",IF(ISERROR(N10/O10),"…",N10/O10-1))</f>
        <v>0.10276760567705723</v>
      </c>
      <c r="R10" s="151">
        <f>'2020'!L10</f>
        <v>132188779.61</v>
      </c>
      <c r="S10" s="152">
        <f>+N10-R10</f>
        <v>26758961.329999998</v>
      </c>
      <c r="T10" s="154">
        <f>IF(+IF(ISERROR(N10/R10),"…",N10/R10-1)&gt;200%,"...",IF(ISERROR(N10/R10),"…",N10/R10-1))</f>
        <v>0.2024298991862068</v>
      </c>
    </row>
    <row r="11" spans="1:20">
      <c r="A11" s="150">
        <v>711</v>
      </c>
      <c r="B11" s="533" t="str">
        <f>+VLOOKUP($A11,Master!$D$29:$G$225,4,FALSE)</f>
        <v>Taxes</v>
      </c>
      <c r="C11" s="534"/>
      <c r="D11" s="534"/>
      <c r="E11" s="534"/>
      <c r="F11" s="534"/>
      <c r="G11" s="277">
        <f>'2021'!S11</f>
        <v>504352177.59000003</v>
      </c>
      <c r="H11" s="277">
        <f>'2021'!S85</f>
        <v>475532627.96251106</v>
      </c>
      <c r="I11" s="158">
        <f t="shared" ref="I11:I57" si="0">+G11-H11</f>
        <v>28819549.627488971</v>
      </c>
      <c r="J11" s="160">
        <f t="shared" ref="J11:J64" si="1">IF(+IF(ISERROR(G11/H11-1),"…",G11/H11-1)&gt;200%,"...",IF(ISERROR(G11/H11-1),"…",G11/H11-1))</f>
        <v>6.0604778584743002E-2</v>
      </c>
      <c r="K11" s="277">
        <f>SUM('2020'!G11:L11)</f>
        <v>481852713.23000002</v>
      </c>
      <c r="L11" s="158">
        <f>+G11-K11</f>
        <v>22499464.360000014</v>
      </c>
      <c r="M11" s="160">
        <f t="shared" ref="M11:M64" si="2">IF(+IF(ISERROR(G11/K11),"…",G11/K11-1)&gt;200%,"...",IF(ISERROR(G11/K11),"…",G11/K11-1))</f>
        <v>4.6693655015823232E-2</v>
      </c>
      <c r="N11" s="277">
        <f>'2021'!L11</f>
        <v>99847003.469999999</v>
      </c>
      <c r="O11" s="277">
        <f>'2021'!L85</f>
        <v>84057492.147784621</v>
      </c>
      <c r="P11" s="158">
        <f>+N11-O11</f>
        <v>15789511.322215378</v>
      </c>
      <c r="Q11" s="160">
        <f t="shared" ref="Q11:Q64" si="3">IF(+IF(ISERROR(N11/O11),"…",N11/O11-1)&gt;200%,"...",IF(ISERROR(N11/O11),"…",N11/O11-1))</f>
        <v>0.18784180825256191</v>
      </c>
      <c r="R11" s="277">
        <f>'2020'!L11</f>
        <v>79960950.920000002</v>
      </c>
      <c r="S11" s="158">
        <f t="shared" ref="S11:S57" si="4">+N11-R11</f>
        <v>19886052.549999997</v>
      </c>
      <c r="T11" s="160">
        <f t="shared" ref="T11:T64" si="5">IF(+IF(ISERROR(N11/R11),"…",N11/R11-1)&gt;200%,"...",IF(ISERROR(N11/R11),"…",N11/R11-1))</f>
        <v>0.24869704926215497</v>
      </c>
    </row>
    <row r="12" spans="1:20">
      <c r="A12" s="150">
        <v>7111</v>
      </c>
      <c r="B12" s="519" t="str">
        <f>+VLOOKUP($A12,Master!$D$29:$G$225,4,FALSE)</f>
        <v>Personal Income Tax</v>
      </c>
      <c r="C12" s="520"/>
      <c r="D12" s="520"/>
      <c r="E12" s="520"/>
      <c r="F12" s="520"/>
      <c r="G12" s="163">
        <f>'2021'!S12</f>
        <v>52939159.909999996</v>
      </c>
      <c r="H12" s="163">
        <f>'2021'!S86</f>
        <v>56171696.976659417</v>
      </c>
      <c r="I12" s="164">
        <f t="shared" si="0"/>
        <v>-3232537.0666594207</v>
      </c>
      <c r="J12" s="166">
        <f t="shared" si="1"/>
        <v>-5.7547434751750726E-2</v>
      </c>
      <c r="K12" s="163">
        <f>SUM('2020'!G12:L12)</f>
        <v>51122438.960000001</v>
      </c>
      <c r="L12" s="164">
        <f>+G12-K12</f>
        <v>1816720.9499999955</v>
      </c>
      <c r="M12" s="166">
        <f t="shared" si="2"/>
        <v>3.5536664270291674E-2</v>
      </c>
      <c r="N12" s="163">
        <f>'2021'!L12</f>
        <v>10833911.470000001</v>
      </c>
      <c r="O12" s="163">
        <f>'2021'!L86</f>
        <v>11197084.330843059</v>
      </c>
      <c r="P12" s="164">
        <f t="shared" ref="P12:P57" si="6">+N12-O12</f>
        <v>-363172.86084305868</v>
      </c>
      <c r="Q12" s="166">
        <f t="shared" si="3"/>
        <v>-3.2434591909134447E-2</v>
      </c>
      <c r="R12" s="163">
        <f>'2020'!L12</f>
        <v>10236771.470000001</v>
      </c>
      <c r="S12" s="164">
        <f t="shared" si="4"/>
        <v>597140</v>
      </c>
      <c r="T12" s="166">
        <f t="shared" si="5"/>
        <v>5.8332844662009498E-2</v>
      </c>
    </row>
    <row r="13" spans="1:20">
      <c r="A13" s="150">
        <v>7112</v>
      </c>
      <c r="B13" s="519" t="str">
        <f>+VLOOKUP($A13,Master!$D$29:$G$225,4,FALSE)</f>
        <v>Corporate Income Tax</v>
      </c>
      <c r="C13" s="520"/>
      <c r="D13" s="520"/>
      <c r="E13" s="520"/>
      <c r="F13" s="520"/>
      <c r="G13" s="163">
        <f>'2021'!S13</f>
        <v>56759780.129999995</v>
      </c>
      <c r="H13" s="163">
        <f>'2021'!S87</f>
        <v>42688161.927233599</v>
      </c>
      <c r="I13" s="164">
        <f t="shared" si="0"/>
        <v>14071618.202766396</v>
      </c>
      <c r="J13" s="166">
        <f t="shared" si="1"/>
        <v>0.32963748185627972</v>
      </c>
      <c r="K13" s="163">
        <f>SUM('2020'!G13:L13)</f>
        <v>59697131.339999996</v>
      </c>
      <c r="L13" s="164">
        <f t="shared" ref="L13:L57" si="7">+G13-K13</f>
        <v>-2937351.2100000009</v>
      </c>
      <c r="M13" s="166">
        <f t="shared" si="2"/>
        <v>-4.9204227138998746E-2</v>
      </c>
      <c r="N13" s="163">
        <f>'2021'!L13</f>
        <v>3910959.72</v>
      </c>
      <c r="O13" s="163">
        <f>'2021'!L87</f>
        <v>3175296.5849943897</v>
      </c>
      <c r="P13" s="164">
        <f t="shared" si="6"/>
        <v>735663.13500561053</v>
      </c>
      <c r="Q13" s="166">
        <f t="shared" si="3"/>
        <v>0.23168328227421631</v>
      </c>
      <c r="R13" s="163">
        <f>'2020'!L13</f>
        <v>6326893.6900000004</v>
      </c>
      <c r="S13" s="164">
        <f t="shared" si="4"/>
        <v>-2415933.9700000002</v>
      </c>
      <c r="T13" s="166">
        <f t="shared" si="5"/>
        <v>-0.38185151961989106</v>
      </c>
    </row>
    <row r="14" spans="1:20">
      <c r="A14" s="150">
        <v>7113</v>
      </c>
      <c r="B14" s="519" t="str">
        <f>+VLOOKUP($A14,Master!$D$29:$G$225,4,FALSE)</f>
        <v xml:space="preserve">Taxes on Sales of Property </v>
      </c>
      <c r="C14" s="520"/>
      <c r="D14" s="520"/>
      <c r="E14" s="520"/>
      <c r="F14" s="520"/>
      <c r="G14" s="163">
        <f>'2021'!S14</f>
        <v>733785.71</v>
      </c>
      <c r="H14" s="163">
        <f>'2021'!S88</f>
        <v>782677.38459635503</v>
      </c>
      <c r="I14" s="164">
        <f t="shared" si="0"/>
        <v>-48891.674596355064</v>
      </c>
      <c r="J14" s="166">
        <f t="shared" si="1"/>
        <v>-6.246721261988375E-2</v>
      </c>
      <c r="K14" s="163">
        <f>SUM('2020'!G14:L14)</f>
        <v>742944.66999999993</v>
      </c>
      <c r="L14" s="164">
        <f t="shared" si="7"/>
        <v>-9158.9599999999627</v>
      </c>
      <c r="M14" s="166">
        <f t="shared" si="2"/>
        <v>-1.2327916693984697E-2</v>
      </c>
      <c r="N14" s="163">
        <f>'2021'!L14</f>
        <v>131529.14000000001</v>
      </c>
      <c r="O14" s="163">
        <f>'2021'!L88</f>
        <v>119656.43469982115</v>
      </c>
      <c r="P14" s="164">
        <f t="shared" si="6"/>
        <v>11872.705300178859</v>
      </c>
      <c r="Q14" s="166">
        <f t="shared" si="3"/>
        <v>9.9223291500900812E-2</v>
      </c>
      <c r="R14" s="163">
        <f>'2020'!L14</f>
        <v>117335.46</v>
      </c>
      <c r="S14" s="164">
        <f t="shared" si="4"/>
        <v>14193.680000000008</v>
      </c>
      <c r="T14" s="166">
        <f t="shared" si="5"/>
        <v>0.12096667111544979</v>
      </c>
    </row>
    <row r="15" spans="1:20">
      <c r="A15" s="150">
        <v>7114</v>
      </c>
      <c r="B15" s="519" t="str">
        <f>+VLOOKUP($A15,Master!$D$29:$G$225,4,FALSE)</f>
        <v>Value Added Tax</v>
      </c>
      <c r="C15" s="520"/>
      <c r="D15" s="520"/>
      <c r="E15" s="520"/>
      <c r="F15" s="520"/>
      <c r="G15" s="163">
        <f>'2021'!S15</f>
        <v>279066381.57999998</v>
      </c>
      <c r="H15" s="163">
        <f>'2021'!S89</f>
        <v>267927239.95003656</v>
      </c>
      <c r="I15" s="164">
        <f t="shared" si="0"/>
        <v>11139141.629963428</v>
      </c>
      <c r="J15" s="166">
        <f t="shared" si="1"/>
        <v>4.1575248683339172E-2</v>
      </c>
      <c r="K15" s="163">
        <f>SUM('2020'!G15:L15)</f>
        <v>259138186.48000002</v>
      </c>
      <c r="L15" s="164">
        <f t="shared" si="7"/>
        <v>19928195.099999964</v>
      </c>
      <c r="M15" s="166">
        <f t="shared" si="2"/>
        <v>7.6901808146048856E-2</v>
      </c>
      <c r="N15" s="163">
        <f>'2021'!L15</f>
        <v>60277408.149999999</v>
      </c>
      <c r="O15" s="163">
        <f>'2021'!L89</f>
        <v>48592045.171046801</v>
      </c>
      <c r="P15" s="164">
        <f t="shared" si="6"/>
        <v>11685362.978953198</v>
      </c>
      <c r="Q15" s="166">
        <f t="shared" si="3"/>
        <v>0.24047892896501977</v>
      </c>
      <c r="R15" s="163">
        <f>'2020'!L15</f>
        <v>42474174.049999997</v>
      </c>
      <c r="S15" s="164">
        <f t="shared" si="4"/>
        <v>17803234.100000001</v>
      </c>
      <c r="T15" s="166">
        <f t="shared" si="5"/>
        <v>0.41915433314941652</v>
      </c>
    </row>
    <row r="16" spans="1:20">
      <c r="A16" s="150">
        <v>7115</v>
      </c>
      <c r="B16" s="519" t="str">
        <f>+VLOOKUP($A16,Master!$D$29:$G$225,4,FALSE)</f>
        <v>Excises</v>
      </c>
      <c r="C16" s="520"/>
      <c r="D16" s="520"/>
      <c r="E16" s="520"/>
      <c r="F16" s="520"/>
      <c r="G16" s="163">
        <f>'2021'!S16</f>
        <v>97499049.179999992</v>
      </c>
      <c r="H16" s="163">
        <f>'2021'!S90</f>
        <v>91300203.205084443</v>
      </c>
      <c r="I16" s="164">
        <f t="shared" si="0"/>
        <v>6198845.9749155492</v>
      </c>
      <c r="J16" s="166">
        <f t="shared" si="1"/>
        <v>6.7895204581213342E-2</v>
      </c>
      <c r="K16" s="163">
        <f>SUM('2020'!G16:L16)</f>
        <v>95298740.900000006</v>
      </c>
      <c r="L16" s="164">
        <f t="shared" si="7"/>
        <v>2200308.2799999863</v>
      </c>
      <c r="M16" s="166">
        <f t="shared" si="2"/>
        <v>2.3088534635613334E-2</v>
      </c>
      <c r="N16" s="163">
        <f>'2021'!L16</f>
        <v>20986549.629999999</v>
      </c>
      <c r="O16" s="163">
        <f>'2021'!L90</f>
        <v>17910267.301327348</v>
      </c>
      <c r="P16" s="164">
        <f t="shared" si="6"/>
        <v>3076282.3286726512</v>
      </c>
      <c r="Q16" s="166">
        <f t="shared" si="3"/>
        <v>0.17176082729064945</v>
      </c>
      <c r="R16" s="163">
        <f>'2020'!L16</f>
        <v>17821548.199999999</v>
      </c>
      <c r="S16" s="164">
        <f t="shared" si="4"/>
        <v>3165001.4299999997</v>
      </c>
      <c r="T16" s="166">
        <f t="shared" si="5"/>
        <v>0.17759407849874687</v>
      </c>
    </row>
    <row r="17" spans="1:20">
      <c r="A17" s="150">
        <v>7116</v>
      </c>
      <c r="B17" s="519" t="str">
        <f>+VLOOKUP($A17,Master!$D$29:$G$225,4,FALSE)</f>
        <v>Tax on International Trade and Transactions</v>
      </c>
      <c r="C17" s="520"/>
      <c r="D17" s="520"/>
      <c r="E17" s="520"/>
      <c r="F17" s="520"/>
      <c r="G17" s="163">
        <f>'2021'!S17</f>
        <v>12170753.529999999</v>
      </c>
      <c r="H17" s="163">
        <f>'2021'!S91</f>
        <v>11604623.076196456</v>
      </c>
      <c r="I17" s="164">
        <f t="shared" si="0"/>
        <v>566130.453803543</v>
      </c>
      <c r="J17" s="166">
        <f t="shared" si="1"/>
        <v>4.8784906677821871E-2</v>
      </c>
      <c r="K17" s="163">
        <f>SUM('2020'!G17:L17)</f>
        <v>11212379.719999999</v>
      </c>
      <c r="L17" s="164">
        <f t="shared" si="7"/>
        <v>958373.81000000052</v>
      </c>
      <c r="M17" s="166">
        <f t="shared" si="2"/>
        <v>8.5474612342151479E-2</v>
      </c>
      <c r="N17" s="163">
        <f>'2021'!L17</f>
        <v>2642568.09</v>
      </c>
      <c r="O17" s="163">
        <f>'2021'!L91</f>
        <v>2129291.6553579406</v>
      </c>
      <c r="P17" s="164">
        <f t="shared" si="6"/>
        <v>513276.43464205926</v>
      </c>
      <c r="Q17" s="166">
        <f t="shared" si="3"/>
        <v>0.24105501627759662</v>
      </c>
      <c r="R17" s="163">
        <f>'2020'!L17</f>
        <v>2074453.34</v>
      </c>
      <c r="S17" s="164">
        <f t="shared" si="4"/>
        <v>568114.74999999977</v>
      </c>
      <c r="T17" s="166">
        <f t="shared" si="5"/>
        <v>0.27386239017552438</v>
      </c>
    </row>
    <row r="18" spans="1:20">
      <c r="A18" s="150">
        <v>7118</v>
      </c>
      <c r="B18" s="519" t="str">
        <f>+VLOOKUP($A18,Master!$D$29:$G$225,4,FALSE)</f>
        <v>Other Republic Taxes</v>
      </c>
      <c r="C18" s="520"/>
      <c r="D18" s="520"/>
      <c r="E18" s="520"/>
      <c r="F18" s="520"/>
      <c r="G18" s="163">
        <f>'2021'!S18</f>
        <v>5183267.5500000007</v>
      </c>
      <c r="H18" s="163">
        <f>'2021'!S92</f>
        <v>5058025.4427043004</v>
      </c>
      <c r="I18" s="164">
        <f t="shared" si="0"/>
        <v>125242.10729570035</v>
      </c>
      <c r="J18" s="166">
        <f t="shared" si="1"/>
        <v>2.4761067083272525E-2</v>
      </c>
      <c r="K18" s="163">
        <f>SUM('2020'!G18:L18)</f>
        <v>4640891.16</v>
      </c>
      <c r="L18" s="164">
        <f t="shared" si="7"/>
        <v>542376.3900000006</v>
      </c>
      <c r="M18" s="166">
        <f t="shared" si="2"/>
        <v>0.11686901745827649</v>
      </c>
      <c r="N18" s="163">
        <f>'2021'!L18</f>
        <v>1064077.27</v>
      </c>
      <c r="O18" s="163">
        <f>'2021'!L92</f>
        <v>933850.66951527272</v>
      </c>
      <c r="P18" s="164">
        <f t="shared" si="6"/>
        <v>130226.6004847273</v>
      </c>
      <c r="Q18" s="166">
        <f t="shared" si="3"/>
        <v>0.13945120428336044</v>
      </c>
      <c r="R18" s="163">
        <f>'2020'!L18</f>
        <v>909774.71</v>
      </c>
      <c r="S18" s="164">
        <f t="shared" si="4"/>
        <v>154302.56000000006</v>
      </c>
      <c r="T18" s="166">
        <f t="shared" si="5"/>
        <v>0.16960524215934747</v>
      </c>
    </row>
    <row r="19" spans="1:20">
      <c r="A19" s="150">
        <v>712</v>
      </c>
      <c r="B19" s="521" t="str">
        <f>+VLOOKUP($A19,Master!$D$29:$G$225,4,FALSE)</f>
        <v>Contributions</v>
      </c>
      <c r="C19" s="522"/>
      <c r="D19" s="522"/>
      <c r="E19" s="522"/>
      <c r="F19" s="522"/>
      <c r="G19" s="169">
        <f>'2021'!S19</f>
        <v>236530929.43000001</v>
      </c>
      <c r="H19" s="169">
        <f>'2021'!S93</f>
        <v>243243712.55037749</v>
      </c>
      <c r="I19" s="170">
        <f t="shared" si="0"/>
        <v>-6712783.120377481</v>
      </c>
      <c r="J19" s="172">
        <f t="shared" si="1"/>
        <v>-2.7596944027842962E-2</v>
      </c>
      <c r="K19" s="169">
        <f>SUM('2020'!G19:L19)</f>
        <v>220406123.72</v>
      </c>
      <c r="L19" s="170">
        <f t="shared" si="7"/>
        <v>16124805.710000008</v>
      </c>
      <c r="M19" s="172">
        <f t="shared" si="2"/>
        <v>7.3159517702351406E-2</v>
      </c>
      <c r="N19" s="169">
        <f>'2021'!L19</f>
        <v>48669027.800000004</v>
      </c>
      <c r="O19" s="169">
        <f>'2021'!L93</f>
        <v>49074866.128309995</v>
      </c>
      <c r="P19" s="170">
        <f t="shared" si="6"/>
        <v>-405838.32830999047</v>
      </c>
      <c r="Q19" s="172">
        <f t="shared" si="3"/>
        <v>-8.2697796311638205E-3</v>
      </c>
      <c r="R19" s="169">
        <f>'2020'!L19</f>
        <v>42892419.090000004</v>
      </c>
      <c r="S19" s="170">
        <f t="shared" si="4"/>
        <v>5776608.7100000009</v>
      </c>
      <c r="T19" s="172">
        <f t="shared" si="5"/>
        <v>0.13467668255966392</v>
      </c>
    </row>
    <row r="20" spans="1:20">
      <c r="A20" s="150">
        <v>7121</v>
      </c>
      <c r="B20" s="519" t="str">
        <f>+VLOOKUP($A20,Master!$D$29:$G$225,4,FALSE)</f>
        <v>Contributions for Pension and Disability Insurance</v>
      </c>
      <c r="C20" s="520"/>
      <c r="D20" s="520"/>
      <c r="E20" s="520"/>
      <c r="F20" s="520"/>
      <c r="G20" s="163">
        <f>'2021'!S20</f>
        <v>145681644.56</v>
      </c>
      <c r="H20" s="163">
        <f>'2021'!S94</f>
        <v>148175885.65141374</v>
      </c>
      <c r="I20" s="164">
        <f t="shared" si="0"/>
        <v>-2494241.0914137363</v>
      </c>
      <c r="J20" s="166">
        <f t="shared" si="1"/>
        <v>-1.6832975760181945E-2</v>
      </c>
      <c r="K20" s="163">
        <f>SUM('2020'!G20:L20)</f>
        <v>137177449.53999999</v>
      </c>
      <c r="L20" s="164">
        <f t="shared" si="7"/>
        <v>8504195.0200000107</v>
      </c>
      <c r="M20" s="166">
        <f t="shared" si="2"/>
        <v>6.199411819156353E-2</v>
      </c>
      <c r="N20" s="163">
        <f>'2021'!L20</f>
        <v>29842404.879999999</v>
      </c>
      <c r="O20" s="163">
        <f>'2021'!L94</f>
        <v>30221430.409749798</v>
      </c>
      <c r="P20" s="164">
        <f t="shared" si="6"/>
        <v>-379025.52974979952</v>
      </c>
      <c r="Q20" s="166">
        <f t="shared" si="3"/>
        <v>-1.254161449709279E-2</v>
      </c>
      <c r="R20" s="163">
        <f>'2020'!L20</f>
        <v>26475281.460000001</v>
      </c>
      <c r="S20" s="164">
        <f t="shared" si="4"/>
        <v>3367123.4199999981</v>
      </c>
      <c r="T20" s="166">
        <f t="shared" si="5"/>
        <v>0.1271798913672435</v>
      </c>
    </row>
    <row r="21" spans="1:20">
      <c r="A21" s="150">
        <v>7122</v>
      </c>
      <c r="B21" s="519" t="str">
        <f>+VLOOKUP($A21,Master!$D$29:$G$225,4,FALSE)</f>
        <v>Contributions for Health Insurance</v>
      </c>
      <c r="C21" s="520"/>
      <c r="D21" s="520"/>
      <c r="E21" s="520"/>
      <c r="F21" s="520"/>
      <c r="G21" s="163">
        <f>'2021'!S21</f>
        <v>77833791.310000002</v>
      </c>
      <c r="H21" s="163">
        <f>'2021'!S95</f>
        <v>81395778.600063726</v>
      </c>
      <c r="I21" s="164">
        <f t="shared" si="0"/>
        <v>-3561987.2900637239</v>
      </c>
      <c r="J21" s="166">
        <f t="shared" si="1"/>
        <v>-4.3761327077728063E-2</v>
      </c>
      <c r="K21" s="163">
        <f>SUM('2020'!G21:L21)</f>
        <v>71193228.030000001</v>
      </c>
      <c r="L21" s="164">
        <f t="shared" si="7"/>
        <v>6640563.2800000012</v>
      </c>
      <c r="M21" s="166">
        <f t="shared" si="2"/>
        <v>9.3275209788236335E-2</v>
      </c>
      <c r="N21" s="163">
        <f>'2021'!L21</f>
        <v>16061038.619999999</v>
      </c>
      <c r="O21" s="163">
        <f>'2021'!L95</f>
        <v>16219799.806630883</v>
      </c>
      <c r="P21" s="164">
        <f t="shared" si="6"/>
        <v>-158761.18663088419</v>
      </c>
      <c r="Q21" s="166">
        <f t="shared" si="3"/>
        <v>-9.7881101199522869E-3</v>
      </c>
      <c r="R21" s="163">
        <f>'2020'!L21</f>
        <v>14129608.4</v>
      </c>
      <c r="S21" s="164">
        <f t="shared" si="4"/>
        <v>1931430.2199999988</v>
      </c>
      <c r="T21" s="166">
        <f t="shared" si="5"/>
        <v>0.13669382514521766</v>
      </c>
    </row>
    <row r="22" spans="1:20">
      <c r="A22" s="150">
        <v>7123</v>
      </c>
      <c r="B22" s="519" t="str">
        <f>+VLOOKUP($A22,Master!$D$29:$G$225,4,FALSE)</f>
        <v>Contributions for  Unemployment Insurance</v>
      </c>
      <c r="C22" s="520"/>
      <c r="D22" s="520"/>
      <c r="E22" s="520"/>
      <c r="F22" s="520"/>
      <c r="G22" s="163">
        <f>'2021'!S22</f>
        <v>7086426.5200000005</v>
      </c>
      <c r="H22" s="163">
        <f>'2021'!S96</f>
        <v>7282787.217410475</v>
      </c>
      <c r="I22" s="164">
        <f t="shared" si="0"/>
        <v>-196360.69741047453</v>
      </c>
      <c r="J22" s="166">
        <f t="shared" si="1"/>
        <v>-2.6962300496854885E-2</v>
      </c>
      <c r="K22" s="163">
        <f>SUM('2020'!G22:L22)</f>
        <v>6585384.0600000005</v>
      </c>
      <c r="L22" s="164">
        <f t="shared" si="7"/>
        <v>501042.45999999996</v>
      </c>
      <c r="M22" s="166">
        <f t="shared" si="2"/>
        <v>7.6084015060467136E-2</v>
      </c>
      <c r="N22" s="163">
        <f>'2021'!L22</f>
        <v>1443808.88</v>
      </c>
      <c r="O22" s="163">
        <f>'2021'!L96</f>
        <v>1442932.9122096128</v>
      </c>
      <c r="P22" s="164">
        <f t="shared" si="6"/>
        <v>875.9677903871052</v>
      </c>
      <c r="Q22" s="166">
        <f t="shared" si="3"/>
        <v>6.0707450982300237E-4</v>
      </c>
      <c r="R22" s="163">
        <f>'2020'!L22</f>
        <v>1233975.8400000001</v>
      </c>
      <c r="S22" s="164">
        <f t="shared" si="4"/>
        <v>209833.0399999998</v>
      </c>
      <c r="T22" s="166">
        <f t="shared" si="5"/>
        <v>0.17004631144155935</v>
      </c>
    </row>
    <row r="23" spans="1:20">
      <c r="A23" s="150">
        <v>7124</v>
      </c>
      <c r="B23" s="519" t="str">
        <f>+VLOOKUP($A23,Master!$D$29:$G$225,4,FALSE)</f>
        <v>Other contributions</v>
      </c>
      <c r="C23" s="520"/>
      <c r="D23" s="520"/>
      <c r="E23" s="520"/>
      <c r="F23" s="520"/>
      <c r="G23" s="163">
        <f>'2021'!S23</f>
        <v>5929067.04</v>
      </c>
      <c r="H23" s="163">
        <f>'2021'!S97</f>
        <v>6389261.0814895649</v>
      </c>
      <c r="I23" s="164">
        <f t="shared" si="0"/>
        <v>-460194.04148956481</v>
      </c>
      <c r="J23" s="166">
        <f t="shared" si="1"/>
        <v>-7.2026175737723519E-2</v>
      </c>
      <c r="K23" s="163">
        <f>SUM('2020'!G23:L23)</f>
        <v>5450062.0899999999</v>
      </c>
      <c r="L23" s="164">
        <f t="shared" si="7"/>
        <v>479004.95000000019</v>
      </c>
      <c r="M23" s="166">
        <f t="shared" si="2"/>
        <v>8.7889815214931E-2</v>
      </c>
      <c r="N23" s="163">
        <f>'2021'!L23</f>
        <v>1321775.42</v>
      </c>
      <c r="O23" s="163">
        <f>'2021'!L97</f>
        <v>1190702.9997196905</v>
      </c>
      <c r="P23" s="164">
        <f t="shared" si="6"/>
        <v>131072.42028030939</v>
      </c>
      <c r="Q23" s="166">
        <f t="shared" si="3"/>
        <v>0.11007986064632891</v>
      </c>
      <c r="R23" s="163">
        <f>'2020'!L23</f>
        <v>1053553.3899999999</v>
      </c>
      <c r="S23" s="164">
        <f t="shared" si="4"/>
        <v>268222.03000000003</v>
      </c>
      <c r="T23" s="166">
        <f t="shared" si="5"/>
        <v>0.25458798058634691</v>
      </c>
    </row>
    <row r="24" spans="1:20">
      <c r="A24" s="150">
        <v>713</v>
      </c>
      <c r="B24" s="521" t="str">
        <f>+VLOOKUP($A24,Master!$D$29:$G$225,4,FALSE)</f>
        <v>Duties</v>
      </c>
      <c r="C24" s="522"/>
      <c r="D24" s="522"/>
      <c r="E24" s="522"/>
      <c r="F24" s="522"/>
      <c r="G24" s="175">
        <f>'2021'!S24</f>
        <v>4924242.4800000004</v>
      </c>
      <c r="H24" s="175">
        <f>'2021'!S98</f>
        <v>5586349.0751029821</v>
      </c>
      <c r="I24" s="176">
        <f t="shared" si="0"/>
        <v>-662106.59510298166</v>
      </c>
      <c r="J24" s="178">
        <f t="shared" si="1"/>
        <v>-0.11852223808458939</v>
      </c>
      <c r="K24" s="175">
        <f>SUM('2020'!G24:L24)</f>
        <v>4255666.51</v>
      </c>
      <c r="L24" s="176">
        <f t="shared" si="7"/>
        <v>668575.97000000067</v>
      </c>
      <c r="M24" s="178">
        <f t="shared" si="2"/>
        <v>0.15710252869414831</v>
      </c>
      <c r="N24" s="175">
        <f>'2021'!L24</f>
        <v>1102631.99</v>
      </c>
      <c r="O24" s="175">
        <f>'2021'!L98</f>
        <v>1017281.4650079145</v>
      </c>
      <c r="P24" s="176">
        <f t="shared" si="6"/>
        <v>85350.524992085528</v>
      </c>
      <c r="Q24" s="178">
        <f t="shared" si="3"/>
        <v>8.3900599713985224E-2</v>
      </c>
      <c r="R24" s="175">
        <f>'2020'!L24</f>
        <v>1094710.17</v>
      </c>
      <c r="S24" s="176">
        <f t="shared" si="4"/>
        <v>7921.8200000000652</v>
      </c>
      <c r="T24" s="178">
        <f t="shared" si="5"/>
        <v>7.2364541931679849E-3</v>
      </c>
    </row>
    <row r="25" spans="1:20">
      <c r="A25" s="150">
        <v>714</v>
      </c>
      <c r="B25" s="521" t="str">
        <f>+VLOOKUP($A25,Master!$D$29:$G$225,4,FALSE)</f>
        <v>Fees</v>
      </c>
      <c r="C25" s="522"/>
      <c r="D25" s="522"/>
      <c r="E25" s="522"/>
      <c r="F25" s="522"/>
      <c r="G25" s="175">
        <f>'2021'!S25</f>
        <v>17102066.899999999</v>
      </c>
      <c r="H25" s="175">
        <f>'2021'!S99</f>
        <v>14502330.810648357</v>
      </c>
      <c r="I25" s="176">
        <f t="shared" si="0"/>
        <v>2599736.089351641</v>
      </c>
      <c r="J25" s="178">
        <f t="shared" si="1"/>
        <v>0.17926332830876968</v>
      </c>
      <c r="K25" s="175">
        <f>SUM('2020'!G25:L25)</f>
        <v>11769561.41</v>
      </c>
      <c r="L25" s="176">
        <f t="shared" si="7"/>
        <v>5332505.4899999984</v>
      </c>
      <c r="M25" s="178">
        <f t="shared" si="2"/>
        <v>0.45307597320230131</v>
      </c>
      <c r="N25" s="175">
        <f>'2021'!L25</f>
        <v>3324411.04</v>
      </c>
      <c r="O25" s="175">
        <f>'2021'!L99</f>
        <v>2512218.7250152403</v>
      </c>
      <c r="P25" s="176">
        <f t="shared" si="6"/>
        <v>812192.31498475978</v>
      </c>
      <c r="Q25" s="178">
        <f t="shared" si="3"/>
        <v>0.32329681603652283</v>
      </c>
      <c r="R25" s="175">
        <f>'2020'!L25</f>
        <v>2752546.6799999997</v>
      </c>
      <c r="S25" s="176">
        <f t="shared" si="4"/>
        <v>571864.36000000034</v>
      </c>
      <c r="T25" s="178">
        <f t="shared" si="5"/>
        <v>0.20775827859893026</v>
      </c>
    </row>
    <row r="26" spans="1:20">
      <c r="A26" s="150">
        <v>715</v>
      </c>
      <c r="B26" s="521" t="str">
        <f>+VLOOKUP($A26,Master!$D$29:$G$225,4,FALSE)</f>
        <v>Other revenues</v>
      </c>
      <c r="C26" s="522"/>
      <c r="D26" s="522"/>
      <c r="E26" s="522"/>
      <c r="F26" s="522"/>
      <c r="G26" s="175">
        <f>'2021'!S26</f>
        <v>11938674.180000002</v>
      </c>
      <c r="H26" s="175">
        <f>'2021'!S100</f>
        <v>14597924.510101624</v>
      </c>
      <c r="I26" s="176">
        <f t="shared" si="0"/>
        <v>-2659250.3301016223</v>
      </c>
      <c r="J26" s="178">
        <f t="shared" si="1"/>
        <v>-0.18216632975882607</v>
      </c>
      <c r="K26" s="175">
        <f>SUM('2020'!G26:L26)</f>
        <v>13131285.869999999</v>
      </c>
      <c r="L26" s="176">
        <f t="shared" si="7"/>
        <v>-1192611.6899999976</v>
      </c>
      <c r="M26" s="178">
        <f t="shared" si="2"/>
        <v>-9.082215571322394E-2</v>
      </c>
      <c r="N26" s="175">
        <f>'2021'!L26</f>
        <v>2267147.4000000004</v>
      </c>
      <c r="O26" s="175">
        <f>'2021'!L100</f>
        <v>3403834.2267417526</v>
      </c>
      <c r="P26" s="176">
        <f t="shared" si="6"/>
        <v>-1136686.8267417522</v>
      </c>
      <c r="Q26" s="178">
        <f t="shared" si="3"/>
        <v>-0.33394306274128438</v>
      </c>
      <c r="R26" s="175">
        <f>'2020'!L26</f>
        <v>1931121.2500000002</v>
      </c>
      <c r="S26" s="176">
        <f t="shared" si="4"/>
        <v>336026.15000000014</v>
      </c>
      <c r="T26" s="178">
        <f t="shared" si="5"/>
        <v>0.17400572335890363</v>
      </c>
    </row>
    <row r="27" spans="1:20">
      <c r="A27" s="150">
        <v>73</v>
      </c>
      <c r="B27" s="521" t="str">
        <f>+VLOOKUP($A27,Master!$D$29:$G$225,4,FALSE)</f>
        <v>Receipts from Repayment of Loans and Funds Carried over from Previous Year</v>
      </c>
      <c r="C27" s="522"/>
      <c r="D27" s="522"/>
      <c r="E27" s="522"/>
      <c r="F27" s="522"/>
      <c r="G27" s="175">
        <f>'2021'!S27</f>
        <v>4636824.5</v>
      </c>
      <c r="H27" s="175">
        <f>'2021'!S101</f>
        <v>3526090.3097397257</v>
      </c>
      <c r="I27" s="176">
        <f t="shared" si="0"/>
        <v>1110734.1902602743</v>
      </c>
      <c r="J27" s="178">
        <f t="shared" si="1"/>
        <v>0.31500446463104392</v>
      </c>
      <c r="K27" s="175">
        <f>SUM('2020'!G27:L27)</f>
        <v>4124580.9200000004</v>
      </c>
      <c r="L27" s="176">
        <f t="shared" si="7"/>
        <v>512243.57999999961</v>
      </c>
      <c r="M27" s="178">
        <f t="shared" si="2"/>
        <v>0.12419287921256239</v>
      </c>
      <c r="N27" s="175">
        <f>'2021'!L27</f>
        <v>1262111.45</v>
      </c>
      <c r="O27" s="175">
        <f>'2021'!L101</f>
        <v>1496223.6587379598</v>
      </c>
      <c r="P27" s="176">
        <f t="shared" si="6"/>
        <v>-234112.20873795985</v>
      </c>
      <c r="Q27" s="178">
        <f t="shared" si="3"/>
        <v>-0.1564687253611734</v>
      </c>
      <c r="R27" s="175">
        <f>'2020'!L27</f>
        <v>977750.68</v>
      </c>
      <c r="S27" s="176">
        <f t="shared" si="4"/>
        <v>284360.7699999999</v>
      </c>
      <c r="T27" s="178">
        <f t="shared" si="5"/>
        <v>0.29083157477323351</v>
      </c>
    </row>
    <row r="28" spans="1:20" ht="15.75" thickBot="1">
      <c r="A28" s="150">
        <v>74</v>
      </c>
      <c r="B28" s="523" t="str">
        <f>+VLOOKUP($A28,Master!$D$29:$G$225,4,FALSE)</f>
        <v>Grants and Transfers</v>
      </c>
      <c r="C28" s="524"/>
      <c r="D28" s="524"/>
      <c r="E28" s="524"/>
      <c r="F28" s="524"/>
      <c r="G28" s="175">
        <f>'2021'!S28</f>
        <v>8112751.830000001</v>
      </c>
      <c r="H28" s="175">
        <f>'2021'!S102</f>
        <v>16389210.203397758</v>
      </c>
      <c r="I28" s="176">
        <f t="shared" si="0"/>
        <v>-8276458.3733977573</v>
      </c>
      <c r="J28" s="178">
        <f t="shared" si="1"/>
        <v>-0.50499433900005197</v>
      </c>
      <c r="K28" s="175">
        <f>SUM('2020'!G28:L28)</f>
        <v>12281409.790000001</v>
      </c>
      <c r="L28" s="176">
        <f t="shared" si="7"/>
        <v>-4168657.96</v>
      </c>
      <c r="M28" s="178">
        <f t="shared" si="2"/>
        <v>-0.33942829294681487</v>
      </c>
      <c r="N28" s="175">
        <f>'2021'!L28</f>
        <v>2475407.79</v>
      </c>
      <c r="O28" s="175">
        <f>'2021'!L102</f>
        <v>2573384.7959295483</v>
      </c>
      <c r="P28" s="176">
        <f t="shared" si="6"/>
        <v>-97977.005929548293</v>
      </c>
      <c r="Q28" s="178">
        <f t="shared" si="3"/>
        <v>-3.8073204630929447E-2</v>
      </c>
      <c r="R28" s="175">
        <f>'2020'!L28</f>
        <v>2579280.8199999998</v>
      </c>
      <c r="S28" s="176">
        <f t="shared" si="4"/>
        <v>-103873.0299999998</v>
      </c>
      <c r="T28" s="178">
        <f t="shared" si="5"/>
        <v>-4.0272090264293015E-2</v>
      </c>
    </row>
    <row r="29" spans="1:20" ht="15.75" thickBot="1">
      <c r="A29" s="150">
        <v>4</v>
      </c>
      <c r="B29" s="509" t="str">
        <f>+VLOOKUP($A29,Master!$D$29:$G$225,4,FALSE)</f>
        <v>Total Expenditures</v>
      </c>
      <c r="C29" s="510"/>
      <c r="D29" s="510"/>
      <c r="E29" s="510"/>
      <c r="F29" s="510"/>
      <c r="G29" s="151">
        <f>'2021'!S29</f>
        <v>948223060.45000005</v>
      </c>
      <c r="H29" s="151">
        <f>'2021'!S103</f>
        <v>1034296933.6409</v>
      </c>
      <c r="I29" s="152">
        <f t="shared" si="0"/>
        <v>-86073873.190899968</v>
      </c>
      <c r="J29" s="154">
        <f t="shared" si="1"/>
        <v>-8.3219692905697196E-2</v>
      </c>
      <c r="K29" s="151">
        <f>SUM('2020'!G29:L29)</f>
        <v>962177139.41400003</v>
      </c>
      <c r="L29" s="152">
        <f t="shared" si="7"/>
        <v>-13954078.963999987</v>
      </c>
      <c r="M29" s="154">
        <f t="shared" si="2"/>
        <v>-1.4502609127149402E-2</v>
      </c>
      <c r="N29" s="151">
        <f>'2021'!L29</f>
        <v>155973616.70000002</v>
      </c>
      <c r="O29" s="151">
        <f>'2021'!L103</f>
        <v>160395189.78650001</v>
      </c>
      <c r="P29" s="152">
        <f t="shared" si="6"/>
        <v>-4421573.086499989</v>
      </c>
      <c r="Q29" s="154">
        <f t="shared" si="3"/>
        <v>-2.7566743693408058E-2</v>
      </c>
      <c r="R29" s="151">
        <f>'2020'!L29</f>
        <v>179437127.39399999</v>
      </c>
      <c r="S29" s="152">
        <f t="shared" si="4"/>
        <v>-23463510.693999976</v>
      </c>
      <c r="T29" s="154">
        <f t="shared" si="5"/>
        <v>-0.13076173830224025</v>
      </c>
    </row>
    <row r="30" spans="1:20">
      <c r="A30" s="150">
        <v>41</v>
      </c>
      <c r="B30" s="527" t="str">
        <f>+VLOOKUP($A30,Master!$D$29:$G$225,4,FALSE)</f>
        <v>Current Expenditures</v>
      </c>
      <c r="C30" s="528"/>
      <c r="D30" s="528"/>
      <c r="E30" s="528"/>
      <c r="F30" s="528"/>
      <c r="G30" s="313">
        <f>'2021'!S30</f>
        <v>414850924.66000003</v>
      </c>
      <c r="H30" s="313">
        <f>'2021'!S104</f>
        <v>454312695.10230005</v>
      </c>
      <c r="I30" s="188">
        <f t="shared" si="0"/>
        <v>-39461770.442300022</v>
      </c>
      <c r="J30" s="190">
        <f t="shared" si="1"/>
        <v>-8.6860373631897247E-2</v>
      </c>
      <c r="K30" s="313">
        <f>SUM('2020'!G30:L30)</f>
        <v>420348507.89999998</v>
      </c>
      <c r="L30" s="188">
        <f t="shared" si="7"/>
        <v>-5497583.2399999499</v>
      </c>
      <c r="M30" s="190">
        <f t="shared" si="2"/>
        <v>-1.3078631508566696E-2</v>
      </c>
      <c r="N30" s="313">
        <f>'2021'!L30</f>
        <v>67098932.450000003</v>
      </c>
      <c r="O30" s="313">
        <f>'2021'!L104</f>
        <v>72995416.337500006</v>
      </c>
      <c r="P30" s="188">
        <f t="shared" si="6"/>
        <v>-5896483.887500003</v>
      </c>
      <c r="Q30" s="190">
        <f t="shared" si="3"/>
        <v>-8.077882397762004E-2</v>
      </c>
      <c r="R30" s="313">
        <f>'2020'!L30</f>
        <v>69508562.390000001</v>
      </c>
      <c r="S30" s="188">
        <f t="shared" si="4"/>
        <v>-2409629.9399999976</v>
      </c>
      <c r="T30" s="190">
        <f t="shared" si="5"/>
        <v>-3.4666663460538816E-2</v>
      </c>
    </row>
    <row r="31" spans="1:20">
      <c r="A31" s="150">
        <v>411</v>
      </c>
      <c r="B31" s="519" t="str">
        <f>+VLOOKUP($A31,Master!$D$29:$G$225,4,FALSE)</f>
        <v>Gross Salaries and Contributions</v>
      </c>
      <c r="C31" s="520"/>
      <c r="D31" s="520"/>
      <c r="E31" s="520"/>
      <c r="F31" s="520"/>
      <c r="G31" s="163">
        <f>'2021'!S31</f>
        <v>271240464.42000002</v>
      </c>
      <c r="H31" s="163">
        <f>'2021'!S105</f>
        <v>271823463.34920001</v>
      </c>
      <c r="I31" s="164">
        <f t="shared" si="0"/>
        <v>-582998.92919999361</v>
      </c>
      <c r="J31" s="166">
        <f t="shared" si="1"/>
        <v>-2.1447704404053969E-3</v>
      </c>
      <c r="K31" s="163">
        <f>SUM('2020'!G31:L31)</f>
        <v>249231293.86999997</v>
      </c>
      <c r="L31" s="164">
        <f t="shared" si="7"/>
        <v>22009170.550000042</v>
      </c>
      <c r="M31" s="166">
        <f t="shared" si="2"/>
        <v>8.8308214463148849E-2</v>
      </c>
      <c r="N31" s="163">
        <f>'2021'!L31</f>
        <v>44231501.740000002</v>
      </c>
      <c r="O31" s="163">
        <f>'2021'!L105</f>
        <v>46000000</v>
      </c>
      <c r="P31" s="164">
        <f>+N31-O31</f>
        <v>-1768498.2599999979</v>
      </c>
      <c r="Q31" s="166">
        <f>IF(+IF(ISERROR(N31/O31),"…",N31/O31-1)&gt;200%,"...",IF(ISERROR(N31/O31),"…",N31/O31-1))</f>
        <v>-3.8445614347826007E-2</v>
      </c>
      <c r="R31" s="163">
        <f>'2020'!L31</f>
        <v>43040867.280000001</v>
      </c>
      <c r="S31" s="164">
        <f t="shared" si="4"/>
        <v>1190634.4600000009</v>
      </c>
      <c r="T31" s="166">
        <f t="shared" si="5"/>
        <v>2.7662882633251673E-2</v>
      </c>
    </row>
    <row r="32" spans="1:20">
      <c r="A32" s="150">
        <v>412</v>
      </c>
      <c r="B32" s="519" t="str">
        <f>+VLOOKUP($A32,Master!$D$29:$G$225,4,FALSE)</f>
        <v>Other Personal Income</v>
      </c>
      <c r="C32" s="520"/>
      <c r="D32" s="520"/>
      <c r="E32" s="520"/>
      <c r="F32" s="520"/>
      <c r="G32" s="163">
        <f>'2021'!S32</f>
        <v>4618214.0999999996</v>
      </c>
      <c r="H32" s="163">
        <f>'2021'!S106</f>
        <v>6546887.083999997</v>
      </c>
      <c r="I32" s="164">
        <f t="shared" si="0"/>
        <v>-1928672.9839999974</v>
      </c>
      <c r="J32" s="166">
        <f t="shared" si="1"/>
        <v>-0.29459389771873423</v>
      </c>
      <c r="K32" s="163">
        <f>SUM('2020'!G32:L32)</f>
        <v>4991268.26</v>
      </c>
      <c r="L32" s="164">
        <f t="shared" si="7"/>
        <v>-373054.16000000015</v>
      </c>
      <c r="M32" s="166">
        <f t="shared" si="2"/>
        <v>-7.4741356418298377E-2</v>
      </c>
      <c r="N32" s="163">
        <f>'2021'!L32</f>
        <v>813914.56</v>
      </c>
      <c r="O32" s="163">
        <f>'2021'!L106</f>
        <v>1098574.5599999991</v>
      </c>
      <c r="P32" s="164">
        <f t="shared" si="6"/>
        <v>-284659.99999999907</v>
      </c>
      <c r="Q32" s="166">
        <f t="shared" si="3"/>
        <v>-0.25911759689756453</v>
      </c>
      <c r="R32" s="163">
        <f>'2020'!L32</f>
        <v>1295023.8</v>
      </c>
      <c r="S32" s="164">
        <f t="shared" si="4"/>
        <v>-481109.24</v>
      </c>
      <c r="T32" s="166">
        <f t="shared" si="5"/>
        <v>-0.37150609896127007</v>
      </c>
    </row>
    <row r="33" spans="1:20">
      <c r="A33" s="150">
        <v>413</v>
      </c>
      <c r="B33" s="519" t="str">
        <f>+VLOOKUP($A33,Master!$D$29:$G$225,4,FALSE)</f>
        <v>Expenditures for Supplies</v>
      </c>
      <c r="C33" s="520"/>
      <c r="D33" s="520"/>
      <c r="E33" s="520"/>
      <c r="F33" s="520"/>
      <c r="G33" s="163">
        <f>'2021'!S33</f>
        <v>13792871.530000001</v>
      </c>
      <c r="H33" s="163">
        <f>'2021'!S107</f>
        <v>19731244.275299992</v>
      </c>
      <c r="I33" s="164">
        <f t="shared" si="0"/>
        <v>-5938372.7452999912</v>
      </c>
      <c r="J33" s="166">
        <f t="shared" si="1"/>
        <v>-0.30096291254848928</v>
      </c>
      <c r="K33" s="163">
        <f>SUM('2020'!G33:L33)</f>
        <v>14431666.750000002</v>
      </c>
      <c r="L33" s="164">
        <f t="shared" si="7"/>
        <v>-638795.22000000067</v>
      </c>
      <c r="M33" s="166">
        <f t="shared" si="2"/>
        <v>-4.4263440326461345E-2</v>
      </c>
      <c r="N33" s="163">
        <f>'2021'!L33</f>
        <v>3282627.05</v>
      </c>
      <c r="O33" s="163">
        <f>'2021'!L107</f>
        <v>3917319.4131999998</v>
      </c>
      <c r="P33" s="164">
        <f t="shared" si="6"/>
        <v>-634692.36320000002</v>
      </c>
      <c r="Q33" s="166">
        <f t="shared" si="3"/>
        <v>-0.1620221116157412</v>
      </c>
      <c r="R33" s="163">
        <f>'2020'!L33</f>
        <v>2089784.74</v>
      </c>
      <c r="S33" s="164">
        <f t="shared" si="4"/>
        <v>1192842.3099999998</v>
      </c>
      <c r="T33" s="166">
        <f t="shared" si="5"/>
        <v>0.57079673670121633</v>
      </c>
    </row>
    <row r="34" spans="1:20">
      <c r="A34" s="150">
        <v>414</v>
      </c>
      <c r="B34" s="519" t="str">
        <f>+VLOOKUP($A34,Master!$D$29:$G$225,4,FALSE)</f>
        <v>Expenditures for Services</v>
      </c>
      <c r="C34" s="520"/>
      <c r="D34" s="520"/>
      <c r="E34" s="520"/>
      <c r="F34" s="520"/>
      <c r="G34" s="163">
        <f>'2021'!S34</f>
        <v>22088686.800000001</v>
      </c>
      <c r="H34" s="163">
        <f>'2021'!S108</f>
        <v>36107639.061700001</v>
      </c>
      <c r="I34" s="164">
        <f t="shared" si="0"/>
        <v>-14018952.261700001</v>
      </c>
      <c r="J34" s="166">
        <f t="shared" si="1"/>
        <v>-0.3882544698573257</v>
      </c>
      <c r="K34" s="163">
        <f>SUM('2020'!G34:L34)</f>
        <v>36074890.899999999</v>
      </c>
      <c r="L34" s="164">
        <f t="shared" si="7"/>
        <v>-13986204.099999998</v>
      </c>
      <c r="M34" s="166">
        <f t="shared" si="2"/>
        <v>-0.38769913785103083</v>
      </c>
      <c r="N34" s="163">
        <f>'2021'!L34</f>
        <v>3880471.86</v>
      </c>
      <c r="O34" s="163">
        <f>'2021'!L108</f>
        <v>6077559.1976999994</v>
      </c>
      <c r="P34" s="164">
        <f t="shared" si="6"/>
        <v>-2197087.3376999996</v>
      </c>
      <c r="Q34" s="166">
        <f t="shared" si="3"/>
        <v>-0.36150817560633031</v>
      </c>
      <c r="R34" s="163">
        <f>'2020'!L34</f>
        <v>5881001.1799999997</v>
      </c>
      <c r="S34" s="164">
        <f t="shared" si="4"/>
        <v>-2000529.3199999998</v>
      </c>
      <c r="T34" s="166">
        <f t="shared" si="5"/>
        <v>-0.34016815483788088</v>
      </c>
    </row>
    <row r="35" spans="1:20">
      <c r="A35" s="150">
        <v>415</v>
      </c>
      <c r="B35" s="519" t="str">
        <f>+VLOOKUP($A35,Master!$D$29:$G$225,4,FALSE)</f>
        <v>Current Maintenance</v>
      </c>
      <c r="C35" s="520"/>
      <c r="D35" s="520"/>
      <c r="E35" s="520"/>
      <c r="F35" s="520"/>
      <c r="G35" s="163">
        <f>'2021'!S35</f>
        <v>8612395.8599999994</v>
      </c>
      <c r="H35" s="163">
        <f>'2021'!S109</f>
        <v>10869674.567299999</v>
      </c>
      <c r="I35" s="164">
        <f t="shared" si="0"/>
        <v>-2257278.7072999999</v>
      </c>
      <c r="J35" s="166">
        <f t="shared" si="1"/>
        <v>-0.20766755189623887</v>
      </c>
      <c r="K35" s="163">
        <f>SUM('2020'!G35:L35)</f>
        <v>9841380.370000001</v>
      </c>
      <c r="L35" s="164">
        <f t="shared" si="7"/>
        <v>-1228984.5100000016</v>
      </c>
      <c r="M35" s="166">
        <f t="shared" si="2"/>
        <v>-0.12487928154330663</v>
      </c>
      <c r="N35" s="163">
        <f>'2021'!L35</f>
        <v>1668289.12</v>
      </c>
      <c r="O35" s="163">
        <f>'2021'!L109</f>
        <v>2098569.1472</v>
      </c>
      <c r="P35" s="164">
        <f t="shared" si="6"/>
        <v>-430280.02719999989</v>
      </c>
      <c r="Q35" s="166">
        <f t="shared" si="3"/>
        <v>-0.20503495335099997</v>
      </c>
      <c r="R35" s="163">
        <f>'2020'!L35</f>
        <v>1791066.21</v>
      </c>
      <c r="S35" s="164">
        <f t="shared" si="4"/>
        <v>-122777.08999999985</v>
      </c>
      <c r="T35" s="166">
        <f t="shared" si="5"/>
        <v>-6.8549721565011157E-2</v>
      </c>
    </row>
    <row r="36" spans="1:20">
      <c r="A36" s="150">
        <v>416</v>
      </c>
      <c r="B36" s="519" t="str">
        <f>+VLOOKUP($A36,Master!$D$29:$G$225,4,FALSE)</f>
        <v>Interests</v>
      </c>
      <c r="C36" s="520"/>
      <c r="D36" s="520"/>
      <c r="E36" s="520"/>
      <c r="F36" s="520"/>
      <c r="G36" s="163">
        <f>'2021'!S36</f>
        <v>59088525.250000007</v>
      </c>
      <c r="H36" s="163">
        <f>'2021'!S110</f>
        <v>59452168.151100017</v>
      </c>
      <c r="I36" s="164">
        <f t="shared" si="0"/>
        <v>-363642.90110000968</v>
      </c>
      <c r="J36" s="166">
        <f t="shared" si="1"/>
        <v>-6.11656248054393E-3</v>
      </c>
      <c r="K36" s="163">
        <f>SUM('2020'!G36:L36)</f>
        <v>66596400.310000002</v>
      </c>
      <c r="L36" s="164">
        <f t="shared" si="7"/>
        <v>-7507875.0599999949</v>
      </c>
      <c r="M36" s="166">
        <f t="shared" si="2"/>
        <v>-0.11273695012120089</v>
      </c>
      <c r="N36" s="163">
        <f>'2021'!L36</f>
        <v>5290054.43</v>
      </c>
      <c r="O36" s="163">
        <f>'2021'!L110</f>
        <v>5371993.0329</v>
      </c>
      <c r="P36" s="164">
        <f t="shared" si="6"/>
        <v>-81938.602900000289</v>
      </c>
      <c r="Q36" s="166">
        <f t="shared" si="3"/>
        <v>-1.525292426817737E-2</v>
      </c>
      <c r="R36" s="163">
        <f>'2020'!L36</f>
        <v>5341737.45</v>
      </c>
      <c r="S36" s="164">
        <f t="shared" si="4"/>
        <v>-51683.020000000484</v>
      </c>
      <c r="T36" s="166">
        <f t="shared" si="5"/>
        <v>-9.6753201526219579E-3</v>
      </c>
    </row>
    <row r="37" spans="1:20">
      <c r="A37" s="150">
        <v>417</v>
      </c>
      <c r="B37" s="519" t="str">
        <f>+VLOOKUP($A37,Master!$D$29:$G$225,4,FALSE)</f>
        <v>Rent</v>
      </c>
      <c r="C37" s="520"/>
      <c r="D37" s="520"/>
      <c r="E37" s="520"/>
      <c r="F37" s="520"/>
      <c r="G37" s="163">
        <f>'2021'!S37</f>
        <v>4230504.8800000008</v>
      </c>
      <c r="H37" s="163">
        <f>'2021'!S111</f>
        <v>4889021.0427000001</v>
      </c>
      <c r="I37" s="164">
        <f t="shared" si="0"/>
        <v>-658516.16269999929</v>
      </c>
      <c r="J37" s="166">
        <f t="shared" si="1"/>
        <v>-0.13469284688051342</v>
      </c>
      <c r="K37" s="163">
        <f>SUM('2020'!G37:L37)</f>
        <v>4791018.18</v>
      </c>
      <c r="L37" s="164">
        <f t="shared" si="7"/>
        <v>-560513.29999999888</v>
      </c>
      <c r="M37" s="166">
        <f t="shared" si="2"/>
        <v>-0.11699252203630728</v>
      </c>
      <c r="N37" s="163">
        <f>'2021'!L37</f>
        <v>989320.52</v>
      </c>
      <c r="O37" s="163">
        <f>'2021'!L111</f>
        <v>604609.61849999998</v>
      </c>
      <c r="P37" s="164">
        <f t="shared" si="6"/>
        <v>384710.90150000004</v>
      </c>
      <c r="Q37" s="166">
        <f t="shared" si="3"/>
        <v>0.63629636335333961</v>
      </c>
      <c r="R37" s="163">
        <f>'2020'!L37</f>
        <v>795087.54</v>
      </c>
      <c r="S37" s="164">
        <f t="shared" si="4"/>
        <v>194232.97999999998</v>
      </c>
      <c r="T37" s="166">
        <f t="shared" si="5"/>
        <v>0.24429131413630256</v>
      </c>
    </row>
    <row r="38" spans="1:20">
      <c r="A38" s="150">
        <v>418</v>
      </c>
      <c r="B38" s="519" t="str">
        <f>+VLOOKUP($A38,Master!$D$29:$G$225,4,FALSE)</f>
        <v>Subsidies</v>
      </c>
      <c r="C38" s="520"/>
      <c r="D38" s="520"/>
      <c r="E38" s="520"/>
      <c r="F38" s="520"/>
      <c r="G38" s="163">
        <f>'2021'!S38</f>
        <v>16556557.139999999</v>
      </c>
      <c r="H38" s="163">
        <f>'2021'!S112</f>
        <v>22935970.364799999</v>
      </c>
      <c r="I38" s="164">
        <f t="shared" si="0"/>
        <v>-6379413.2248</v>
      </c>
      <c r="J38" s="166">
        <f t="shared" si="1"/>
        <v>-0.27814010583962612</v>
      </c>
      <c r="K38" s="163">
        <f>SUM('2020'!G38:L38)</f>
        <v>12203377.130000001</v>
      </c>
      <c r="L38" s="164">
        <f t="shared" si="7"/>
        <v>4353180.0099999979</v>
      </c>
      <c r="M38" s="166">
        <f t="shared" si="2"/>
        <v>0.35671928873675629</v>
      </c>
      <c r="N38" s="163">
        <f>'2021'!L38</f>
        <v>4169288.28</v>
      </c>
      <c r="O38" s="163">
        <f>'2021'!L112</f>
        <v>4064450.67</v>
      </c>
      <c r="P38" s="164">
        <f t="shared" si="6"/>
        <v>104837.60999999987</v>
      </c>
      <c r="Q38" s="166">
        <f t="shared" si="3"/>
        <v>2.57937956471741E-2</v>
      </c>
      <c r="R38" s="163">
        <f>'2020'!L38</f>
        <v>2801785.17</v>
      </c>
      <c r="S38" s="164">
        <f t="shared" si="4"/>
        <v>1367503.1099999999</v>
      </c>
      <c r="T38" s="166">
        <f t="shared" si="5"/>
        <v>0.48808278544782224</v>
      </c>
    </row>
    <row r="39" spans="1:20">
      <c r="A39" s="150">
        <v>419</v>
      </c>
      <c r="B39" s="519" t="str">
        <f>+VLOOKUP($A39,Master!$D$29:$G$225,4,FALSE)</f>
        <v>Other expenditures</v>
      </c>
      <c r="C39" s="520"/>
      <c r="D39" s="520"/>
      <c r="E39" s="520"/>
      <c r="F39" s="520"/>
      <c r="G39" s="163">
        <f>'2021'!S39</f>
        <v>14622704.68</v>
      </c>
      <c r="H39" s="163">
        <f>'2021'!S113</f>
        <v>21956627.206199996</v>
      </c>
      <c r="I39" s="164">
        <f t="shared" si="0"/>
        <v>-7333922.5261999965</v>
      </c>
      <c r="J39" s="166">
        <f t="shared" si="1"/>
        <v>-0.33401862942451754</v>
      </c>
      <c r="K39" s="163">
        <f>SUM('2020'!G39:L39)</f>
        <v>22187212.129999999</v>
      </c>
      <c r="L39" s="164">
        <f t="shared" si="7"/>
        <v>-7564507.4499999993</v>
      </c>
      <c r="M39" s="166">
        <f t="shared" si="2"/>
        <v>-0.3409399705414905</v>
      </c>
      <c r="N39" s="163">
        <f>'2021'!L39</f>
        <v>2773464.89</v>
      </c>
      <c r="O39" s="163">
        <f>'2021'!L113</f>
        <v>3762340.6980000003</v>
      </c>
      <c r="P39" s="164">
        <f t="shared" si="6"/>
        <v>-988875.80800000019</v>
      </c>
      <c r="Q39" s="166">
        <f t="shared" si="3"/>
        <v>-0.26283526330448237</v>
      </c>
      <c r="R39" s="163">
        <f>'2020'!L39</f>
        <v>6472209.0199999996</v>
      </c>
      <c r="S39" s="164">
        <f t="shared" si="4"/>
        <v>-3698744.1299999994</v>
      </c>
      <c r="T39" s="166">
        <f t="shared" si="5"/>
        <v>-0.57148094546550965</v>
      </c>
    </row>
    <row r="40" spans="1:20">
      <c r="A40" s="150">
        <v>42</v>
      </c>
      <c r="B40" s="515" t="str">
        <f>+VLOOKUP($A40,Master!$D$29:$G$225,4,FALSE)</f>
        <v>Social Security Transfers</v>
      </c>
      <c r="C40" s="516"/>
      <c r="D40" s="516"/>
      <c r="E40" s="516"/>
      <c r="F40" s="516"/>
      <c r="G40" s="193">
        <f>'2021'!S40</f>
        <v>279980096.79999995</v>
      </c>
      <c r="H40" s="193">
        <f>'2021'!S114</f>
        <v>281821348.34069997</v>
      </c>
      <c r="I40" s="194">
        <f t="shared" si="0"/>
        <v>-1841251.5407000184</v>
      </c>
      <c r="J40" s="196">
        <f t="shared" si="1"/>
        <v>-6.5333997993440862E-3</v>
      </c>
      <c r="K40" s="193">
        <f>SUM('2020'!G40:L40)</f>
        <v>275480495.24399996</v>
      </c>
      <c r="L40" s="194">
        <f t="shared" si="7"/>
        <v>4499601.5559999943</v>
      </c>
      <c r="M40" s="196">
        <f t="shared" si="2"/>
        <v>1.633364842042484E-2</v>
      </c>
      <c r="N40" s="193">
        <f>'2021'!L40</f>
        <v>47719015.670000009</v>
      </c>
      <c r="O40" s="193">
        <f>'2021'!L114</f>
        <v>46644336.441699997</v>
      </c>
      <c r="P40" s="194">
        <f t="shared" si="6"/>
        <v>1074679.2283000126</v>
      </c>
      <c r="Q40" s="196">
        <f t="shared" si="3"/>
        <v>2.303986529304014E-2</v>
      </c>
      <c r="R40" s="193">
        <f>'2020'!L40</f>
        <v>45893631.064000003</v>
      </c>
      <c r="S40" s="194">
        <f t="shared" si="4"/>
        <v>1825384.6060000062</v>
      </c>
      <c r="T40" s="196">
        <f t="shared" si="5"/>
        <v>3.9774246745794661E-2</v>
      </c>
    </row>
    <row r="41" spans="1:20">
      <c r="A41" s="150">
        <v>421</v>
      </c>
      <c r="B41" s="519" t="str">
        <f>+VLOOKUP($A41,Master!$D$29:$G$225,4,FALSE)</f>
        <v>Social Security</v>
      </c>
      <c r="C41" s="520"/>
      <c r="D41" s="520"/>
      <c r="E41" s="520"/>
      <c r="F41" s="520"/>
      <c r="G41" s="163">
        <f>'2021'!S41</f>
        <v>40013765.259999998</v>
      </c>
      <c r="H41" s="163">
        <f>'2021'!S115</f>
        <v>40185440.640000001</v>
      </c>
      <c r="I41" s="164">
        <f t="shared" si="0"/>
        <v>-171675.38000000268</v>
      </c>
      <c r="J41" s="166">
        <f t="shared" si="1"/>
        <v>-4.272079073064039E-3</v>
      </c>
      <c r="K41" s="163">
        <f>SUM('2020'!G41:L41)</f>
        <v>38914988.219999999</v>
      </c>
      <c r="L41" s="164">
        <f t="shared" si="7"/>
        <v>1098777.0399999991</v>
      </c>
      <c r="M41" s="166">
        <f t="shared" si="2"/>
        <v>2.8235317296981588E-2</v>
      </c>
      <c r="N41" s="163">
        <f>'2021'!L41</f>
        <v>6972648.9400000004</v>
      </c>
      <c r="O41" s="163">
        <f>'2021'!L115</f>
        <v>6298300</v>
      </c>
      <c r="P41" s="164">
        <f t="shared" si="6"/>
        <v>674348.94000000041</v>
      </c>
      <c r="Q41" s="166">
        <f t="shared" si="3"/>
        <v>0.10706840576028465</v>
      </c>
      <c r="R41" s="163">
        <f>'2020'!L41</f>
        <v>6185136.4800000004</v>
      </c>
      <c r="S41" s="164">
        <f t="shared" si="4"/>
        <v>787512.46</v>
      </c>
      <c r="T41" s="166">
        <f t="shared" si="5"/>
        <v>0.12732337637923874</v>
      </c>
    </row>
    <row r="42" spans="1:20">
      <c r="A42" s="150">
        <v>422</v>
      </c>
      <c r="B42" s="519" t="str">
        <f>+VLOOKUP($A42,Master!$D$29:$G$225,4,FALSE)</f>
        <v>Funds for redundant labor</v>
      </c>
      <c r="C42" s="520"/>
      <c r="D42" s="520"/>
      <c r="E42" s="520"/>
      <c r="F42" s="520"/>
      <c r="G42" s="163">
        <f>'2021'!S42</f>
        <v>10151094.299999999</v>
      </c>
      <c r="H42" s="163">
        <f>'2021'!S116</f>
        <v>10572284.891999999</v>
      </c>
      <c r="I42" s="164">
        <f t="shared" si="0"/>
        <v>-421190.59200000018</v>
      </c>
      <c r="J42" s="166">
        <f t="shared" si="1"/>
        <v>-3.9839126196713925E-2</v>
      </c>
      <c r="K42" s="163">
        <f>SUM('2020'!G42:L42)</f>
        <v>7631990.9199999999</v>
      </c>
      <c r="L42" s="164">
        <f t="shared" si="7"/>
        <v>2519103.379999999</v>
      </c>
      <c r="M42" s="166">
        <f t="shared" si="2"/>
        <v>0.3300715902843343</v>
      </c>
      <c r="N42" s="163">
        <f>'2021'!L42</f>
        <v>2394445.0099999998</v>
      </c>
      <c r="O42" s="163">
        <f>'2021'!L116</f>
        <v>2209300.0836999998</v>
      </c>
      <c r="P42" s="164">
        <f t="shared" si="6"/>
        <v>185144.92629999993</v>
      </c>
      <c r="Q42" s="166">
        <f t="shared" si="3"/>
        <v>8.3802525363567026E-2</v>
      </c>
      <c r="R42" s="163">
        <f>'2020'!L42</f>
        <v>1505135.2</v>
      </c>
      <c r="S42" s="164">
        <f t="shared" si="4"/>
        <v>889309.80999999982</v>
      </c>
      <c r="T42" s="166">
        <f t="shared" si="5"/>
        <v>0.5908504498466316</v>
      </c>
    </row>
    <row r="43" spans="1:20">
      <c r="A43" s="150">
        <v>423</v>
      </c>
      <c r="B43" s="519" t="str">
        <f>+VLOOKUP($A43,Master!$D$29:$G$225,4,FALSE)</f>
        <v>Pension and Disability Insurance</v>
      </c>
      <c r="C43" s="520"/>
      <c r="D43" s="520"/>
      <c r="E43" s="520"/>
      <c r="F43" s="520"/>
      <c r="G43" s="163">
        <f>'2021'!S43</f>
        <v>216303299.15000001</v>
      </c>
      <c r="H43" s="163">
        <f>'2021'!S117</f>
        <v>216714564.36389995</v>
      </c>
      <c r="I43" s="164">
        <f t="shared" si="0"/>
        <v>-411265.21389994025</v>
      </c>
      <c r="J43" s="166">
        <f t="shared" si="1"/>
        <v>-1.8977276174634294E-3</v>
      </c>
      <c r="K43" s="163">
        <f>SUM('2020'!G43:L43)</f>
        <v>213811980.90399998</v>
      </c>
      <c r="L43" s="164">
        <f t="shared" si="7"/>
        <v>2491318.2460000217</v>
      </c>
      <c r="M43" s="166">
        <f t="shared" si="2"/>
        <v>1.1651911345036403E-2</v>
      </c>
      <c r="N43" s="163">
        <f>'2021'!L43</f>
        <v>35696766.840000004</v>
      </c>
      <c r="O43" s="163">
        <f>'2021'!L117</f>
        <v>35372543.857999995</v>
      </c>
      <c r="P43" s="164">
        <f t="shared" si="6"/>
        <v>324222.98200000823</v>
      </c>
      <c r="Q43" s="166">
        <f t="shared" si="3"/>
        <v>9.1659503851793112E-3</v>
      </c>
      <c r="R43" s="163">
        <f>'2020'!L43</f>
        <v>35558037.473999999</v>
      </c>
      <c r="S43" s="164">
        <f t="shared" si="4"/>
        <v>138729.36600000411</v>
      </c>
      <c r="T43" s="166">
        <f t="shared" si="5"/>
        <v>3.9014910792374291E-3</v>
      </c>
    </row>
    <row r="44" spans="1:20">
      <c r="A44" s="150">
        <v>424</v>
      </c>
      <c r="B44" s="519" t="str">
        <f>+VLOOKUP($A44,Master!$D$29:$G$225,4,FALSE)</f>
        <v>Other Health Care Transfers</v>
      </c>
      <c r="C44" s="520"/>
      <c r="D44" s="520"/>
      <c r="E44" s="520"/>
      <c r="F44" s="520"/>
      <c r="G44" s="163">
        <f>'2021'!S44</f>
        <v>8425594.3599999994</v>
      </c>
      <c r="H44" s="163">
        <f>'2021'!S118</f>
        <v>9086229.6173999999</v>
      </c>
      <c r="I44" s="164">
        <f t="shared" si="0"/>
        <v>-660635.25740000047</v>
      </c>
      <c r="J44" s="166">
        <f t="shared" si="1"/>
        <v>-7.2707303823237424E-2</v>
      </c>
      <c r="K44" s="163">
        <f>SUM('2020'!G44:L44)</f>
        <v>10563109.669999998</v>
      </c>
      <c r="L44" s="164">
        <f t="shared" si="7"/>
        <v>-2137515.3099999987</v>
      </c>
      <c r="M44" s="166">
        <f t="shared" si="2"/>
        <v>-0.20235663330001186</v>
      </c>
      <c r="N44" s="163">
        <f>'2021'!L44</f>
        <v>1598295.14</v>
      </c>
      <c r="O44" s="163">
        <f>'2021'!L118</f>
        <v>1757700</v>
      </c>
      <c r="P44" s="164">
        <f t="shared" si="6"/>
        <v>-159404.8600000001</v>
      </c>
      <c r="Q44" s="166">
        <f t="shared" si="3"/>
        <v>-9.0689457814189023E-2</v>
      </c>
      <c r="R44" s="163">
        <f>'2020'!L44</f>
        <v>1963797.13</v>
      </c>
      <c r="S44" s="164">
        <f t="shared" si="4"/>
        <v>-365501.99</v>
      </c>
      <c r="T44" s="166">
        <f t="shared" si="5"/>
        <v>-0.18612003471051008</v>
      </c>
    </row>
    <row r="45" spans="1:20">
      <c r="A45" s="150">
        <v>425</v>
      </c>
      <c r="B45" s="519" t="str">
        <f>+VLOOKUP($A45,Master!$D$29:$G$225,4,FALSE)</f>
        <v>Other Health Care Insurance</v>
      </c>
      <c r="C45" s="520"/>
      <c r="D45" s="520"/>
      <c r="E45" s="520"/>
      <c r="F45" s="520"/>
      <c r="G45" s="163">
        <f>'2021'!S45</f>
        <v>5086343.7300000004</v>
      </c>
      <c r="H45" s="163">
        <f>'2021'!S119</f>
        <v>5262828.8273999998</v>
      </c>
      <c r="I45" s="164">
        <f t="shared" si="0"/>
        <v>-176485.09739999939</v>
      </c>
      <c r="J45" s="166">
        <f t="shared" si="1"/>
        <v>-3.353426516195257E-2</v>
      </c>
      <c r="K45" s="163">
        <f>SUM('2020'!G45:L45)</f>
        <v>4558425.53</v>
      </c>
      <c r="L45" s="164">
        <f t="shared" si="7"/>
        <v>527918.20000000019</v>
      </c>
      <c r="M45" s="166">
        <f t="shared" si="2"/>
        <v>0.11581152231744363</v>
      </c>
      <c r="N45" s="163">
        <f>'2021'!L45</f>
        <v>1056859.74</v>
      </c>
      <c r="O45" s="163">
        <f>'2021'!L119</f>
        <v>1006492.5</v>
      </c>
      <c r="P45" s="164">
        <f t="shared" si="6"/>
        <v>50367.239999999991</v>
      </c>
      <c r="Q45" s="166">
        <f t="shared" si="3"/>
        <v>5.0042340106856154E-2</v>
      </c>
      <c r="R45" s="163">
        <f>'2020'!L45</f>
        <v>681524.78</v>
      </c>
      <c r="S45" s="164">
        <f t="shared" si="4"/>
        <v>375334.95999999996</v>
      </c>
      <c r="T45" s="166">
        <f t="shared" si="5"/>
        <v>0.55072826552249499</v>
      </c>
    </row>
    <row r="46" spans="1:20">
      <c r="A46" s="150">
        <v>43</v>
      </c>
      <c r="B46" s="517" t="str">
        <f>+VLOOKUP($A46,Master!$D$29:$G$225,4,FALSE)</f>
        <v xml:space="preserve">Transfers to Institutions, Individuals, NGO and Public Sector </v>
      </c>
      <c r="C46" s="518"/>
      <c r="D46" s="518"/>
      <c r="E46" s="518"/>
      <c r="F46" s="518"/>
      <c r="G46" s="175">
        <f>'2021'!S46</f>
        <v>118636929.27</v>
      </c>
      <c r="H46" s="175">
        <f>'2021'!S120</f>
        <v>134291475.43370003</v>
      </c>
      <c r="I46" s="176">
        <f t="shared" si="0"/>
        <v>-15654546.163700029</v>
      </c>
      <c r="J46" s="178">
        <f t="shared" si="1"/>
        <v>-0.116571406436209</v>
      </c>
      <c r="K46" s="175">
        <f>SUM('2020'!G46:L46)</f>
        <v>131225282.38</v>
      </c>
      <c r="L46" s="176">
        <f t="shared" si="7"/>
        <v>-12588353.109999999</v>
      </c>
      <c r="M46" s="178">
        <f t="shared" si="2"/>
        <v>-9.5929327654611929E-2</v>
      </c>
      <c r="N46" s="175">
        <f>'2021'!L46</f>
        <v>24268005.550000001</v>
      </c>
      <c r="O46" s="175">
        <f>'2021'!L120</f>
        <v>23341210.3836</v>
      </c>
      <c r="P46" s="176">
        <f t="shared" si="6"/>
        <v>926795.16640000045</v>
      </c>
      <c r="Q46" s="178">
        <f t="shared" si="3"/>
        <v>3.9706388450668539E-2</v>
      </c>
      <c r="R46" s="175">
        <f>'2020'!L46</f>
        <v>18901990.300000001</v>
      </c>
      <c r="S46" s="176">
        <f t="shared" si="4"/>
        <v>5366015.25</v>
      </c>
      <c r="T46" s="178">
        <f t="shared" si="5"/>
        <v>0.28388625561827729</v>
      </c>
    </row>
    <row r="47" spans="1:20">
      <c r="A47" s="150">
        <v>44</v>
      </c>
      <c r="B47" s="517" t="str">
        <f>+VLOOKUP($A47,Master!$D$29:$G$225,4,FALSE)</f>
        <v>Capital Expenditure</v>
      </c>
      <c r="C47" s="518"/>
      <c r="D47" s="518"/>
      <c r="E47" s="518"/>
      <c r="F47" s="518"/>
      <c r="G47" s="175">
        <f>'2021'!S47</f>
        <v>62491682.150000006</v>
      </c>
      <c r="H47" s="175">
        <f>'2021'!S121</f>
        <v>91116023.7544</v>
      </c>
      <c r="I47" s="176">
        <f t="shared" si="0"/>
        <v>-28624341.604399994</v>
      </c>
      <c r="J47" s="178">
        <f t="shared" si="1"/>
        <v>-0.3141526640973259</v>
      </c>
      <c r="K47" s="175">
        <f>SUM('2020'!G47:L47)</f>
        <v>84405765.219999999</v>
      </c>
      <c r="L47" s="176">
        <f t="shared" si="7"/>
        <v>-21914083.069999993</v>
      </c>
      <c r="M47" s="178">
        <f t="shared" si="2"/>
        <v>-0.25962779927273782</v>
      </c>
      <c r="N47" s="175">
        <f>'2021'!L47</f>
        <v>11935338.039999999</v>
      </c>
      <c r="O47" s="175">
        <f>'2021'!L121</f>
        <v>12505699.966799999</v>
      </c>
      <c r="P47" s="176">
        <f t="shared" si="6"/>
        <v>-570361.92679999955</v>
      </c>
      <c r="Q47" s="178">
        <f t="shared" si="3"/>
        <v>-4.5608156945568079E-2</v>
      </c>
      <c r="R47" s="175">
        <f>'2020'!L47</f>
        <v>24497607.260000002</v>
      </c>
      <c r="S47" s="176">
        <f t="shared" si="4"/>
        <v>-12562269.220000003</v>
      </c>
      <c r="T47" s="178">
        <f t="shared" si="5"/>
        <v>-0.51279576354837852</v>
      </c>
    </row>
    <row r="48" spans="1:20">
      <c r="A48" s="150">
        <v>451</v>
      </c>
      <c r="B48" s="487" t="str">
        <f>+VLOOKUP($A48,Master!$D$29:$G$225,4,FALSE)</f>
        <v>Credits and Borrowings</v>
      </c>
      <c r="C48" s="488"/>
      <c r="D48" s="488"/>
      <c r="E48" s="488"/>
      <c r="F48" s="488"/>
      <c r="G48" s="163">
        <f>'2021'!S48</f>
        <v>828780</v>
      </c>
      <c r="H48" s="163">
        <f>'2021'!S122</f>
        <v>1021281.6696000001</v>
      </c>
      <c r="I48" s="164">
        <f>G48-H48</f>
        <v>-192501.66960000014</v>
      </c>
      <c r="J48" s="282">
        <f t="shared" si="1"/>
        <v>-0.1884902817020071</v>
      </c>
      <c r="K48" s="163">
        <f>SUM('2020'!G48:L48)</f>
        <v>820494</v>
      </c>
      <c r="L48" s="279">
        <f t="shared" si="7"/>
        <v>8286</v>
      </c>
      <c r="M48" s="282">
        <f t="shared" si="2"/>
        <v>1.0098794141090606E-2</v>
      </c>
      <c r="N48" s="163">
        <f>'2021'!L48</f>
        <v>276662</v>
      </c>
      <c r="O48" s="163">
        <f>'2021'!L122</f>
        <v>253881.16740000001</v>
      </c>
      <c r="P48" s="164">
        <f t="shared" si="6"/>
        <v>22780.832599999994</v>
      </c>
      <c r="Q48" s="282">
        <f t="shared" si="3"/>
        <v>8.9730297183122198E-2</v>
      </c>
      <c r="R48" s="163">
        <f>'2020'!L48</f>
        <v>269846</v>
      </c>
      <c r="S48" s="279">
        <f t="shared" si="4"/>
        <v>6816</v>
      </c>
      <c r="T48" s="282">
        <f t="shared" si="5"/>
        <v>2.5258851344841071E-2</v>
      </c>
    </row>
    <row r="49" spans="1:23">
      <c r="A49" s="150">
        <v>47</v>
      </c>
      <c r="B49" s="487" t="str">
        <f>+VLOOKUP($A49,Master!$D$29:$G$225,4,FALSE)</f>
        <v>Reserves</v>
      </c>
      <c r="C49" s="488"/>
      <c r="D49" s="488"/>
      <c r="E49" s="488"/>
      <c r="F49" s="488"/>
      <c r="G49" s="163">
        <f>'2021'!S49</f>
        <v>49654378.669999994</v>
      </c>
      <c r="H49" s="163">
        <f>'2021'!S123</f>
        <v>52964273.220000006</v>
      </c>
      <c r="I49" s="164">
        <f t="shared" ref="I49:I50" si="8">G49-H49</f>
        <v>-3309894.5500000119</v>
      </c>
      <c r="J49" s="283">
        <f t="shared" si="1"/>
        <v>-6.2492966461591193E-2</v>
      </c>
      <c r="K49" s="163">
        <f>SUM('2020'!G49:L49)</f>
        <v>41123373.740000002</v>
      </c>
      <c r="L49" s="280">
        <f t="shared" si="7"/>
        <v>8531004.9299999923</v>
      </c>
      <c r="M49" s="283">
        <f t="shared" si="2"/>
        <v>0.20744905279262227</v>
      </c>
      <c r="N49" s="163">
        <f>'2021'!L49</f>
        <v>3382486.47</v>
      </c>
      <c r="O49" s="163">
        <f>'2021'!L123</f>
        <v>2002459.2</v>
      </c>
      <c r="P49" s="164">
        <f t="shared" si="6"/>
        <v>1380027.2700000003</v>
      </c>
      <c r="Q49" s="283">
        <f t="shared" si="3"/>
        <v>0.68916623619597361</v>
      </c>
      <c r="R49" s="163">
        <f>'2020'!L49</f>
        <v>18264699.84</v>
      </c>
      <c r="S49" s="280">
        <f t="shared" si="4"/>
        <v>-14882213.369999999</v>
      </c>
      <c r="T49" s="283">
        <f t="shared" si="5"/>
        <v>-0.81480744279233663</v>
      </c>
      <c r="W49" s="345"/>
    </row>
    <row r="50" spans="1:23" ht="15.75" thickBot="1">
      <c r="A50" s="150">
        <v>462</v>
      </c>
      <c r="B50" s="505" t="str">
        <f>+VLOOKUP($A50,Master!$D$29:$G$225,4,FALSE)</f>
        <v>Repayment of Guarantees</v>
      </c>
      <c r="C50" s="506"/>
      <c r="D50" s="506"/>
      <c r="E50" s="506"/>
      <c r="F50" s="506"/>
      <c r="G50" s="163">
        <f>'2021'!S50</f>
        <v>3831496.4</v>
      </c>
      <c r="H50" s="163">
        <f>'2021'!S124</f>
        <v>3876366.14</v>
      </c>
      <c r="I50" s="164">
        <f t="shared" si="8"/>
        <v>-44869.740000000224</v>
      </c>
      <c r="J50" s="284">
        <f t="shared" si="1"/>
        <v>-1.157520687661362E-2</v>
      </c>
      <c r="K50" s="163">
        <f>SUM('2020'!G50:L50)</f>
        <v>0</v>
      </c>
      <c r="L50" s="280">
        <f t="shared" si="7"/>
        <v>3831496.4</v>
      </c>
      <c r="M50" s="284" t="str">
        <f t="shared" si="2"/>
        <v>...</v>
      </c>
      <c r="N50" s="163">
        <f>'2021'!L50</f>
        <v>0</v>
      </c>
      <c r="O50" s="163">
        <f>'2021'!L124</f>
        <v>0</v>
      </c>
      <c r="P50" s="164">
        <f t="shared" si="6"/>
        <v>0</v>
      </c>
      <c r="Q50" s="284" t="str">
        <f t="shared" si="3"/>
        <v>...</v>
      </c>
      <c r="R50" s="163">
        <f>'2020'!L50</f>
        <v>0</v>
      </c>
      <c r="S50" s="280">
        <f t="shared" si="4"/>
        <v>0</v>
      </c>
      <c r="T50" s="284" t="str">
        <f t="shared" si="5"/>
        <v>...</v>
      </c>
    </row>
    <row r="51" spans="1:23" ht="15" customHeight="1" thickBot="1">
      <c r="A51" s="144">
        <v>4630</v>
      </c>
      <c r="B51" s="505" t="str">
        <f>+VLOOKUP($A51,Master!$D$29:$G$225,4,FALSE)</f>
        <v>Repayments of liabilities form the previous period</v>
      </c>
      <c r="C51" s="506"/>
      <c r="D51" s="506"/>
      <c r="E51" s="506"/>
      <c r="F51" s="506"/>
      <c r="G51" s="314">
        <f>'2021'!S51</f>
        <v>17948772.5</v>
      </c>
      <c r="H51" s="314">
        <f>'2021'!S125</f>
        <v>14893469.980199976</v>
      </c>
      <c r="I51" s="281">
        <f>G51-H51</f>
        <v>3055302.5198000241</v>
      </c>
      <c r="J51" s="285">
        <f t="shared" si="1"/>
        <v>0.20514376594990114</v>
      </c>
      <c r="K51" s="314">
        <f>SUM('2020'!G51:L51)</f>
        <v>8773220.9299999997</v>
      </c>
      <c r="L51" s="287">
        <f t="shared" si="7"/>
        <v>9175551.5700000003</v>
      </c>
      <c r="M51" s="285">
        <f t="shared" si="2"/>
        <v>1.0458589431646743</v>
      </c>
      <c r="N51" s="314">
        <f>'2021'!L51</f>
        <v>1293176.52</v>
      </c>
      <c r="O51" s="314">
        <f>'2021'!L125</f>
        <v>2652186.2894999958</v>
      </c>
      <c r="P51" s="281">
        <f>N51-O51</f>
        <v>-1359009.7694999957</v>
      </c>
      <c r="Q51" s="285">
        <f t="shared" si="3"/>
        <v>-0.51241112846420878</v>
      </c>
      <c r="R51" s="314">
        <f>'2020'!L51</f>
        <v>2100790.54</v>
      </c>
      <c r="S51" s="287">
        <f>+N51-R51</f>
        <v>-807614.02</v>
      </c>
      <c r="T51" s="285">
        <f t="shared" si="5"/>
        <v>-0.38443338572916463</v>
      </c>
    </row>
    <row r="52" spans="1:23" ht="15.75" thickBot="1">
      <c r="A52" s="144">
        <v>1005</v>
      </c>
      <c r="B52" s="505" t="str">
        <f>+VLOOKUP($A52,Master!$D$29:$G$227,4,FALSE)</f>
        <v>Net increase of liabilities</v>
      </c>
      <c r="C52" s="506"/>
      <c r="D52" s="506"/>
      <c r="E52" s="506"/>
      <c r="F52" s="506"/>
      <c r="G52" s="163">
        <f>'2021'!S52</f>
        <v>0</v>
      </c>
      <c r="H52" s="163">
        <f>'2021'!S126</f>
        <v>0</v>
      </c>
      <c r="I52" s="281">
        <f>G52-H52</f>
        <v>0</v>
      </c>
      <c r="J52" s="285" t="str">
        <f t="shared" si="1"/>
        <v>...</v>
      </c>
      <c r="K52" s="163">
        <f>SUM('2020'!G52:L52)</f>
        <v>0</v>
      </c>
      <c r="L52" s="287">
        <f t="shared" si="7"/>
        <v>0</v>
      </c>
      <c r="M52" s="285" t="str">
        <f t="shared" si="2"/>
        <v>...</v>
      </c>
      <c r="N52" s="163">
        <f>'2021'!L52</f>
        <v>0</v>
      </c>
      <c r="O52" s="163">
        <f>'2021'!L126</f>
        <v>0</v>
      </c>
      <c r="P52" s="281">
        <f>N52-O52</f>
        <v>0</v>
      </c>
      <c r="Q52" s="285" t="str">
        <f t="shared" si="3"/>
        <v>...</v>
      </c>
      <c r="R52" s="163">
        <f>'2020'!L52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11" t="str">
        <f>+VLOOKUP($A53,Master!$D$29:$G$225,4,FALSE)</f>
        <v>Surplus / deficit</v>
      </c>
      <c r="C53" s="512"/>
      <c r="D53" s="512"/>
      <c r="E53" s="512"/>
      <c r="F53" s="512"/>
      <c r="G53" s="151">
        <f>'2021'!S53</f>
        <v>-160625393.54000002</v>
      </c>
      <c r="H53" s="151">
        <f>'2021'!S127</f>
        <v>-260918688.21902093</v>
      </c>
      <c r="I53" s="321">
        <f>+G53-H53</f>
        <v>100293294.67902091</v>
      </c>
      <c r="J53" s="286">
        <f t="shared" si="1"/>
        <v>-0.38438524800045171</v>
      </c>
      <c r="K53" s="151">
        <f>SUM('2020'!G53:L53)</f>
        <v>-214355797.96399999</v>
      </c>
      <c r="L53" s="288">
        <f t="shared" si="7"/>
        <v>53730404.423999965</v>
      </c>
      <c r="M53" s="286">
        <f t="shared" si="2"/>
        <v>-0.25065990719329045</v>
      </c>
      <c r="N53" s="151">
        <f>'2021'!L53</f>
        <v>2974124.2399999797</v>
      </c>
      <c r="O53" s="151">
        <f>'2021'!L127</f>
        <v>-16259888.638972968</v>
      </c>
      <c r="P53" s="321">
        <f>N53-O53</f>
        <v>19234012.878972948</v>
      </c>
      <c r="Q53" s="286">
        <f t="shared" si="3"/>
        <v>-1.1829117225853176</v>
      </c>
      <c r="R53" s="151">
        <f>'2020'!L53</f>
        <v>-47248347.783999994</v>
      </c>
      <c r="S53" s="288">
        <f t="shared" si="4"/>
        <v>50222472.023999974</v>
      </c>
      <c r="T53" s="286">
        <f t="shared" si="5"/>
        <v>-1.0629466294482179</v>
      </c>
    </row>
    <row r="54" spans="1:23" ht="15.75" thickBot="1">
      <c r="A54" s="144">
        <v>1001</v>
      </c>
      <c r="B54" s="513" t="str">
        <f>+VLOOKUP($A54,Master!$D$29:$G$225,4,FALSE)</f>
        <v>Primary surplus/deficit</v>
      </c>
      <c r="C54" s="514"/>
      <c r="D54" s="514"/>
      <c r="E54" s="514"/>
      <c r="F54" s="514"/>
      <c r="G54" s="151">
        <f>'2021'!S54</f>
        <v>-101536868.28999999</v>
      </c>
      <c r="H54" s="151">
        <f>'2021'!S128</f>
        <v>-201466520.06792092</v>
      </c>
      <c r="I54" s="206">
        <f t="shared" si="0"/>
        <v>99929651.777920932</v>
      </c>
      <c r="J54" s="208">
        <f t="shared" si="1"/>
        <v>-0.49601120694511125</v>
      </c>
      <c r="K54" s="151">
        <f>SUM('2020'!G54:L54)</f>
        <v>-147759397.65399998</v>
      </c>
      <c r="L54" s="206">
        <f t="shared" si="7"/>
        <v>46222529.363999993</v>
      </c>
      <c r="M54" s="208">
        <f t="shared" si="2"/>
        <v>-0.31282294119956233</v>
      </c>
      <c r="N54" s="151">
        <f>'2021'!L54</f>
        <v>8264178.6699999794</v>
      </c>
      <c r="O54" s="151">
        <f>'2021'!L128</f>
        <v>-10887895.606072968</v>
      </c>
      <c r="P54" s="206">
        <f t="shared" si="6"/>
        <v>19152074.276072949</v>
      </c>
      <c r="Q54" s="208">
        <f t="shared" si="3"/>
        <v>-1.7590244220738531</v>
      </c>
      <c r="R54" s="151">
        <f>'2020'!L54</f>
        <v>-41906610.333999991</v>
      </c>
      <c r="S54" s="206">
        <f t="shared" si="4"/>
        <v>50170789.003999971</v>
      </c>
      <c r="T54" s="208">
        <f t="shared" si="5"/>
        <v>-1.1972046558796721</v>
      </c>
    </row>
    <row r="55" spans="1:23">
      <c r="A55" s="144">
        <v>46</v>
      </c>
      <c r="B55" s="515" t="str">
        <f>+VLOOKUP($A55,Master!$D$29:$G$225,4,FALSE)</f>
        <v>Repayment of Debt</v>
      </c>
      <c r="C55" s="516"/>
      <c r="D55" s="516"/>
      <c r="E55" s="516"/>
      <c r="F55" s="516"/>
      <c r="G55" s="157">
        <f>'2021'!S55</f>
        <v>350558736.19000006</v>
      </c>
      <c r="H55" s="157">
        <f>'2021'!S129</f>
        <v>369236550.82999998</v>
      </c>
      <c r="I55" s="194">
        <f t="shared" si="0"/>
        <v>-18677814.639999926</v>
      </c>
      <c r="J55" s="196">
        <f t="shared" si="1"/>
        <v>-5.0584955898906547E-2</v>
      </c>
      <c r="K55" s="157">
        <f>SUM('2020'!G55:L55)</f>
        <v>462607520.80999994</v>
      </c>
      <c r="L55" s="194">
        <f t="shared" si="7"/>
        <v>-112048784.61999989</v>
      </c>
      <c r="M55" s="196">
        <f t="shared" si="2"/>
        <v>-0.24221133375395354</v>
      </c>
      <c r="N55" s="157">
        <f>'2021'!L55</f>
        <v>15052883.600000001</v>
      </c>
      <c r="O55" s="157">
        <f>'2021'!L129</f>
        <v>19460021.140000001</v>
      </c>
      <c r="P55" s="194">
        <f t="shared" si="6"/>
        <v>-4407137.5399999991</v>
      </c>
      <c r="Q55" s="196">
        <f t="shared" si="3"/>
        <v>-0.22647136446019289</v>
      </c>
      <c r="R55" s="157">
        <f>'2020'!L55</f>
        <v>12046882.029999999</v>
      </c>
      <c r="S55" s="194">
        <f t="shared" si="4"/>
        <v>3006001.5700000022</v>
      </c>
      <c r="T55" s="196">
        <f t="shared" si="5"/>
        <v>0.24952527654161827</v>
      </c>
    </row>
    <row r="56" spans="1:23">
      <c r="A56" s="144">
        <v>4611</v>
      </c>
      <c r="B56" s="503" t="str">
        <f>+VLOOKUP($A56,Master!$D$29:$G$225,4,FALSE)</f>
        <v>Repayment of Domestic Debt</v>
      </c>
      <c r="C56" s="504"/>
      <c r="D56" s="504"/>
      <c r="E56" s="504"/>
      <c r="F56" s="504"/>
      <c r="G56" s="163">
        <f>'2021'!S56</f>
        <v>65871478.150000006</v>
      </c>
      <c r="H56" s="163">
        <f>'2021'!S130</f>
        <v>71274824.340000004</v>
      </c>
      <c r="I56" s="212">
        <f t="shared" si="0"/>
        <v>-5403346.1899999976</v>
      </c>
      <c r="J56" s="214">
        <f t="shared" si="1"/>
        <v>-7.581002464803821E-2</v>
      </c>
      <c r="K56" s="163">
        <f>SUM('2020'!G56:L56)</f>
        <v>85340641.379999995</v>
      </c>
      <c r="L56" s="212">
        <f t="shared" si="7"/>
        <v>-19469163.229999989</v>
      </c>
      <c r="M56" s="214">
        <f t="shared" si="2"/>
        <v>-0.22813471887689241</v>
      </c>
      <c r="N56" s="163">
        <f>'2021'!L56</f>
        <v>3255507.63</v>
      </c>
      <c r="O56" s="163">
        <f>'2021'!L130</f>
        <v>8658853.8200000003</v>
      </c>
      <c r="P56" s="212">
        <f t="shared" si="6"/>
        <v>-5403346.1900000004</v>
      </c>
      <c r="Q56" s="214">
        <f t="shared" si="3"/>
        <v>-0.62402556993392</v>
      </c>
      <c r="R56" s="163">
        <f>'2020'!L56</f>
        <v>2108350.36</v>
      </c>
      <c r="S56" s="212">
        <f t="shared" si="4"/>
        <v>1147157.27</v>
      </c>
      <c r="T56" s="214">
        <f t="shared" si="5"/>
        <v>0.54410182091367409</v>
      </c>
    </row>
    <row r="57" spans="1:23">
      <c r="A57" s="144">
        <v>4612</v>
      </c>
      <c r="B57" s="487" t="str">
        <f>+VLOOKUP($A57,Master!$D$29:$G$225,4,FALSE)</f>
        <v>Repayment of Foreign Debt</v>
      </c>
      <c r="C57" s="488"/>
      <c r="D57" s="488"/>
      <c r="E57" s="488"/>
      <c r="F57" s="488"/>
      <c r="G57" s="163">
        <f>'2021'!S57</f>
        <v>284687258.04000002</v>
      </c>
      <c r="H57" s="163">
        <f>'2021'!S131</f>
        <v>297961726.48999995</v>
      </c>
      <c r="I57" s="212">
        <f t="shared" si="0"/>
        <v>-13274468.449999928</v>
      </c>
      <c r="J57" s="214">
        <f t="shared" si="1"/>
        <v>-4.4550918020155317E-2</v>
      </c>
      <c r="K57" s="163">
        <f>SUM('2020'!G57:L57)</f>
        <v>377266879.43000001</v>
      </c>
      <c r="L57" s="212">
        <f t="shared" si="7"/>
        <v>-92579621.389999986</v>
      </c>
      <c r="M57" s="214">
        <f t="shared" si="2"/>
        <v>-0.24539557124621025</v>
      </c>
      <c r="N57" s="163">
        <f>'2021'!L57</f>
        <v>11797375.970000001</v>
      </c>
      <c r="O57" s="163">
        <f>'2021'!L131</f>
        <v>10801167.32</v>
      </c>
      <c r="P57" s="212">
        <f t="shared" si="6"/>
        <v>996208.65000000037</v>
      </c>
      <c r="Q57" s="214">
        <f t="shared" si="3"/>
        <v>9.2231572800040684E-2</v>
      </c>
      <c r="R57" s="163">
        <f>'2020'!L57</f>
        <v>9938531.6699999999</v>
      </c>
      <c r="S57" s="212">
        <f t="shared" si="4"/>
        <v>1858844.3000000007</v>
      </c>
      <c r="T57" s="214">
        <f t="shared" si="5"/>
        <v>0.18703409736178878</v>
      </c>
    </row>
    <row r="58" spans="1:23" ht="15.75" thickBot="1">
      <c r="A58" s="144">
        <v>4418</v>
      </c>
      <c r="B58" s="515" t="str">
        <f>+VLOOKUP($A58,Master!$D$29:$G$225,4,FALSE)</f>
        <v>Capital Expenditure for Securities</v>
      </c>
      <c r="C58" s="516"/>
      <c r="D58" s="516"/>
      <c r="E58" s="516"/>
      <c r="F58" s="516"/>
      <c r="G58" s="336">
        <f>'2021'!S58</f>
        <v>0</v>
      </c>
      <c r="H58" s="336">
        <f>'2021'!S132</f>
        <v>563568</v>
      </c>
      <c r="I58" s="337">
        <f t="shared" ref="I58:I64" si="9">+G58-H58</f>
        <v>-563568</v>
      </c>
      <c r="J58" s="338">
        <f t="shared" si="1"/>
        <v>-1</v>
      </c>
      <c r="K58" s="336">
        <f>SUM('2020'!G58:L58)</f>
        <v>0</v>
      </c>
      <c r="L58" s="337">
        <f t="shared" ref="L58:L64" si="10">+G58-K58</f>
        <v>0</v>
      </c>
      <c r="M58" s="338" t="str">
        <f t="shared" si="2"/>
        <v>...</v>
      </c>
      <c r="N58" s="336">
        <f>'2021'!L58</f>
        <v>0</v>
      </c>
      <c r="O58" s="336">
        <f>'2021'!L132</f>
        <v>13392</v>
      </c>
      <c r="P58" s="337">
        <f t="shared" ref="P58:P64" si="11">+N58-O58</f>
        <v>-13392</v>
      </c>
      <c r="Q58" s="338">
        <f t="shared" si="3"/>
        <v>-1</v>
      </c>
      <c r="R58" s="336">
        <f>'2020'!L58</f>
        <v>0</v>
      </c>
      <c r="S58" s="337">
        <f t="shared" ref="S58:S64" si="12">+N58-R58</f>
        <v>0</v>
      </c>
      <c r="T58" s="338" t="str">
        <f t="shared" si="5"/>
        <v>...</v>
      </c>
    </row>
    <row r="59" spans="1:23" ht="15.75" thickBot="1">
      <c r="A59" s="144">
        <v>1002</v>
      </c>
      <c r="B59" s="507" t="str">
        <f>+VLOOKUP($A59,Master!$D$29:$G$225,4,FALSE)</f>
        <v>Financing needs</v>
      </c>
      <c r="C59" s="508"/>
      <c r="D59" s="508"/>
      <c r="E59" s="508"/>
      <c r="F59" s="508"/>
      <c r="G59" s="320">
        <f>'2021'!S59</f>
        <v>-511184129.73000008</v>
      </c>
      <c r="H59" s="320">
        <f>'2021'!S133</f>
        <v>-630718807.04902101</v>
      </c>
      <c r="I59" s="322">
        <f t="shared" si="9"/>
        <v>119534677.31902093</v>
      </c>
      <c r="J59" s="323">
        <f t="shared" si="1"/>
        <v>-0.18952134609445759</v>
      </c>
      <c r="K59" s="320">
        <f>SUM('2020'!G59:L59)</f>
        <v>-676963318.77400005</v>
      </c>
      <c r="L59" s="322">
        <f t="shared" si="10"/>
        <v>165779189.04399997</v>
      </c>
      <c r="M59" s="323">
        <f t="shared" si="2"/>
        <v>-0.24488651666419803</v>
      </c>
      <c r="N59" s="320">
        <f>'2021'!L59</f>
        <v>-12078759.360000022</v>
      </c>
      <c r="O59" s="320">
        <f>'2021'!L133</f>
        <v>-35733301.778972968</v>
      </c>
      <c r="P59" s="322">
        <f t="shared" si="11"/>
        <v>23654542.418972947</v>
      </c>
      <c r="Q59" s="323">
        <f t="shared" si="3"/>
        <v>-0.66197471941684127</v>
      </c>
      <c r="R59" s="320">
        <f>'2020'!L59</f>
        <v>-59295229.813999996</v>
      </c>
      <c r="S59" s="322">
        <f t="shared" si="12"/>
        <v>47216470.453999974</v>
      </c>
      <c r="T59" s="323">
        <f t="shared" si="5"/>
        <v>-0.79629458562030653</v>
      </c>
    </row>
    <row r="60" spans="1:23" ht="15.75" thickBot="1">
      <c r="A60" s="144">
        <v>1003</v>
      </c>
      <c r="B60" s="509" t="str">
        <f>+VLOOKUP($A60,Master!$D$29:$G$225,4,FALSE)</f>
        <v>Financing</v>
      </c>
      <c r="C60" s="510"/>
      <c r="D60" s="510"/>
      <c r="E60" s="510"/>
      <c r="F60" s="510"/>
      <c r="G60" s="151">
        <f>'2021'!S60</f>
        <v>511184129.73000008</v>
      </c>
      <c r="H60" s="151">
        <f>'2021'!S134</f>
        <v>630718807.04902101</v>
      </c>
      <c r="I60" s="321">
        <f t="shared" si="9"/>
        <v>-119534677.31902093</v>
      </c>
      <c r="J60" s="324">
        <f t="shared" si="1"/>
        <v>-0.18952134609445759</v>
      </c>
      <c r="K60" s="151">
        <f>SUM('2020'!G60:L60)</f>
        <v>676963318.77400005</v>
      </c>
      <c r="L60" s="321">
        <f t="shared" si="10"/>
        <v>-165779189.04399997</v>
      </c>
      <c r="M60" s="324">
        <f t="shared" si="2"/>
        <v>-0.24488651666419803</v>
      </c>
      <c r="N60" s="151">
        <f>'2021'!L60</f>
        <v>12078759.360000022</v>
      </c>
      <c r="O60" s="151">
        <f>'2021'!L134</f>
        <v>35733301.778972968</v>
      </c>
      <c r="P60" s="321">
        <f t="shared" si="11"/>
        <v>-23654542.418972947</v>
      </c>
      <c r="Q60" s="324">
        <f t="shared" si="3"/>
        <v>-0.66197471941684127</v>
      </c>
      <c r="R60" s="151">
        <f>'2020'!L60</f>
        <v>59295229.813999996</v>
      </c>
      <c r="S60" s="321">
        <f t="shared" si="12"/>
        <v>-47216470.453999974</v>
      </c>
      <c r="T60" s="324">
        <f t="shared" si="5"/>
        <v>-0.79629458562030653</v>
      </c>
    </row>
    <row r="61" spans="1:23">
      <c r="A61" s="144">
        <v>7511</v>
      </c>
      <c r="B61" s="503" t="str">
        <f>+VLOOKUP($A61,Master!$D$29:$G$225,4,FALSE)</f>
        <v>Domestic Loans and Borrowings</v>
      </c>
      <c r="C61" s="504"/>
      <c r="D61" s="504"/>
      <c r="E61" s="504"/>
      <c r="F61" s="504"/>
      <c r="G61" s="484">
        <f>'2021'!S61</f>
        <v>0</v>
      </c>
      <c r="H61" s="163">
        <f>'2021'!S135</f>
        <v>0</v>
      </c>
      <c r="I61" s="212">
        <f t="shared" si="9"/>
        <v>0</v>
      </c>
      <c r="J61" s="214" t="str">
        <f t="shared" si="1"/>
        <v>...</v>
      </c>
      <c r="K61" s="212">
        <f>SUM('2020'!G61:L61)</f>
        <v>67832059.129999995</v>
      </c>
      <c r="L61" s="212">
        <f t="shared" si="10"/>
        <v>-67832059.129999995</v>
      </c>
      <c r="M61" s="214">
        <f t="shared" si="2"/>
        <v>-1</v>
      </c>
      <c r="N61" s="163">
        <f>'2021'!L61</f>
        <v>0</v>
      </c>
      <c r="O61" s="163">
        <f>'2021'!L135</f>
        <v>0</v>
      </c>
      <c r="P61" s="212">
        <f t="shared" si="11"/>
        <v>0</v>
      </c>
      <c r="Q61" s="214" t="str">
        <f t="shared" si="3"/>
        <v>...</v>
      </c>
      <c r="R61" s="163">
        <f>'2020'!L61</f>
        <v>0</v>
      </c>
      <c r="S61" s="212">
        <f t="shared" si="12"/>
        <v>0</v>
      </c>
      <c r="T61" s="214" t="str">
        <f t="shared" si="5"/>
        <v>...</v>
      </c>
    </row>
    <row r="62" spans="1:23">
      <c r="A62" s="144">
        <v>7512</v>
      </c>
      <c r="B62" s="487" t="str">
        <f>+VLOOKUP($A62,Master!$D$29:$G$225,4,FALSE)</f>
        <v>Foreign Loans and Borrowings</v>
      </c>
      <c r="C62" s="488"/>
      <c r="D62" s="488"/>
      <c r="E62" s="488"/>
      <c r="F62" s="488"/>
      <c r="G62" s="163">
        <f>'2021'!S62</f>
        <v>57496710.409999996</v>
      </c>
      <c r="H62" s="163">
        <f>'2021'!S136</f>
        <v>51600000</v>
      </c>
      <c r="I62" s="212">
        <f t="shared" si="9"/>
        <v>5896710.4099999964</v>
      </c>
      <c r="J62" s="214">
        <f t="shared" si="1"/>
        <v>0.11427733352713165</v>
      </c>
      <c r="K62" s="163">
        <f>SUM('2020'!G62:L62)</f>
        <v>343761107.31999999</v>
      </c>
      <c r="L62" s="212">
        <f t="shared" si="10"/>
        <v>-286264396.90999997</v>
      </c>
      <c r="M62" s="214">
        <f t="shared" si="2"/>
        <v>-0.83274224691021392</v>
      </c>
      <c r="N62" s="163">
        <f>'2021'!L62</f>
        <v>32783536.34</v>
      </c>
      <c r="O62" s="163">
        <f>'2021'!L136</f>
        <v>33000000</v>
      </c>
      <c r="P62" s="212">
        <f t="shared" si="11"/>
        <v>-216463.66000000015</v>
      </c>
      <c r="Q62" s="214">
        <f t="shared" si="3"/>
        <v>-6.5595048484848872E-3</v>
      </c>
      <c r="R62" s="163">
        <f>'2020'!L62</f>
        <v>83297964.459999993</v>
      </c>
      <c r="S62" s="212">
        <f t="shared" si="12"/>
        <v>-50514428.11999999</v>
      </c>
      <c r="T62" s="214">
        <f t="shared" si="5"/>
        <v>-0.60643052261207675</v>
      </c>
    </row>
    <row r="63" spans="1:23">
      <c r="A63" s="144">
        <v>72</v>
      </c>
      <c r="B63" s="487" t="str">
        <f>+VLOOKUP($A63,Master!$D$29:$G$225,4,FALSE)</f>
        <v>Revenues from Selling Assets</v>
      </c>
      <c r="C63" s="488"/>
      <c r="D63" s="488"/>
      <c r="E63" s="488"/>
      <c r="F63" s="488"/>
      <c r="G63" s="163">
        <f>'2021'!S63</f>
        <v>669564.07000000007</v>
      </c>
      <c r="H63" s="163">
        <f>'2021'!S137</f>
        <v>802782.51</v>
      </c>
      <c r="I63" s="212">
        <f t="shared" si="9"/>
        <v>-133218.43999999994</v>
      </c>
      <c r="J63" s="214">
        <f t="shared" si="1"/>
        <v>-0.16594586745543316</v>
      </c>
      <c r="K63" s="163">
        <f>SUM('2020'!G63:L63)</f>
        <v>1786909.7100000002</v>
      </c>
      <c r="L63" s="212">
        <f t="shared" si="10"/>
        <v>-1117345.6400000001</v>
      </c>
      <c r="M63" s="214">
        <f t="shared" si="2"/>
        <v>-0.62529496244105132</v>
      </c>
      <c r="N63" s="163">
        <f>'2021'!L63</f>
        <v>216679.2</v>
      </c>
      <c r="O63" s="163">
        <f>'2021'!L137</f>
        <v>300000</v>
      </c>
      <c r="P63" s="212">
        <f t="shared" si="11"/>
        <v>-83320.799999999988</v>
      </c>
      <c r="Q63" s="214">
        <f t="shared" si="3"/>
        <v>-0.27773599999999998</v>
      </c>
      <c r="R63" s="163">
        <f>'2020'!L63</f>
        <v>213993.31</v>
      </c>
      <c r="S63" s="212">
        <f t="shared" si="12"/>
        <v>2685.890000000014</v>
      </c>
      <c r="T63" s="214">
        <f t="shared" si="5"/>
        <v>1.2551280224601502E-2</v>
      </c>
    </row>
    <row r="64" spans="1:23" ht="15.7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318">
        <f>'2021'!S64</f>
        <v>453017855.25</v>
      </c>
      <c r="H64" s="318">
        <f>'2021'!S138</f>
        <v>578316024.53902102</v>
      </c>
      <c r="I64" s="226">
        <f t="shared" si="9"/>
        <v>-125298169.28902102</v>
      </c>
      <c r="J64" s="228">
        <f t="shared" si="1"/>
        <v>-0.21666037939878446</v>
      </c>
      <c r="K64" s="318">
        <f>SUM('2020'!G64:L64)</f>
        <v>263583242.61399993</v>
      </c>
      <c r="L64" s="226">
        <f t="shared" si="10"/>
        <v>189434612.63600007</v>
      </c>
      <c r="M64" s="228">
        <f t="shared" si="2"/>
        <v>0.71868989377831727</v>
      </c>
      <c r="N64" s="318">
        <f>'2021'!L64</f>
        <v>-20921456.179999977</v>
      </c>
      <c r="O64" s="318">
        <f>'2021'!L138</f>
        <v>2433301.7789729685</v>
      </c>
      <c r="P64" s="226">
        <f t="shared" si="11"/>
        <v>-23354757.958972946</v>
      </c>
      <c r="Q64" s="228">
        <f t="shared" si="3"/>
        <v>-9.5979701986780963</v>
      </c>
      <c r="R64" s="318">
        <f>'2020'!L64</f>
        <v>-24216727.956</v>
      </c>
      <c r="S64" s="226">
        <f t="shared" si="12"/>
        <v>3295271.7760000229</v>
      </c>
      <c r="T64" s="228">
        <f t="shared" si="5"/>
        <v>-0.13607419557205613</v>
      </c>
    </row>
    <row r="66" spans="7:18">
      <c r="G66" s="5"/>
      <c r="H66" s="315"/>
    </row>
    <row r="67" spans="7:18">
      <c r="H67" s="290"/>
    </row>
    <row r="69" spans="7:18">
      <c r="R69" s="346"/>
    </row>
  </sheetData>
  <sheetProtection algorithmName="SHA-512" hashValue="McIT3jzPrUC6D4jopd0h4qhl1Pl5bdiG3pLANM3k7sUkTk39gyDkXSxywxTBYGScvyYxNq6T4uucBipX9v4FbQ==" saltValue="yuephNIXwpYvtrjAWZ7Vdw==" spinCount="100000" sheet="1" objects="1" scenarios="1"/>
  <mergeCells count="61"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11811023622047245" right="0.11811023622047245" top="0.19685039370078741" bottom="0.19685039370078741" header="0.31496062992125984" footer="0.31496062992125984"/>
  <pageSetup paperSize="9" scale="6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38"/>
  <sheetViews>
    <sheetView zoomScaleNormal="100" workbookViewId="0">
      <pane ySplit="1" topLeftCell="A2" activePane="bottomLeft" state="frozen"/>
      <selection pane="bottomLeft" activeCell="G10" sqref="G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Montenegro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Ministry of Finance and social welfare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Directorate for State Budget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590" t="str">
        <f>+Master!G251</f>
        <v>Budget Execution</v>
      </c>
      <c r="C7" s="490"/>
      <c r="D7" s="490"/>
      <c r="E7" s="490"/>
      <c r="F7" s="490"/>
      <c r="G7" s="498">
        <v>2021</v>
      </c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502"/>
      <c r="S7" s="235" t="str">
        <f>+Master!G248</f>
        <v>GDP</v>
      </c>
      <c r="T7" s="236">
        <v>4636600000</v>
      </c>
    </row>
    <row r="8" spans="1:20" ht="16.5" customHeight="1">
      <c r="A8" s="144"/>
      <c r="B8" s="491"/>
      <c r="C8" s="492"/>
      <c r="D8" s="492"/>
      <c r="E8" s="492"/>
      <c r="F8" s="493"/>
      <c r="G8" s="145" t="str">
        <f>+Master!G231</f>
        <v>January</v>
      </c>
      <c r="H8" s="145" t="str">
        <f>+Master!G232</f>
        <v>February</v>
      </c>
      <c r="I8" s="145" t="str">
        <f>+Master!G233</f>
        <v>March</v>
      </c>
      <c r="J8" s="145" t="str">
        <f>+Master!G234</f>
        <v>April</v>
      </c>
      <c r="K8" s="145" t="str">
        <f>+Master!G235</f>
        <v>May</v>
      </c>
      <c r="L8" s="145" t="str">
        <f>+Master!G236</f>
        <v>June</v>
      </c>
      <c r="M8" s="145" t="str">
        <f>+Master!G237</f>
        <v>July</v>
      </c>
      <c r="N8" s="145" t="str">
        <f>+Master!G238</f>
        <v>August</v>
      </c>
      <c r="O8" s="145" t="str">
        <f>+Master!G239</f>
        <v>September</v>
      </c>
      <c r="P8" s="145" t="str">
        <f>+Master!G240</f>
        <v>October</v>
      </c>
      <c r="Q8" s="145" t="str">
        <f>+Master!G241</f>
        <v>November</v>
      </c>
      <c r="R8" s="145" t="str">
        <f>+Master!G242</f>
        <v>December</v>
      </c>
      <c r="S8" s="498" t="str">
        <f>+Master!G246</f>
        <v>Jan - Dec</v>
      </c>
      <c r="T8" s="502"/>
    </row>
    <row r="9" spans="1:20" ht="13.5" thickBot="1">
      <c r="A9" s="144"/>
      <c r="B9" s="494"/>
      <c r="C9" s="495"/>
      <c r="D9" s="495"/>
      <c r="E9" s="495"/>
      <c r="F9" s="49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GDP</v>
      </c>
    </row>
    <row r="10" spans="1:20" ht="13.5" thickBot="1">
      <c r="A10" s="150">
        <v>7</v>
      </c>
      <c r="B10" s="531" t="str">
        <f>+VLOOKUP($A10,Master!$D$29:$G$225,4,FALSE)</f>
        <v>Total Revenues</v>
      </c>
      <c r="C10" s="532"/>
      <c r="D10" s="532"/>
      <c r="E10" s="532"/>
      <c r="F10" s="532"/>
      <c r="G10" s="151">
        <f>+G11+G19+SUM(G24:G28)</f>
        <v>88645433.320000008</v>
      </c>
      <c r="H10" s="151">
        <f t="shared" ref="H10:R10" si="1">+H11+H19+SUM(H24:H28)</f>
        <v>105602053.27</v>
      </c>
      <c r="I10" s="151">
        <f t="shared" si="1"/>
        <v>154177434.69999999</v>
      </c>
      <c r="J10" s="151">
        <f t="shared" si="1"/>
        <v>144095628.60000002</v>
      </c>
      <c r="K10" s="151">
        <f t="shared" si="1"/>
        <v>136129376.07999998</v>
      </c>
      <c r="L10" s="151">
        <f t="shared" si="1"/>
        <v>158947740.94</v>
      </c>
      <c r="M10" s="151">
        <f t="shared" si="1"/>
        <v>0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787597666.91000009</v>
      </c>
      <c r="T10" s="463">
        <f>+S10/$T$7*100</f>
        <v>16.986534678643835</v>
      </c>
    </row>
    <row r="11" spans="1:20">
      <c r="A11" s="150">
        <v>711</v>
      </c>
      <c r="B11" s="533" t="str">
        <f>+VLOOKUP($A11,Master!$D$29:$G$225,4,FALSE)</f>
        <v>Taxes</v>
      </c>
      <c r="C11" s="534"/>
      <c r="D11" s="534"/>
      <c r="E11" s="534"/>
      <c r="F11" s="534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0</v>
      </c>
      <c r="N11" s="157">
        <f t="shared" si="2"/>
        <v>0</v>
      </c>
      <c r="O11" s="157">
        <f t="shared" si="2"/>
        <v>0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504352177.59000003</v>
      </c>
      <c r="T11" s="464">
        <f t="shared" ref="T11:T64" si="3">+S11/$T$7*100</f>
        <v>10.877629676702757</v>
      </c>
    </row>
    <row r="12" spans="1:20">
      <c r="A12" s="150">
        <v>7111</v>
      </c>
      <c r="B12" s="519" t="str">
        <f>+VLOOKUP($A12,Master!$D$29:$G$225,4,FALSE)</f>
        <v>Personal Income Tax</v>
      </c>
      <c r="C12" s="520"/>
      <c r="D12" s="520"/>
      <c r="E12" s="520"/>
      <c r="F12" s="520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0</v>
      </c>
      <c r="N12" s="163">
        <v>0</v>
      </c>
      <c r="O12" s="163">
        <v>0</v>
      </c>
      <c r="P12" s="163">
        <v>0</v>
      </c>
      <c r="Q12" s="163">
        <v>0</v>
      </c>
      <c r="R12" s="163">
        <v>0</v>
      </c>
      <c r="S12" s="242">
        <f t="shared" ref="S12:S63" si="4">+SUM(G12:R12)</f>
        <v>52939159.909999996</v>
      </c>
      <c r="T12" s="465">
        <f t="shared" si="3"/>
        <v>1.1417668099469438</v>
      </c>
    </row>
    <row r="13" spans="1:20">
      <c r="A13" s="150">
        <v>7112</v>
      </c>
      <c r="B13" s="519" t="str">
        <f>+VLOOKUP($A13,Master!$D$29:$G$225,4,FALSE)</f>
        <v>Corporate Income Tax</v>
      </c>
      <c r="C13" s="520"/>
      <c r="D13" s="520"/>
      <c r="E13" s="520"/>
      <c r="F13" s="520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  <c r="R13" s="163">
        <v>0</v>
      </c>
      <c r="S13" s="242">
        <f t="shared" si="4"/>
        <v>56759780.129999995</v>
      </c>
      <c r="T13" s="465">
        <f t="shared" si="3"/>
        <v>1.2241681432515203</v>
      </c>
    </row>
    <row r="14" spans="1:20">
      <c r="A14" s="150">
        <v>7113</v>
      </c>
      <c r="B14" s="519" t="str">
        <f>+VLOOKUP($A14,Master!$D$29:$G$225,4,FALSE)</f>
        <v xml:space="preserve">Taxes on Sales of Property </v>
      </c>
      <c r="C14" s="520"/>
      <c r="D14" s="520"/>
      <c r="E14" s="520"/>
      <c r="F14" s="520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0</v>
      </c>
      <c r="N14" s="163">
        <v>0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733785.71</v>
      </c>
      <c r="T14" s="465">
        <f t="shared" si="3"/>
        <v>1.5825943795022213E-2</v>
      </c>
    </row>
    <row r="15" spans="1:20">
      <c r="A15" s="150">
        <v>7114</v>
      </c>
      <c r="B15" s="519" t="str">
        <f>+VLOOKUP($A15,Master!$D$29:$G$225,4,FALSE)</f>
        <v>Value Added Tax</v>
      </c>
      <c r="C15" s="520"/>
      <c r="D15" s="520"/>
      <c r="E15" s="520"/>
      <c r="F15" s="520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0</v>
      </c>
      <c r="N15" s="163">
        <v>0</v>
      </c>
      <c r="O15" s="163">
        <v>0</v>
      </c>
      <c r="P15" s="163">
        <v>0</v>
      </c>
      <c r="Q15" s="163">
        <v>0</v>
      </c>
      <c r="R15" s="163">
        <v>0</v>
      </c>
      <c r="S15" s="242">
        <f t="shared" si="4"/>
        <v>279066381.57999998</v>
      </c>
      <c r="T15" s="465">
        <f t="shared" si="3"/>
        <v>6.0187719790363623</v>
      </c>
    </row>
    <row r="16" spans="1:20">
      <c r="A16" s="150">
        <v>7115</v>
      </c>
      <c r="B16" s="519" t="str">
        <f>+VLOOKUP($A16,Master!$D$29:$G$225,4,FALSE)</f>
        <v>Excises</v>
      </c>
      <c r="C16" s="520"/>
      <c r="D16" s="520"/>
      <c r="E16" s="520"/>
      <c r="F16" s="520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0</v>
      </c>
      <c r="N16" s="163">
        <v>0</v>
      </c>
      <c r="O16" s="163">
        <v>0</v>
      </c>
      <c r="P16" s="163">
        <v>0</v>
      </c>
      <c r="Q16" s="163">
        <v>0</v>
      </c>
      <c r="R16" s="163">
        <v>0</v>
      </c>
      <c r="S16" s="242">
        <f t="shared" si="4"/>
        <v>97499049.179999992</v>
      </c>
      <c r="T16" s="465">
        <f t="shared" si="3"/>
        <v>2.1028134663330889</v>
      </c>
    </row>
    <row r="17" spans="1:23">
      <c r="A17" s="150">
        <v>7116</v>
      </c>
      <c r="B17" s="519" t="str">
        <f>+VLOOKUP($A17,Master!$D$29:$G$225,4,FALSE)</f>
        <v>Tax on International Trade and Transactions</v>
      </c>
      <c r="C17" s="520"/>
      <c r="D17" s="520"/>
      <c r="E17" s="520"/>
      <c r="F17" s="520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0</v>
      </c>
      <c r="N17" s="163">
        <v>0</v>
      </c>
      <c r="O17" s="163">
        <v>0</v>
      </c>
      <c r="P17" s="163">
        <v>0</v>
      </c>
      <c r="Q17" s="163">
        <v>0</v>
      </c>
      <c r="R17" s="163">
        <v>0</v>
      </c>
      <c r="S17" s="242">
        <f t="shared" si="4"/>
        <v>12170753.529999999</v>
      </c>
      <c r="T17" s="465">
        <f t="shared" si="3"/>
        <v>0.26249306668679634</v>
      </c>
    </row>
    <row r="18" spans="1:23">
      <c r="A18" s="150">
        <v>7118</v>
      </c>
      <c r="B18" s="519" t="str">
        <f>+VLOOKUP($A18,Master!$D$29:$G$225,4,FALSE)</f>
        <v>Other Republic Taxes</v>
      </c>
      <c r="C18" s="520"/>
      <c r="D18" s="520"/>
      <c r="E18" s="520"/>
      <c r="F18" s="520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0</v>
      </c>
      <c r="N18" s="163">
        <v>0</v>
      </c>
      <c r="O18" s="163">
        <v>0</v>
      </c>
      <c r="P18" s="163">
        <v>0</v>
      </c>
      <c r="Q18" s="163">
        <v>0</v>
      </c>
      <c r="R18" s="163">
        <v>0</v>
      </c>
      <c r="S18" s="242">
        <f t="shared" si="4"/>
        <v>5183267.5500000007</v>
      </c>
      <c r="T18" s="465">
        <f t="shared" si="3"/>
        <v>0.11179026765302162</v>
      </c>
    </row>
    <row r="19" spans="1:23">
      <c r="A19" s="150">
        <v>712</v>
      </c>
      <c r="B19" s="529" t="str">
        <f>+VLOOKUP($A19,Master!$D$29:$G$225,4,FALSE)</f>
        <v>Contributions</v>
      </c>
      <c r="C19" s="530"/>
      <c r="D19" s="530"/>
      <c r="E19" s="530"/>
      <c r="F19" s="530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0</v>
      </c>
      <c r="N19" s="169">
        <f t="shared" si="5"/>
        <v>0</v>
      </c>
      <c r="O19" s="169">
        <f t="shared" si="5"/>
        <v>0</v>
      </c>
      <c r="P19" s="169">
        <f t="shared" si="5"/>
        <v>0</v>
      </c>
      <c r="Q19" s="169">
        <f t="shared" si="5"/>
        <v>0</v>
      </c>
      <c r="R19" s="169">
        <f t="shared" si="5"/>
        <v>0</v>
      </c>
      <c r="S19" s="243">
        <f t="shared" si="4"/>
        <v>236530929.43000001</v>
      </c>
      <c r="T19" s="466">
        <f t="shared" si="3"/>
        <v>5.1013874267782429</v>
      </c>
    </row>
    <row r="20" spans="1:23">
      <c r="A20" s="150">
        <v>7121</v>
      </c>
      <c r="B20" s="519" t="str">
        <f>+VLOOKUP($A20,Master!$D$29:$G$225,4,FALSE)</f>
        <v>Contributions for Pension and Disability Insurance</v>
      </c>
      <c r="C20" s="520"/>
      <c r="D20" s="520"/>
      <c r="E20" s="520"/>
      <c r="F20" s="520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0</v>
      </c>
      <c r="N20" s="163">
        <v>0</v>
      </c>
      <c r="O20" s="163">
        <v>0</v>
      </c>
      <c r="P20" s="163">
        <v>0</v>
      </c>
      <c r="Q20" s="163">
        <v>0</v>
      </c>
      <c r="R20" s="163">
        <v>0</v>
      </c>
      <c r="S20" s="242">
        <f>+SUM(G20:R20)</f>
        <v>145681644.56</v>
      </c>
      <c r="T20" s="465">
        <f t="shared" si="3"/>
        <v>3.1419929379286544</v>
      </c>
    </row>
    <row r="21" spans="1:23">
      <c r="A21" s="150">
        <v>7122</v>
      </c>
      <c r="B21" s="519" t="str">
        <f>+VLOOKUP($A21,Master!$D$29:$G$225,4,FALSE)</f>
        <v>Contributions for Health Insurance</v>
      </c>
      <c r="C21" s="520"/>
      <c r="D21" s="520"/>
      <c r="E21" s="520"/>
      <c r="F21" s="520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0</v>
      </c>
      <c r="N21" s="163">
        <v>0</v>
      </c>
      <c r="O21" s="163">
        <v>0</v>
      </c>
      <c r="P21" s="163">
        <v>0</v>
      </c>
      <c r="Q21" s="163">
        <v>0</v>
      </c>
      <c r="R21" s="163">
        <v>0</v>
      </c>
      <c r="S21" s="242">
        <f t="shared" si="4"/>
        <v>77833791.310000002</v>
      </c>
      <c r="T21" s="465">
        <f t="shared" si="3"/>
        <v>1.6786824679722212</v>
      </c>
    </row>
    <row r="22" spans="1:23">
      <c r="A22" s="150">
        <v>7123</v>
      </c>
      <c r="B22" s="519" t="str">
        <f>+VLOOKUP($A22,Master!$D$29:$G$225,4,FALSE)</f>
        <v>Contributions for  Unemployment Insurance</v>
      </c>
      <c r="C22" s="520"/>
      <c r="D22" s="520"/>
      <c r="E22" s="520"/>
      <c r="F22" s="520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0</v>
      </c>
      <c r="N22" s="163">
        <v>0</v>
      </c>
      <c r="O22" s="163">
        <v>0</v>
      </c>
      <c r="P22" s="163">
        <v>0</v>
      </c>
      <c r="Q22" s="163">
        <v>0</v>
      </c>
      <c r="R22" s="163">
        <v>0</v>
      </c>
      <c r="S22" s="242">
        <f t="shared" si="4"/>
        <v>7086426.5200000005</v>
      </c>
      <c r="T22" s="465">
        <f t="shared" si="3"/>
        <v>0.15283670189362897</v>
      </c>
    </row>
    <row r="23" spans="1:23">
      <c r="A23" s="150">
        <v>7124</v>
      </c>
      <c r="B23" s="519" t="str">
        <f>+VLOOKUP($A23,Master!$D$29:$G$225,4,FALSE)</f>
        <v>Other contributions</v>
      </c>
      <c r="C23" s="520"/>
      <c r="D23" s="520"/>
      <c r="E23" s="520"/>
      <c r="F23" s="520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0</v>
      </c>
      <c r="N23" s="163">
        <v>0</v>
      </c>
      <c r="O23" s="163">
        <v>0</v>
      </c>
      <c r="P23" s="163">
        <v>0</v>
      </c>
      <c r="Q23" s="163">
        <v>0</v>
      </c>
      <c r="R23" s="163">
        <v>0</v>
      </c>
      <c r="S23" s="242">
        <f t="shared" si="4"/>
        <v>5929067.04</v>
      </c>
      <c r="T23" s="465">
        <f t="shared" si="3"/>
        <v>0.12787531898373811</v>
      </c>
      <c r="W23" s="305"/>
    </row>
    <row r="24" spans="1:23">
      <c r="A24" s="150">
        <v>713</v>
      </c>
      <c r="B24" s="521" t="str">
        <f>+VLOOKUP($A24,Master!$D$29:$G$225,4,FALSE)</f>
        <v>Duties</v>
      </c>
      <c r="C24" s="522"/>
      <c r="D24" s="522"/>
      <c r="E24" s="522"/>
      <c r="F24" s="522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0</v>
      </c>
      <c r="N24" s="175">
        <v>0</v>
      </c>
      <c r="O24" s="175">
        <v>0</v>
      </c>
      <c r="P24" s="175">
        <v>0</v>
      </c>
      <c r="Q24" s="175">
        <v>0</v>
      </c>
      <c r="R24" s="175">
        <v>0</v>
      </c>
      <c r="S24" s="243">
        <f t="shared" si="4"/>
        <v>4924242.4800000004</v>
      </c>
      <c r="T24" s="466">
        <f t="shared" si="3"/>
        <v>0.1062037372212397</v>
      </c>
      <c r="W24" s="305"/>
    </row>
    <row r="25" spans="1:23">
      <c r="A25" s="150">
        <v>714</v>
      </c>
      <c r="B25" s="521" t="str">
        <f>+VLOOKUP($A25,Master!$D$29:$G$225,4,FALSE)</f>
        <v>Fees</v>
      </c>
      <c r="C25" s="522"/>
      <c r="D25" s="522"/>
      <c r="E25" s="522"/>
      <c r="F25" s="522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0</v>
      </c>
      <c r="N25" s="175">
        <v>0</v>
      </c>
      <c r="O25" s="175">
        <v>0</v>
      </c>
      <c r="P25" s="175">
        <v>0</v>
      </c>
      <c r="Q25" s="175">
        <v>0</v>
      </c>
      <c r="R25" s="175">
        <v>0</v>
      </c>
      <c r="S25" s="243">
        <f t="shared" si="4"/>
        <v>17102066.899999999</v>
      </c>
      <c r="T25" s="466">
        <f t="shared" si="3"/>
        <v>0.36884930552560063</v>
      </c>
    </row>
    <row r="26" spans="1:23">
      <c r="A26" s="150">
        <v>715</v>
      </c>
      <c r="B26" s="521" t="str">
        <f>+VLOOKUP($A26,Master!$D$29:$G$225,4,FALSE)</f>
        <v>Other revenues</v>
      </c>
      <c r="C26" s="522"/>
      <c r="D26" s="522"/>
      <c r="E26" s="522"/>
      <c r="F26" s="522"/>
      <c r="G26" s="175">
        <v>1525776.04</v>
      </c>
      <c r="H26" s="175">
        <v>1791757.35</v>
      </c>
      <c r="I26" s="175">
        <v>1695243.19</v>
      </c>
      <c r="J26" s="175">
        <v>1359110.1400000001</v>
      </c>
      <c r="K26" s="175">
        <v>3299640.06</v>
      </c>
      <c r="L26" s="175">
        <v>2267147.4000000004</v>
      </c>
      <c r="M26" s="175">
        <v>0</v>
      </c>
      <c r="N26" s="175">
        <v>0</v>
      </c>
      <c r="O26" s="175">
        <v>0</v>
      </c>
      <c r="P26" s="175">
        <v>0</v>
      </c>
      <c r="Q26" s="175">
        <v>0</v>
      </c>
      <c r="R26" s="175">
        <v>0</v>
      </c>
      <c r="S26" s="243">
        <f t="shared" si="4"/>
        <v>11938674.180000002</v>
      </c>
      <c r="T26" s="466">
        <f t="shared" si="3"/>
        <v>0.25748768882370704</v>
      </c>
    </row>
    <row r="27" spans="1:23">
      <c r="A27" s="150">
        <v>73</v>
      </c>
      <c r="B27" s="521" t="str">
        <f>+VLOOKUP($A27,Master!$D$29:$G$225,4,FALSE)</f>
        <v>Receipts from Repayment of Loans and Funds Carried over from Previous Year</v>
      </c>
      <c r="C27" s="522"/>
      <c r="D27" s="522"/>
      <c r="E27" s="522"/>
      <c r="F27" s="522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0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243">
        <f t="shared" si="4"/>
        <v>4636824.5</v>
      </c>
      <c r="T27" s="466">
        <f t="shared" si="3"/>
        <v>0.10000484191002028</v>
      </c>
    </row>
    <row r="28" spans="1:23" ht="13.5" thickBot="1">
      <c r="A28" s="150">
        <v>74</v>
      </c>
      <c r="B28" s="523" t="str">
        <f>+VLOOKUP($A28,Master!$D$29:$G$225,4,FALSE)</f>
        <v>Grants and Transfers</v>
      </c>
      <c r="C28" s="524"/>
      <c r="D28" s="524"/>
      <c r="E28" s="524"/>
      <c r="F28" s="524"/>
      <c r="G28" s="175">
        <v>196070.01</v>
      </c>
      <c r="H28" s="175">
        <v>1359247.78</v>
      </c>
      <c r="I28" s="175">
        <v>1506140.11</v>
      </c>
      <c r="J28" s="175">
        <v>1551438.49</v>
      </c>
      <c r="K28" s="175">
        <v>1024447.65</v>
      </c>
      <c r="L28" s="175">
        <v>2475407.79</v>
      </c>
      <c r="M28" s="175">
        <v>0</v>
      </c>
      <c r="N28" s="175">
        <v>0</v>
      </c>
      <c r="O28" s="175">
        <v>0</v>
      </c>
      <c r="P28" s="175">
        <v>0</v>
      </c>
      <c r="Q28" s="175">
        <v>0</v>
      </c>
      <c r="R28" s="175">
        <v>0</v>
      </c>
      <c r="S28" s="243">
        <f t="shared" si="4"/>
        <v>8112751.830000001</v>
      </c>
      <c r="T28" s="467">
        <f t="shared" si="3"/>
        <v>0.1749720016822672</v>
      </c>
    </row>
    <row r="29" spans="1:23" ht="13.5" thickBot="1">
      <c r="A29" s="150">
        <v>4</v>
      </c>
      <c r="B29" s="509" t="str">
        <f>+VLOOKUP($A29,Master!$D$29:$G$225,4,FALSE)</f>
        <v>Total Expenditures</v>
      </c>
      <c r="C29" s="510"/>
      <c r="D29" s="510"/>
      <c r="E29" s="510"/>
      <c r="F29" s="510"/>
      <c r="G29" s="151">
        <f>+G30+G40+G46+SUM(G47:G51)</f>
        <v>127396828.25</v>
      </c>
      <c r="H29" s="151">
        <f t="shared" ref="H29:R29" si="6">+H30+H40+H46+SUM(H47:H51)</f>
        <v>159900252.53</v>
      </c>
      <c r="I29" s="151">
        <f t="shared" si="6"/>
        <v>164547073.56</v>
      </c>
      <c r="J29" s="151">
        <f t="shared" si="6"/>
        <v>184233665.84999999</v>
      </c>
      <c r="K29" s="151">
        <f t="shared" si="6"/>
        <v>156171623.56</v>
      </c>
      <c r="L29" s="151">
        <f t="shared" si="6"/>
        <v>155973616.70000002</v>
      </c>
      <c r="M29" s="151">
        <f t="shared" si="6"/>
        <v>0</v>
      </c>
      <c r="N29" s="151">
        <f t="shared" si="6"/>
        <v>0</v>
      </c>
      <c r="O29" s="151">
        <f t="shared" si="6"/>
        <v>0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948223060.45000005</v>
      </c>
      <c r="T29" s="468">
        <f t="shared" si="3"/>
        <v>20.450827340076781</v>
      </c>
    </row>
    <row r="30" spans="1:23">
      <c r="A30" s="150">
        <v>41</v>
      </c>
      <c r="B30" s="527" t="str">
        <f>+VLOOKUP($A30,Master!$D$29:$G$225,4,FALSE)</f>
        <v>Current Expenditures</v>
      </c>
      <c r="C30" s="528"/>
      <c r="D30" s="528"/>
      <c r="E30" s="528"/>
      <c r="F30" s="528"/>
      <c r="G30" s="187">
        <f t="shared" ref="G30:R30" si="7">+SUM(G31:G39)</f>
        <v>51210284.650000006</v>
      </c>
      <c r="H30" s="187">
        <f t="shared" si="7"/>
        <v>62968222.63000001</v>
      </c>
      <c r="I30" s="187">
        <f t="shared" si="7"/>
        <v>74936494.010000005</v>
      </c>
      <c r="J30" s="187">
        <f t="shared" si="7"/>
        <v>90501253.180000007</v>
      </c>
      <c r="K30" s="187">
        <f t="shared" si="7"/>
        <v>68135737.74000001</v>
      </c>
      <c r="L30" s="187">
        <f t="shared" si="7"/>
        <v>67098932.450000003</v>
      </c>
      <c r="M30" s="187">
        <f t="shared" si="7"/>
        <v>0</v>
      </c>
      <c r="N30" s="187">
        <f t="shared" si="7"/>
        <v>0</v>
      </c>
      <c r="O30" s="187">
        <f t="shared" si="7"/>
        <v>0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5">
        <f t="shared" si="4"/>
        <v>414850924.66000003</v>
      </c>
      <c r="T30" s="464">
        <f t="shared" si="3"/>
        <v>8.9473089043695815</v>
      </c>
      <c r="U30" s="242"/>
    </row>
    <row r="31" spans="1:23">
      <c r="A31" s="150">
        <v>411</v>
      </c>
      <c r="B31" s="519" t="str">
        <f>+VLOOKUP($A31,Master!$D$29:$G$225,4,FALSE)</f>
        <v>Gross Salaries and Contributions</v>
      </c>
      <c r="C31" s="520"/>
      <c r="D31" s="520"/>
      <c r="E31" s="520"/>
      <c r="F31" s="520"/>
      <c r="G31" s="163">
        <v>40605076.340000004</v>
      </c>
      <c r="H31" s="163">
        <v>49306948.350000001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  <c r="R31" s="163">
        <v>0</v>
      </c>
      <c r="S31" s="242">
        <f t="shared" si="4"/>
        <v>271240464.42000002</v>
      </c>
      <c r="T31" s="465">
        <f t="shared" si="3"/>
        <v>5.8499862921105992</v>
      </c>
    </row>
    <row r="32" spans="1:23">
      <c r="A32" s="150">
        <v>412</v>
      </c>
      <c r="B32" s="519" t="str">
        <f>+VLOOKUP($A32,Master!$D$29:$G$225,4,FALSE)</f>
        <v>Other Personal Income</v>
      </c>
      <c r="C32" s="520"/>
      <c r="D32" s="520"/>
      <c r="E32" s="520"/>
      <c r="F32" s="520"/>
      <c r="G32" s="163">
        <v>108603.95</v>
      </c>
      <c r="H32" s="163">
        <v>889477.21</v>
      </c>
      <c r="I32" s="163">
        <v>864515.21</v>
      </c>
      <c r="J32" s="163">
        <v>1093748.1599999999</v>
      </c>
      <c r="K32" s="163">
        <v>847955.01</v>
      </c>
      <c r="L32" s="163">
        <v>813914.56</v>
      </c>
      <c r="M32" s="163">
        <v>0</v>
      </c>
      <c r="N32" s="163">
        <v>0</v>
      </c>
      <c r="O32" s="163">
        <v>0</v>
      </c>
      <c r="P32" s="163">
        <v>0</v>
      </c>
      <c r="Q32" s="163">
        <v>0</v>
      </c>
      <c r="R32" s="163">
        <v>0</v>
      </c>
      <c r="S32" s="242">
        <f t="shared" si="4"/>
        <v>4618214.0999999996</v>
      </c>
      <c r="T32" s="465">
        <f t="shared" si="3"/>
        <v>9.9603461588232758E-2</v>
      </c>
      <c r="U32" s="458"/>
    </row>
    <row r="33" spans="1:21">
      <c r="A33" s="150">
        <v>413</v>
      </c>
      <c r="B33" s="519" t="str">
        <f>+VLOOKUP($A33,Master!$D$29:$G$225,4,FALSE)</f>
        <v>Expenditures for Supplies</v>
      </c>
      <c r="C33" s="520"/>
      <c r="D33" s="520"/>
      <c r="E33" s="520"/>
      <c r="F33" s="520"/>
      <c r="G33" s="163">
        <v>596838.26</v>
      </c>
      <c r="H33" s="163">
        <v>1661848.94</v>
      </c>
      <c r="I33" s="163">
        <v>2846615.59</v>
      </c>
      <c r="J33" s="163">
        <v>2297097.17</v>
      </c>
      <c r="K33" s="163">
        <v>3107844.52</v>
      </c>
      <c r="L33" s="163">
        <v>3282627.05</v>
      </c>
      <c r="M33" s="163">
        <v>0</v>
      </c>
      <c r="N33" s="163">
        <v>0</v>
      </c>
      <c r="O33" s="163">
        <v>0</v>
      </c>
      <c r="P33" s="163">
        <v>0</v>
      </c>
      <c r="Q33" s="163">
        <v>0</v>
      </c>
      <c r="R33" s="163">
        <v>0</v>
      </c>
      <c r="S33" s="242">
        <f t="shared" si="4"/>
        <v>13792871.530000001</v>
      </c>
      <c r="T33" s="465">
        <f t="shared" si="3"/>
        <v>0.29747814195746886</v>
      </c>
      <c r="U33" s="458"/>
    </row>
    <row r="34" spans="1:21" s="362" customFormat="1">
      <c r="A34" s="361">
        <v>414</v>
      </c>
      <c r="B34" s="588" t="str">
        <f>+VLOOKUP($A34,Master!$D$29:$G$225,4,FALSE)</f>
        <v>Expenditures for Services</v>
      </c>
      <c r="C34" s="589"/>
      <c r="D34" s="589"/>
      <c r="E34" s="589"/>
      <c r="F34" s="589"/>
      <c r="G34" s="163">
        <v>1050676.99</v>
      </c>
      <c r="H34" s="163">
        <v>2624320.42</v>
      </c>
      <c r="I34" s="163">
        <v>3354943</v>
      </c>
      <c r="J34" s="163">
        <v>6158096.0800000001</v>
      </c>
      <c r="K34" s="163">
        <v>5020178.45</v>
      </c>
      <c r="L34" s="163">
        <v>3880471.86</v>
      </c>
      <c r="M34" s="163">
        <v>0</v>
      </c>
      <c r="N34" s="163">
        <v>0</v>
      </c>
      <c r="O34" s="163">
        <v>0</v>
      </c>
      <c r="P34" s="163">
        <v>0</v>
      </c>
      <c r="Q34" s="163">
        <v>0</v>
      </c>
      <c r="R34" s="163">
        <v>0</v>
      </c>
      <c r="S34" s="242">
        <f t="shared" si="4"/>
        <v>22088686.800000001</v>
      </c>
      <c r="T34" s="465">
        <f t="shared" si="3"/>
        <v>0.47639836949488851</v>
      </c>
      <c r="U34" s="458"/>
    </row>
    <row r="35" spans="1:21">
      <c r="A35" s="150">
        <v>415</v>
      </c>
      <c r="B35" s="519" t="str">
        <f>+VLOOKUP($A35,Master!$D$29:$G$225,4,FALSE)</f>
        <v>Current Maintenance</v>
      </c>
      <c r="C35" s="520"/>
      <c r="D35" s="520"/>
      <c r="E35" s="520"/>
      <c r="F35" s="520"/>
      <c r="G35" s="163">
        <v>189404.04</v>
      </c>
      <c r="H35" s="163">
        <v>914551.09</v>
      </c>
      <c r="I35" s="163">
        <v>2439729.2400000002</v>
      </c>
      <c r="J35" s="163">
        <v>1685830.78</v>
      </c>
      <c r="K35" s="163">
        <v>1714591.59</v>
      </c>
      <c r="L35" s="163">
        <v>1668289.12</v>
      </c>
      <c r="M35" s="163">
        <v>0</v>
      </c>
      <c r="N35" s="163">
        <v>0</v>
      </c>
      <c r="O35" s="163">
        <v>0</v>
      </c>
      <c r="P35" s="163">
        <v>0</v>
      </c>
      <c r="Q35" s="163">
        <v>0</v>
      </c>
      <c r="R35" s="163">
        <v>0</v>
      </c>
      <c r="S35" s="242">
        <f t="shared" si="4"/>
        <v>8612395.8599999994</v>
      </c>
      <c r="T35" s="465">
        <f t="shared" si="3"/>
        <v>0.18574808825432429</v>
      </c>
      <c r="U35" s="458"/>
    </row>
    <row r="36" spans="1:21">
      <c r="A36" s="150">
        <v>416</v>
      </c>
      <c r="B36" s="519" t="str">
        <f>+VLOOKUP($A36,Master!$D$29:$G$225,4,FALSE)</f>
        <v>Interests</v>
      </c>
      <c r="C36" s="520"/>
      <c r="D36" s="520"/>
      <c r="E36" s="520"/>
      <c r="F36" s="520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0</v>
      </c>
      <c r="N36" s="163">
        <v>0</v>
      </c>
      <c r="O36" s="163">
        <v>0</v>
      </c>
      <c r="P36" s="163">
        <v>0</v>
      </c>
      <c r="Q36" s="163">
        <v>0</v>
      </c>
      <c r="R36" s="163">
        <v>0</v>
      </c>
      <c r="S36" s="242">
        <f>+SUM(G36:R36)</f>
        <v>59088525.250000007</v>
      </c>
      <c r="T36" s="465">
        <f t="shared" si="3"/>
        <v>1.2743934186688524</v>
      </c>
      <c r="U36" s="458"/>
    </row>
    <row r="37" spans="1:21">
      <c r="A37" s="150">
        <v>417</v>
      </c>
      <c r="B37" s="519" t="str">
        <f>+VLOOKUP($A37,Master!$D$29:$G$225,4,FALSE)</f>
        <v>Rent</v>
      </c>
      <c r="C37" s="520"/>
      <c r="D37" s="520"/>
      <c r="E37" s="520"/>
      <c r="F37" s="520"/>
      <c r="G37" s="163">
        <v>38595.83</v>
      </c>
      <c r="H37" s="163">
        <v>967161.85</v>
      </c>
      <c r="I37" s="163">
        <v>803228.89</v>
      </c>
      <c r="J37" s="163">
        <v>789353.05</v>
      </c>
      <c r="K37" s="163">
        <v>642844.74</v>
      </c>
      <c r="L37" s="163">
        <v>989320.52</v>
      </c>
      <c r="M37" s="163">
        <v>0</v>
      </c>
      <c r="N37" s="163">
        <v>0</v>
      </c>
      <c r="O37" s="163">
        <v>0</v>
      </c>
      <c r="P37" s="163">
        <v>0</v>
      </c>
      <c r="Q37" s="163">
        <v>0</v>
      </c>
      <c r="R37" s="163">
        <v>0</v>
      </c>
      <c r="S37" s="242">
        <f t="shared" si="4"/>
        <v>4230504.8800000008</v>
      </c>
      <c r="T37" s="465">
        <f t="shared" si="3"/>
        <v>9.1241532157184155E-2</v>
      </c>
      <c r="U37" s="458"/>
    </row>
    <row r="38" spans="1:21">
      <c r="A38" s="150">
        <v>418</v>
      </c>
      <c r="B38" s="519" t="str">
        <f>+VLOOKUP($A38,Master!$D$29:$G$225,4,FALSE)</f>
        <v>Subsidies</v>
      </c>
      <c r="C38" s="520"/>
      <c r="D38" s="520"/>
      <c r="E38" s="520"/>
      <c r="F38" s="520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0</v>
      </c>
      <c r="N38" s="163">
        <v>0</v>
      </c>
      <c r="O38" s="163">
        <v>0</v>
      </c>
      <c r="P38" s="163">
        <v>0</v>
      </c>
      <c r="Q38" s="163">
        <v>0</v>
      </c>
      <c r="R38" s="163">
        <v>0</v>
      </c>
      <c r="S38" s="242">
        <f t="shared" si="4"/>
        <v>16556557.139999999</v>
      </c>
      <c r="T38" s="465">
        <f t="shared" si="3"/>
        <v>0.35708400854074102</v>
      </c>
      <c r="U38" s="458"/>
    </row>
    <row r="39" spans="1:21" s="362" customFormat="1">
      <c r="A39" s="361">
        <v>419</v>
      </c>
      <c r="B39" s="588" t="str">
        <f>+VLOOKUP($A39,Master!$D$29:$G$225,4,FALSE)</f>
        <v>Other expenditures</v>
      </c>
      <c r="C39" s="589"/>
      <c r="D39" s="589"/>
      <c r="E39" s="589"/>
      <c r="F39" s="589"/>
      <c r="G39" s="163">
        <v>792964.83</v>
      </c>
      <c r="H39" s="163">
        <v>2319889.5099999998</v>
      </c>
      <c r="I39" s="163">
        <v>3429558.98</v>
      </c>
      <c r="J39" s="163">
        <v>2708059.43</v>
      </c>
      <c r="K39" s="163">
        <v>2598767.04</v>
      </c>
      <c r="L39" s="163">
        <v>2773464.89</v>
      </c>
      <c r="M39" s="163">
        <v>0</v>
      </c>
      <c r="N39" s="163">
        <v>0</v>
      </c>
      <c r="O39" s="163">
        <v>0</v>
      </c>
      <c r="P39" s="163">
        <v>0</v>
      </c>
      <c r="Q39" s="163">
        <v>0</v>
      </c>
      <c r="R39" s="163">
        <v>0</v>
      </c>
      <c r="S39" s="242">
        <f t="shared" si="4"/>
        <v>14622704.68</v>
      </c>
      <c r="T39" s="465">
        <f t="shared" si="3"/>
        <v>0.31537559159729112</v>
      </c>
      <c r="U39" s="458"/>
    </row>
    <row r="40" spans="1:21">
      <c r="A40" s="150">
        <v>42</v>
      </c>
      <c r="B40" s="515" t="str">
        <f>+VLOOKUP($A40,Master!$D$29:$G$225,4,FALSE)</f>
        <v>Social Security Transfers</v>
      </c>
      <c r="C40" s="516"/>
      <c r="D40" s="516"/>
      <c r="E40" s="516"/>
      <c r="F40" s="516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75">
        <f t="shared" si="8"/>
        <v>47454391.899999991</v>
      </c>
      <c r="K40" s="193">
        <f t="shared" si="8"/>
        <v>47582478.649999999</v>
      </c>
      <c r="L40" s="193">
        <f t="shared" si="8"/>
        <v>47719015.670000009</v>
      </c>
      <c r="M40" s="193">
        <f t="shared" si="8"/>
        <v>0</v>
      </c>
      <c r="N40" s="193">
        <f t="shared" si="8"/>
        <v>0</v>
      </c>
      <c r="O40" s="193">
        <f t="shared" si="8"/>
        <v>0</v>
      </c>
      <c r="P40" s="193">
        <f t="shared" si="8"/>
        <v>0</v>
      </c>
      <c r="Q40" s="193">
        <f t="shared" si="8"/>
        <v>0</v>
      </c>
      <c r="R40" s="247">
        <f t="shared" si="8"/>
        <v>0</v>
      </c>
      <c r="S40" s="243">
        <f t="shared" si="4"/>
        <v>279980096.79999995</v>
      </c>
      <c r="T40" s="466">
        <f t="shared" si="3"/>
        <v>6.0384785575637316</v>
      </c>
      <c r="U40" s="242"/>
    </row>
    <row r="41" spans="1:21">
      <c r="A41" s="150">
        <v>421</v>
      </c>
      <c r="B41" s="519" t="str">
        <f>+VLOOKUP($A41,Master!$D$29:$G$225,4,FALSE)</f>
        <v>Social Security</v>
      </c>
      <c r="C41" s="520"/>
      <c r="D41" s="520"/>
      <c r="E41" s="520"/>
      <c r="F41" s="520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0</v>
      </c>
      <c r="N41" s="163">
        <v>0</v>
      </c>
      <c r="O41" s="163">
        <v>0</v>
      </c>
      <c r="P41" s="163">
        <v>0</v>
      </c>
      <c r="Q41" s="163">
        <v>0</v>
      </c>
      <c r="R41" s="163">
        <v>0</v>
      </c>
      <c r="S41" s="242">
        <f t="shared" si="4"/>
        <v>40013765.259999998</v>
      </c>
      <c r="T41" s="465">
        <f t="shared" si="3"/>
        <v>0.86299799982745973</v>
      </c>
      <c r="U41" s="458"/>
    </row>
    <row r="42" spans="1:21">
      <c r="A42" s="150">
        <v>422</v>
      </c>
      <c r="B42" s="519" t="str">
        <f>+VLOOKUP($A42,Master!$D$29:$G$225,4,FALSE)</f>
        <v>Funds for redundant labor</v>
      </c>
      <c r="C42" s="520"/>
      <c r="D42" s="520"/>
      <c r="E42" s="520"/>
      <c r="F42" s="520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0</v>
      </c>
      <c r="N42" s="163">
        <v>0</v>
      </c>
      <c r="O42" s="163">
        <v>0</v>
      </c>
      <c r="P42" s="163">
        <v>0</v>
      </c>
      <c r="Q42" s="163">
        <v>0</v>
      </c>
      <c r="R42" s="163">
        <v>0</v>
      </c>
      <c r="S42" s="242">
        <f t="shared" si="4"/>
        <v>10151094.299999999</v>
      </c>
      <c r="T42" s="465">
        <f t="shared" si="3"/>
        <v>0.21893400983479272</v>
      </c>
      <c r="U42" s="458"/>
    </row>
    <row r="43" spans="1:21">
      <c r="A43" s="150">
        <v>423</v>
      </c>
      <c r="B43" s="519" t="str">
        <f>+VLOOKUP($A43,Master!$D$29:$G$225,4,FALSE)</f>
        <v>Pension and Disability Insurance</v>
      </c>
      <c r="C43" s="520"/>
      <c r="D43" s="520"/>
      <c r="E43" s="520"/>
      <c r="F43" s="520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35696766.840000004</v>
      </c>
      <c r="M43" s="163">
        <v>0</v>
      </c>
      <c r="N43" s="163">
        <v>0</v>
      </c>
      <c r="O43" s="163">
        <v>0</v>
      </c>
      <c r="P43" s="163">
        <v>0</v>
      </c>
      <c r="Q43" s="163">
        <v>0</v>
      </c>
      <c r="R43" s="163">
        <v>0</v>
      </c>
      <c r="S43" s="242">
        <f t="shared" si="4"/>
        <v>216303299.15000001</v>
      </c>
      <c r="T43" s="465">
        <f t="shared" si="3"/>
        <v>4.6651274457576672</v>
      </c>
      <c r="U43" s="458"/>
    </row>
    <row r="44" spans="1:21">
      <c r="A44" s="150">
        <v>424</v>
      </c>
      <c r="B44" s="519" t="str">
        <f>+VLOOKUP($A44,Master!$D$29:$G$225,4,FALSE)</f>
        <v>Other Health Care Transfers</v>
      </c>
      <c r="C44" s="520"/>
      <c r="D44" s="520"/>
      <c r="E44" s="520"/>
      <c r="F44" s="520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0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  <c r="S44" s="242">
        <f t="shared" si="4"/>
        <v>8425594.3599999994</v>
      </c>
      <c r="T44" s="465">
        <f t="shared" si="3"/>
        <v>0.18171924168571796</v>
      </c>
      <c r="U44" s="458"/>
    </row>
    <row r="45" spans="1:21" s="362" customFormat="1">
      <c r="A45" s="361">
        <v>425</v>
      </c>
      <c r="B45" s="584" t="str">
        <f>+VLOOKUP($A45,Master!$D$29:$G$225,4,FALSE)</f>
        <v>Other Health Care Insurance</v>
      </c>
      <c r="C45" s="585"/>
      <c r="D45" s="585"/>
      <c r="E45" s="585"/>
      <c r="F45" s="585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0</v>
      </c>
      <c r="N45" s="163">
        <v>0</v>
      </c>
      <c r="O45" s="163">
        <v>0</v>
      </c>
      <c r="P45" s="163">
        <v>0</v>
      </c>
      <c r="Q45" s="163">
        <v>0</v>
      </c>
      <c r="R45" s="163">
        <v>0</v>
      </c>
      <c r="S45" s="242">
        <f t="shared" si="4"/>
        <v>5086343.7300000004</v>
      </c>
      <c r="T45" s="465">
        <f t="shared" si="3"/>
        <v>0.10969986045809431</v>
      </c>
      <c r="U45" s="458"/>
    </row>
    <row r="46" spans="1:21">
      <c r="A46" s="150">
        <v>43</v>
      </c>
      <c r="B46" s="517" t="str">
        <f>+VLOOKUP($A46,Master!$D$29:$G$225,4,FALSE)</f>
        <v xml:space="preserve">Transfers to Institutions, Individuals, NGO and Public Sector </v>
      </c>
      <c r="C46" s="518"/>
      <c r="D46" s="518"/>
      <c r="E46" s="518"/>
      <c r="F46" s="518"/>
      <c r="G46" s="175">
        <v>12392775.73</v>
      </c>
      <c r="H46" s="175">
        <v>21090087.879999999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0</v>
      </c>
      <c r="N46" s="175">
        <v>0</v>
      </c>
      <c r="O46" s="175">
        <v>0</v>
      </c>
      <c r="P46" s="175">
        <v>0</v>
      </c>
      <c r="Q46" s="175">
        <v>0</v>
      </c>
      <c r="R46" s="175">
        <v>0</v>
      </c>
      <c r="S46" s="243">
        <f t="shared" si="4"/>
        <v>118636929.27</v>
      </c>
      <c r="T46" s="466">
        <f t="shared" si="3"/>
        <v>2.5587052855540695</v>
      </c>
      <c r="U46" s="482"/>
    </row>
    <row r="47" spans="1:21">
      <c r="A47" s="150">
        <v>44</v>
      </c>
      <c r="B47" s="517" t="str">
        <f>+VLOOKUP($A47,Master!$D$29:$G$225,4,FALSE)</f>
        <v>Capital Expenditure</v>
      </c>
      <c r="C47" s="518"/>
      <c r="D47" s="518"/>
      <c r="E47" s="518"/>
      <c r="F47" s="518"/>
      <c r="G47" s="175">
        <v>11603510.130000001</v>
      </c>
      <c r="H47" s="175">
        <v>7242535.6100000003</v>
      </c>
      <c r="I47" s="175">
        <v>8279888.46</v>
      </c>
      <c r="J47" s="175">
        <v>16938740.100000001</v>
      </c>
      <c r="K47" s="175">
        <v>6491669.8099999996</v>
      </c>
      <c r="L47" s="175">
        <v>11935338.039999999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243">
        <f t="shared" si="4"/>
        <v>62491682.150000006</v>
      </c>
      <c r="T47" s="466">
        <f t="shared" si="3"/>
        <v>1.3477911001595999</v>
      </c>
      <c r="U47" s="482"/>
    </row>
    <row r="48" spans="1:21">
      <c r="A48" s="150">
        <v>451</v>
      </c>
      <c r="B48" s="586" t="str">
        <f>+VLOOKUP($A48,Master!$D$29:$G$225,4,FALSE)</f>
        <v>Credits and Borrowings</v>
      </c>
      <c r="C48" s="587"/>
      <c r="D48" s="587"/>
      <c r="E48" s="587"/>
      <c r="F48" s="587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828780</v>
      </c>
      <c r="T48" s="465">
        <f t="shared" si="3"/>
        <v>1.7874735797782856E-2</v>
      </c>
      <c r="U48" s="482"/>
    </row>
    <row r="49" spans="1:21" s="362" customFormat="1">
      <c r="A49" s="361">
        <v>47</v>
      </c>
      <c r="B49" s="578" t="str">
        <f>+VLOOKUP($A49,Master!$D$29:$G$225,4,FALSE)</f>
        <v>Reserves</v>
      </c>
      <c r="C49" s="579"/>
      <c r="D49" s="579"/>
      <c r="E49" s="579"/>
      <c r="F49" s="579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0</v>
      </c>
      <c r="N49" s="163">
        <v>0</v>
      </c>
      <c r="O49" s="163">
        <v>0</v>
      </c>
      <c r="P49" s="163">
        <v>0</v>
      </c>
      <c r="Q49" s="163">
        <v>0</v>
      </c>
      <c r="R49" s="163">
        <v>0</v>
      </c>
      <c r="S49" s="242">
        <f t="shared" si="4"/>
        <v>49654378.669999994</v>
      </c>
      <c r="T49" s="465">
        <f t="shared" si="3"/>
        <v>1.0709221988094724</v>
      </c>
      <c r="U49" s="482"/>
    </row>
    <row r="50" spans="1:21" ht="13.5" thickBot="1">
      <c r="A50" s="150">
        <v>462</v>
      </c>
      <c r="B50" s="505" t="str">
        <f>+VLOOKUP($A50,Master!$D$29:$G$225,4,FALSE)</f>
        <v>Repayment of Guarantees</v>
      </c>
      <c r="C50" s="506"/>
      <c r="D50" s="506"/>
      <c r="E50" s="506"/>
      <c r="F50" s="506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3831496.4</v>
      </c>
      <c r="T50" s="465">
        <f t="shared" si="3"/>
        <v>8.2635905620497774E-2</v>
      </c>
      <c r="U50" s="482"/>
    </row>
    <row r="51" spans="1:21" ht="13.5" thickBot="1">
      <c r="A51" s="144">
        <v>4630</v>
      </c>
      <c r="B51" s="580" t="str">
        <f>+VLOOKUP($A51,Master!$D$29:$G$225,4,TRUE)</f>
        <v>Repayments of liabilities form the previous period</v>
      </c>
      <c r="C51" s="581"/>
      <c r="D51" s="581"/>
      <c r="E51" s="581"/>
      <c r="F51" s="581"/>
      <c r="G51" s="459">
        <v>1018944.7</v>
      </c>
      <c r="H51" s="459">
        <v>1642283.23</v>
      </c>
      <c r="I51" s="459">
        <v>1594695.57</v>
      </c>
      <c r="J51" s="459">
        <v>1366097.79</v>
      </c>
      <c r="K51" s="459">
        <v>11033574.689999999</v>
      </c>
      <c r="L51" s="459">
        <v>1293176.52</v>
      </c>
      <c r="M51" s="459">
        <v>0</v>
      </c>
      <c r="N51" s="459">
        <v>0</v>
      </c>
      <c r="O51" s="459">
        <v>0</v>
      </c>
      <c r="P51" s="459">
        <v>0</v>
      </c>
      <c r="Q51" s="459">
        <v>0</v>
      </c>
      <c r="R51" s="460">
        <v>0</v>
      </c>
      <c r="S51" s="426">
        <f>+SUM(G51:R51)</f>
        <v>17948772.5</v>
      </c>
      <c r="T51" s="469">
        <f t="shared" si="3"/>
        <v>0.3871106522020446</v>
      </c>
      <c r="U51" s="482"/>
    </row>
    <row r="52" spans="1:21" ht="13.5" thickBot="1">
      <c r="A52" s="70">
        <v>1005</v>
      </c>
      <c r="B52" s="582" t="str">
        <f>+VLOOKUP($A52,Master!$D$29:$G$227,4,FALSE)</f>
        <v>Net increase of liabilities</v>
      </c>
      <c r="C52" s="583"/>
      <c r="D52" s="583"/>
      <c r="E52" s="583"/>
      <c r="F52" s="583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70">
        <f t="shared" si="3"/>
        <v>0</v>
      </c>
      <c r="U52" s="483"/>
    </row>
    <row r="53" spans="1:21" ht="13.5" thickBot="1">
      <c r="A53" s="144">
        <v>1000</v>
      </c>
      <c r="B53" s="511" t="str">
        <f>+VLOOKUP($A53,Master!$D$29:$G$225,4,FALSE)</f>
        <v>Surplus / deficit</v>
      </c>
      <c r="C53" s="512"/>
      <c r="D53" s="512"/>
      <c r="E53" s="512"/>
      <c r="F53" s="512"/>
      <c r="G53" s="151">
        <f t="shared" ref="G53:R53" si="9">+G10-G29</f>
        <v>-38751394.929999992</v>
      </c>
      <c r="H53" s="151">
        <f t="shared" si="9"/>
        <v>-54298199.260000005</v>
      </c>
      <c r="I53" s="151">
        <f t="shared" si="9"/>
        <v>-10369638.860000014</v>
      </c>
      <c r="J53" s="151">
        <f t="shared" si="9"/>
        <v>-40138037.24999997</v>
      </c>
      <c r="K53" s="151">
        <f t="shared" si="9"/>
        <v>-20042247.480000019</v>
      </c>
      <c r="L53" s="151">
        <f t="shared" si="9"/>
        <v>2974124.2399999797</v>
      </c>
      <c r="M53" s="151">
        <f t="shared" si="9"/>
        <v>0</v>
      </c>
      <c r="N53" s="151">
        <f t="shared" si="9"/>
        <v>0</v>
      </c>
      <c r="O53" s="151">
        <f t="shared" si="9"/>
        <v>0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 t="shared" si="4"/>
        <v>-160625393.54000002</v>
      </c>
      <c r="T53" s="471">
        <f t="shared" si="3"/>
        <v>-3.4642926614329466</v>
      </c>
    </row>
    <row r="54" spans="1:21" ht="13.5" thickBot="1">
      <c r="A54" s="144">
        <v>1001</v>
      </c>
      <c r="B54" s="513" t="str">
        <f>+VLOOKUP($A54,Master!$D$29:$G$225,4,FALSE)</f>
        <v>Primary surplus/deficit</v>
      </c>
      <c r="C54" s="514"/>
      <c r="D54" s="514"/>
      <c r="E54" s="514"/>
      <c r="F54" s="514"/>
      <c r="G54" s="205">
        <f t="shared" ref="G54:R54" si="10">+G53+G36</f>
        <v>-31173909.859999992</v>
      </c>
      <c r="H54" s="205">
        <f t="shared" si="10"/>
        <v>-52334008.880000003</v>
      </c>
      <c r="I54" s="205">
        <f t="shared" si="10"/>
        <v>4418343.709999986</v>
      </c>
      <c r="J54" s="205">
        <f t="shared" si="10"/>
        <v>-17369525.289999969</v>
      </c>
      <c r="K54" s="205">
        <f t="shared" si="10"/>
        <v>-13341946.640000019</v>
      </c>
      <c r="L54" s="205">
        <f t="shared" si="10"/>
        <v>8264178.6699999794</v>
      </c>
      <c r="M54" s="205">
        <f t="shared" si="10"/>
        <v>0</v>
      </c>
      <c r="N54" s="205">
        <f t="shared" si="10"/>
        <v>0</v>
      </c>
      <c r="O54" s="205">
        <f t="shared" si="10"/>
        <v>0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-101536868.28999999</v>
      </c>
      <c r="T54" s="471">
        <f t="shared" si="3"/>
        <v>-2.1898992427640942</v>
      </c>
    </row>
    <row r="55" spans="1:21">
      <c r="A55" s="144">
        <v>46</v>
      </c>
      <c r="B55" s="576" t="str">
        <f>+VLOOKUP($A55,Master!$D$29:$G$225,4,FALSE)</f>
        <v>Repayment of Debt</v>
      </c>
      <c r="C55" s="577"/>
      <c r="D55" s="577"/>
      <c r="E55" s="577"/>
      <c r="F55" s="577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0</v>
      </c>
      <c r="N55" s="193">
        <f t="shared" si="11"/>
        <v>0</v>
      </c>
      <c r="O55" s="193">
        <f t="shared" si="11"/>
        <v>0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350558736.19000006</v>
      </c>
      <c r="T55" s="472">
        <f t="shared" si="3"/>
        <v>7.560685333865333</v>
      </c>
    </row>
    <row r="56" spans="1:21">
      <c r="A56" s="144">
        <v>4611</v>
      </c>
      <c r="B56" s="503" t="str">
        <f>+VLOOKUP($A56,Master!$D$29:$G$225,4,FALSE)</f>
        <v>Repayment of Domestic Debt</v>
      </c>
      <c r="C56" s="504"/>
      <c r="D56" s="504"/>
      <c r="E56" s="504"/>
      <c r="F56" s="504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0</v>
      </c>
      <c r="N56" s="211">
        <v>0</v>
      </c>
      <c r="O56" s="211">
        <v>0</v>
      </c>
      <c r="P56" s="211">
        <v>0</v>
      </c>
      <c r="Q56" s="211">
        <v>0</v>
      </c>
      <c r="R56" s="211">
        <v>0</v>
      </c>
      <c r="S56" s="250">
        <f t="shared" si="4"/>
        <v>65871478.150000006</v>
      </c>
      <c r="T56" s="473">
        <f t="shared" si="3"/>
        <v>1.4206849447871286</v>
      </c>
    </row>
    <row r="57" spans="1:21" ht="13.5" thickBot="1">
      <c r="A57" s="144">
        <v>4612</v>
      </c>
      <c r="B57" s="487" t="str">
        <f>+VLOOKUP($A57,Master!$D$29:$G$225,4,FALSE)</f>
        <v>Repayment of Foreign Debt</v>
      </c>
      <c r="C57" s="488"/>
      <c r="D57" s="488"/>
      <c r="E57" s="488"/>
      <c r="F57" s="488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0</v>
      </c>
      <c r="N57" s="211">
        <v>0</v>
      </c>
      <c r="O57" s="211">
        <v>0</v>
      </c>
      <c r="P57" s="211">
        <v>0</v>
      </c>
      <c r="Q57" s="211">
        <v>0</v>
      </c>
      <c r="R57" s="211">
        <v>0</v>
      </c>
      <c r="S57" s="250">
        <f t="shared" si="4"/>
        <v>284687258.04000002</v>
      </c>
      <c r="T57" s="473">
        <f t="shared" si="3"/>
        <v>6.140000389078204</v>
      </c>
    </row>
    <row r="58" spans="1:21" ht="13.5" thickBot="1">
      <c r="A58" s="144">
        <v>4418</v>
      </c>
      <c r="B58" s="525" t="str">
        <f>+VLOOKUP($A58,Master!$D$29:$G$225,4,FALSE)</f>
        <v>Capital Expenditure for Securities</v>
      </c>
      <c r="C58" s="526"/>
      <c r="D58" s="526"/>
      <c r="E58" s="526"/>
      <c r="F58" s="526"/>
      <c r="G58" s="461">
        <v>0</v>
      </c>
      <c r="H58" s="461">
        <v>0</v>
      </c>
      <c r="I58" s="461">
        <v>0</v>
      </c>
      <c r="J58" s="461">
        <v>0</v>
      </c>
      <c r="K58" s="461">
        <v>0</v>
      </c>
      <c r="L58" s="461">
        <v>0</v>
      </c>
      <c r="M58" s="461">
        <v>0</v>
      </c>
      <c r="N58" s="461">
        <v>0</v>
      </c>
      <c r="O58" s="461">
        <v>0</v>
      </c>
      <c r="P58" s="461">
        <v>0</v>
      </c>
      <c r="Q58" s="461">
        <v>0</v>
      </c>
      <c r="R58" s="462">
        <v>0</v>
      </c>
      <c r="S58" s="249">
        <f>SUM(G58:R58)</f>
        <v>0</v>
      </c>
      <c r="T58" s="474">
        <f t="shared" si="3"/>
        <v>0</v>
      </c>
    </row>
    <row r="59" spans="1:21" ht="13.5" thickBot="1">
      <c r="A59" s="144">
        <v>1002</v>
      </c>
      <c r="B59" s="507" t="str">
        <f>+VLOOKUP($A59,Master!$D$29:$G$225,4,FALSE)</f>
        <v>Financing needs</v>
      </c>
      <c r="C59" s="508"/>
      <c r="D59" s="508"/>
      <c r="E59" s="508"/>
      <c r="F59" s="508"/>
      <c r="G59" s="217">
        <f>+G53-G55-G58</f>
        <v>-62082163.749999993</v>
      </c>
      <c r="H59" s="217">
        <f t="shared" ref="H59:R59" si="12">+H53-H55-H58</f>
        <v>-78553220.610000014</v>
      </c>
      <c r="I59" s="217">
        <f t="shared" si="12"/>
        <v>-249153410.10000002</v>
      </c>
      <c r="J59" s="217">
        <f t="shared" si="12"/>
        <v>-72991500.509999961</v>
      </c>
      <c r="K59" s="217">
        <f t="shared" si="12"/>
        <v>-36325075.400000021</v>
      </c>
      <c r="L59" s="217">
        <f t="shared" si="12"/>
        <v>-12078759.360000022</v>
      </c>
      <c r="M59" s="217">
        <f t="shared" si="12"/>
        <v>0</v>
      </c>
      <c r="N59" s="217">
        <f t="shared" si="12"/>
        <v>0</v>
      </c>
      <c r="O59" s="217">
        <f t="shared" si="12"/>
        <v>0</v>
      </c>
      <c r="P59" s="217">
        <f t="shared" si="12"/>
        <v>0</v>
      </c>
      <c r="Q59" s="217">
        <f t="shared" si="12"/>
        <v>0</v>
      </c>
      <c r="R59" s="217">
        <f t="shared" si="12"/>
        <v>0</v>
      </c>
      <c r="S59" s="251">
        <f t="shared" si="4"/>
        <v>-511184129.73000008</v>
      </c>
      <c r="T59" s="475">
        <f t="shared" si="3"/>
        <v>-11.024977995298281</v>
      </c>
    </row>
    <row r="60" spans="1:21" ht="13.5" thickBot="1">
      <c r="A60" s="144">
        <v>1003</v>
      </c>
      <c r="B60" s="509" t="str">
        <f>+VLOOKUP($A60,Master!$D$29:$G$225,4,FALSE)</f>
        <v>Financing</v>
      </c>
      <c r="C60" s="510"/>
      <c r="D60" s="510"/>
      <c r="E60" s="510"/>
      <c r="F60" s="510"/>
      <c r="G60" s="151">
        <f>+SUM(G61:G64)</f>
        <v>62082163.749999993</v>
      </c>
      <c r="H60" s="151">
        <f t="shared" ref="H60:R60" si="13">+SUM(H61:H64)</f>
        <v>78553220.610000014</v>
      </c>
      <c r="I60" s="151">
        <f t="shared" si="13"/>
        <v>249153410.10000002</v>
      </c>
      <c r="J60" s="151">
        <f t="shared" si="13"/>
        <v>72991500.509999961</v>
      </c>
      <c r="K60" s="151">
        <f t="shared" si="13"/>
        <v>36325075.400000021</v>
      </c>
      <c r="L60" s="151">
        <f t="shared" si="13"/>
        <v>12078759.360000022</v>
      </c>
      <c r="M60" s="151">
        <f t="shared" si="13"/>
        <v>0</v>
      </c>
      <c r="N60" s="151">
        <f t="shared" si="13"/>
        <v>0</v>
      </c>
      <c r="O60" s="151">
        <f t="shared" si="13"/>
        <v>0</v>
      </c>
      <c r="P60" s="151">
        <f t="shared" si="13"/>
        <v>0</v>
      </c>
      <c r="Q60" s="151">
        <f t="shared" si="13"/>
        <v>0</v>
      </c>
      <c r="R60" s="151">
        <f t="shared" si="13"/>
        <v>0</v>
      </c>
      <c r="S60" s="252">
        <f t="shared" si="4"/>
        <v>511184129.73000008</v>
      </c>
      <c r="T60" s="476">
        <f t="shared" si="3"/>
        <v>11.024977995298281</v>
      </c>
    </row>
    <row r="61" spans="1:21">
      <c r="A61" s="144">
        <v>7511</v>
      </c>
      <c r="B61" s="503" t="str">
        <f>+VLOOKUP($A61,Master!$D$29:$G$225,4,FALSE)</f>
        <v>Domestic Loans and Borrowings</v>
      </c>
      <c r="C61" s="504"/>
      <c r="D61" s="504"/>
      <c r="E61" s="504"/>
      <c r="F61" s="504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211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3">
        <f t="shared" si="3"/>
        <v>0</v>
      </c>
    </row>
    <row r="62" spans="1:21">
      <c r="A62" s="144">
        <v>7512</v>
      </c>
      <c r="B62" s="487" t="str">
        <f>+VLOOKUP($A62,Master!$D$29:$G$225,4,FALSE)</f>
        <v>Foreign Loans and Borrowings</v>
      </c>
      <c r="C62" s="488"/>
      <c r="D62" s="488"/>
      <c r="E62" s="488"/>
      <c r="F62" s="488"/>
      <c r="G62" s="211">
        <v>7426147.9800000004</v>
      </c>
      <c r="H62" s="211">
        <v>2794027.91</v>
      </c>
      <c r="I62" s="211">
        <v>392627.11</v>
      </c>
      <c r="J62" s="211">
        <v>12943736.949999999</v>
      </c>
      <c r="K62" s="211">
        <v>1156634.1200000001</v>
      </c>
      <c r="L62" s="211">
        <v>32783536.34</v>
      </c>
      <c r="M62" s="211">
        <v>0</v>
      </c>
      <c r="N62" s="211">
        <v>0</v>
      </c>
      <c r="O62" s="211">
        <v>0</v>
      </c>
      <c r="P62" s="211">
        <v>0</v>
      </c>
      <c r="Q62" s="211">
        <v>0</v>
      </c>
      <c r="R62" s="211">
        <v>0</v>
      </c>
      <c r="S62" s="250">
        <f t="shared" si="4"/>
        <v>57496710.409999996</v>
      </c>
      <c r="T62" s="473">
        <f t="shared" si="3"/>
        <v>1.2400619076478454</v>
      </c>
    </row>
    <row r="63" spans="1:21">
      <c r="A63" s="144">
        <v>72</v>
      </c>
      <c r="B63" s="487" t="str">
        <f>+VLOOKUP($A63,Master!$D$29:$G$225,4,FALSE)</f>
        <v>Revenues from Selling Assets</v>
      </c>
      <c r="C63" s="488"/>
      <c r="D63" s="488"/>
      <c r="E63" s="488"/>
      <c r="F63" s="488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211">
        <v>0</v>
      </c>
      <c r="N63" s="211">
        <v>0</v>
      </c>
      <c r="O63" s="211">
        <v>0</v>
      </c>
      <c r="P63" s="211">
        <v>0</v>
      </c>
      <c r="Q63" s="211">
        <v>0</v>
      </c>
      <c r="R63" s="211">
        <v>0</v>
      </c>
      <c r="S63" s="250">
        <f t="shared" si="4"/>
        <v>669564.07000000007</v>
      </c>
      <c r="T63" s="473">
        <f t="shared" si="3"/>
        <v>1.4440841780615107E-2</v>
      </c>
    </row>
    <row r="64" spans="1:21" ht="13.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225">
        <f>-G59-SUM(G61:G63)</f>
        <v>54621267.159999989</v>
      </c>
      <c r="H64" s="225">
        <f t="shared" ref="H64:R64" si="14">-H59-SUM(H61:H63)</f>
        <v>75729624.37000002</v>
      </c>
      <c r="I64" s="225">
        <f t="shared" si="14"/>
        <v>248708618.60000002</v>
      </c>
      <c r="J64" s="225">
        <f t="shared" si="14"/>
        <v>60008511.589999959</v>
      </c>
      <c r="K64" s="225">
        <f t="shared" si="14"/>
        <v>34871289.710000023</v>
      </c>
      <c r="L64" s="225">
        <f t="shared" si="14"/>
        <v>-20921456.179999977</v>
      </c>
      <c r="M64" s="225">
        <f t="shared" si="14"/>
        <v>0</v>
      </c>
      <c r="N64" s="225">
        <f t="shared" si="14"/>
        <v>0</v>
      </c>
      <c r="O64" s="225">
        <f t="shared" si="14"/>
        <v>0</v>
      </c>
      <c r="P64" s="225">
        <f t="shared" si="14"/>
        <v>0</v>
      </c>
      <c r="Q64" s="225">
        <f t="shared" si="14"/>
        <v>0</v>
      </c>
      <c r="R64" s="225">
        <f t="shared" si="14"/>
        <v>0</v>
      </c>
      <c r="S64" s="253">
        <f>+SUM(G64:R64)</f>
        <v>453017855.25</v>
      </c>
      <c r="T64" s="477">
        <f t="shared" si="3"/>
        <v>9.7704752458698181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65" t="str">
        <f>+Master!G252</f>
        <v>Planned Budget Execution</v>
      </c>
      <c r="C81" s="566"/>
      <c r="D81" s="566"/>
      <c r="E81" s="566"/>
      <c r="F81" s="566"/>
      <c r="G81" s="573">
        <v>2021</v>
      </c>
      <c r="H81" s="574"/>
      <c r="I81" s="574"/>
      <c r="J81" s="574"/>
      <c r="K81" s="574"/>
      <c r="L81" s="574"/>
      <c r="M81" s="574"/>
      <c r="N81" s="574"/>
      <c r="O81" s="574"/>
      <c r="P81" s="574"/>
      <c r="Q81" s="574"/>
      <c r="R81" s="575"/>
      <c r="S81" s="107" t="str">
        <f>+S7</f>
        <v>GDP</v>
      </c>
      <c r="T81" s="108">
        <v>4636600000</v>
      </c>
    </row>
    <row r="82" spans="1:21" ht="15.75" customHeight="1">
      <c r="B82" s="567"/>
      <c r="C82" s="568"/>
      <c r="D82" s="568"/>
      <c r="E82" s="568"/>
      <c r="F82" s="569"/>
      <c r="G82" s="71" t="str">
        <f t="shared" ref="G82:R82" si="16">+G8</f>
        <v>January</v>
      </c>
      <c r="H82" s="71" t="str">
        <f t="shared" si="16"/>
        <v>February</v>
      </c>
      <c r="I82" s="71" t="str">
        <f t="shared" si="16"/>
        <v>March</v>
      </c>
      <c r="J82" s="71" t="str">
        <f t="shared" si="16"/>
        <v>April</v>
      </c>
      <c r="K82" s="71" t="str">
        <f t="shared" si="16"/>
        <v>May</v>
      </c>
      <c r="L82" s="71" t="str">
        <f t="shared" si="16"/>
        <v>June</v>
      </c>
      <c r="M82" s="71" t="str">
        <f t="shared" si="16"/>
        <v>July</v>
      </c>
      <c r="N82" s="71" t="str">
        <f t="shared" si="16"/>
        <v>August</v>
      </c>
      <c r="O82" s="71" t="str">
        <f t="shared" si="16"/>
        <v>September</v>
      </c>
      <c r="P82" s="71" t="str">
        <f t="shared" si="16"/>
        <v>October</v>
      </c>
      <c r="Q82" s="71" t="str">
        <f t="shared" si="16"/>
        <v>November</v>
      </c>
      <c r="R82" s="71" t="str">
        <f t="shared" si="16"/>
        <v>December</v>
      </c>
      <c r="S82" s="573" t="str">
        <f>+Master!G246</f>
        <v>Jan - Dec</v>
      </c>
      <c r="T82" s="575">
        <f>+T8</f>
        <v>0</v>
      </c>
    </row>
    <row r="83" spans="1:21" ht="13.5" thickBot="1">
      <c r="B83" s="570"/>
      <c r="C83" s="571"/>
      <c r="D83" s="571"/>
      <c r="E83" s="571"/>
      <c r="F83" s="572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GDP</v>
      </c>
    </row>
    <row r="84" spans="1:21" ht="13.5" thickBot="1">
      <c r="A84" s="116" t="str">
        <f t="shared" ref="A84:A115" si="17">+CONCATENATE(A10,"p")</f>
        <v>7p</v>
      </c>
      <c r="B84" s="561" t="str">
        <f>+VLOOKUP(LEFT($A84,LEN(A84)-1)*1,Master!$D$29:$G$225,4,FALSE)</f>
        <v>Total Revenues</v>
      </c>
      <c r="C84" s="562"/>
      <c r="D84" s="562"/>
      <c r="E84" s="562"/>
      <c r="F84" s="562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0</v>
      </c>
      <c r="N84" s="93">
        <f t="shared" si="18"/>
        <v>0</v>
      </c>
      <c r="O84" s="93">
        <f t="shared" si="18"/>
        <v>0</v>
      </c>
      <c r="P84" s="93">
        <f t="shared" si="18"/>
        <v>0</v>
      </c>
      <c r="Q84" s="93">
        <f t="shared" si="18"/>
        <v>0</v>
      </c>
      <c r="R84" s="93">
        <f t="shared" si="18"/>
        <v>0</v>
      </c>
      <c r="S84" s="454">
        <f>+SUM(G84:R84)</f>
        <v>773378245.42187905</v>
      </c>
      <c r="T84" s="478">
        <f>+S84/$T$81*100</f>
        <v>16.679856908551074</v>
      </c>
    </row>
    <row r="85" spans="1:21">
      <c r="A85" s="116" t="str">
        <f t="shared" si="17"/>
        <v>711p</v>
      </c>
      <c r="B85" s="563" t="str">
        <f>+VLOOKUP(LEFT($A85,LEN(A85)-1)*1,Master!$D$29:$G$225,4,FALSE)</f>
        <v>Taxes</v>
      </c>
      <c r="C85" s="564"/>
      <c r="D85" s="564"/>
      <c r="E85" s="564"/>
      <c r="F85" s="564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0</v>
      </c>
      <c r="N85" s="79">
        <f t="shared" si="19"/>
        <v>0</v>
      </c>
      <c r="O85" s="79">
        <f t="shared" si="19"/>
        <v>0</v>
      </c>
      <c r="P85" s="79">
        <f t="shared" si="19"/>
        <v>0</v>
      </c>
      <c r="Q85" s="79">
        <f t="shared" si="19"/>
        <v>0</v>
      </c>
      <c r="R85" s="80">
        <f t="shared" si="19"/>
        <v>0</v>
      </c>
      <c r="S85" s="111">
        <f t="shared" ref="S85:S138" si="20">+SUM(G85:R85)</f>
        <v>475532627.96251106</v>
      </c>
      <c r="T85" s="464">
        <f t="shared" ref="T85:T138" si="21">+S85/$T$81*100</f>
        <v>10.256063235183346</v>
      </c>
      <c r="U85" s="257"/>
    </row>
    <row r="86" spans="1:21">
      <c r="A86" s="116" t="str">
        <f t="shared" si="17"/>
        <v>7111p</v>
      </c>
      <c r="B86" s="551" t="str">
        <f>+VLOOKUP(LEFT($A86,LEN(A86)-1)*1,Master!$D$29:$G$228,4,FALSE)</f>
        <v>Personal Income Tax</v>
      </c>
      <c r="C86" s="552"/>
      <c r="D86" s="552"/>
      <c r="E86" s="552"/>
      <c r="F86" s="552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0</v>
      </c>
      <c r="N86" s="87">
        <v>0</v>
      </c>
      <c r="O86" s="87">
        <v>0</v>
      </c>
      <c r="P86" s="87">
        <v>0</v>
      </c>
      <c r="Q86" s="87">
        <v>0</v>
      </c>
      <c r="R86" s="87">
        <v>0</v>
      </c>
      <c r="S86" s="112">
        <f t="shared" si="20"/>
        <v>56171696.976659417</v>
      </c>
      <c r="T86" s="465">
        <f t="shared" si="21"/>
        <v>1.2114846434167152</v>
      </c>
    </row>
    <row r="87" spans="1:21">
      <c r="A87" s="116" t="str">
        <f t="shared" si="17"/>
        <v>7112p</v>
      </c>
      <c r="B87" s="551" t="str">
        <f>+VLOOKUP(LEFT($A87,LEN(A87)-1)*1,Master!$D$29:$G$228,4,FALSE)</f>
        <v>Corporate Income Tax</v>
      </c>
      <c r="C87" s="552"/>
      <c r="D87" s="552"/>
      <c r="E87" s="552"/>
      <c r="F87" s="552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0</v>
      </c>
      <c r="N87" s="87">
        <v>0</v>
      </c>
      <c r="O87" s="87">
        <v>0</v>
      </c>
      <c r="P87" s="87">
        <v>0</v>
      </c>
      <c r="Q87" s="87">
        <v>0</v>
      </c>
      <c r="R87" s="87">
        <v>0</v>
      </c>
      <c r="S87" s="112">
        <f t="shared" si="20"/>
        <v>42688161.927233599</v>
      </c>
      <c r="T87" s="465">
        <f t="shared" si="21"/>
        <v>0.92067812464378207</v>
      </c>
    </row>
    <row r="88" spans="1:21">
      <c r="A88" s="116" t="str">
        <f t="shared" si="17"/>
        <v>7113p</v>
      </c>
      <c r="B88" s="551" t="str">
        <f>+VLOOKUP(LEFT($A88,LEN(A88)-1)*1,Master!$D$29:$G$228,4,FALSE)</f>
        <v xml:space="preserve">Taxes on Sales of Property </v>
      </c>
      <c r="C88" s="552"/>
      <c r="D88" s="552"/>
      <c r="E88" s="552"/>
      <c r="F88" s="552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0</v>
      </c>
      <c r="N88" s="87">
        <v>0</v>
      </c>
      <c r="O88" s="87">
        <v>0</v>
      </c>
      <c r="P88" s="87">
        <v>0</v>
      </c>
      <c r="Q88" s="87">
        <v>0</v>
      </c>
      <c r="R88" s="87">
        <v>0</v>
      </c>
      <c r="S88" s="112">
        <f t="shared" si="20"/>
        <v>782677.38459635503</v>
      </c>
      <c r="T88" s="465">
        <f t="shared" si="21"/>
        <v>1.6880416352421063E-2</v>
      </c>
    </row>
    <row r="89" spans="1:21">
      <c r="A89" s="116" t="str">
        <f t="shared" si="17"/>
        <v>7114p</v>
      </c>
      <c r="B89" s="551" t="str">
        <f>+VLOOKUP(LEFT($A89,LEN(A89)-1)*1,Master!$D$29:$G$228,4,FALSE)</f>
        <v>Value Added Tax</v>
      </c>
      <c r="C89" s="552"/>
      <c r="D89" s="552"/>
      <c r="E89" s="552"/>
      <c r="F89" s="552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0</v>
      </c>
      <c r="N89" s="87">
        <v>0</v>
      </c>
      <c r="O89" s="87">
        <v>0</v>
      </c>
      <c r="P89" s="87">
        <v>0</v>
      </c>
      <c r="Q89" s="87">
        <v>0</v>
      </c>
      <c r="R89" s="87">
        <v>0</v>
      </c>
      <c r="S89" s="112">
        <f t="shared" si="20"/>
        <v>267927239.95003656</v>
      </c>
      <c r="T89" s="465">
        <f t="shared" si="21"/>
        <v>5.7785282308164723</v>
      </c>
    </row>
    <row r="90" spans="1:21">
      <c r="A90" s="116" t="str">
        <f t="shared" si="17"/>
        <v>7115p</v>
      </c>
      <c r="B90" s="551" t="str">
        <f>+VLOOKUP(LEFT($A90,LEN(A90)-1)*1,Master!$D$29:$G$228,4,FALSE)</f>
        <v>Excises</v>
      </c>
      <c r="C90" s="552"/>
      <c r="D90" s="552"/>
      <c r="E90" s="552"/>
      <c r="F90" s="552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0</v>
      </c>
      <c r="N90" s="87">
        <v>0</v>
      </c>
      <c r="O90" s="87">
        <v>0</v>
      </c>
      <c r="P90" s="87">
        <v>0</v>
      </c>
      <c r="Q90" s="87">
        <v>0</v>
      </c>
      <c r="R90" s="87">
        <v>0</v>
      </c>
      <c r="S90" s="112">
        <f t="shared" si="20"/>
        <v>91300203.205084443</v>
      </c>
      <c r="T90" s="465">
        <f t="shared" si="21"/>
        <v>1.9691196826356476</v>
      </c>
    </row>
    <row r="91" spans="1:21">
      <c r="A91" s="116" t="str">
        <f t="shared" si="17"/>
        <v>7116p</v>
      </c>
      <c r="B91" s="551" t="str">
        <f>+VLOOKUP(LEFT($A91,LEN(A91)-1)*1,Master!$D$29:$G$228,4,FALSE)</f>
        <v>Tax on International Trade and Transactions</v>
      </c>
      <c r="C91" s="552"/>
      <c r="D91" s="552"/>
      <c r="E91" s="552"/>
      <c r="F91" s="552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0</v>
      </c>
      <c r="N91" s="87">
        <v>0</v>
      </c>
      <c r="O91" s="87">
        <v>0</v>
      </c>
      <c r="P91" s="87">
        <v>0</v>
      </c>
      <c r="Q91" s="87">
        <v>0</v>
      </c>
      <c r="R91" s="87">
        <v>0</v>
      </c>
      <c r="S91" s="112">
        <f t="shared" si="20"/>
        <v>11604623.076196456</v>
      </c>
      <c r="T91" s="465">
        <f t="shared" si="21"/>
        <v>0.2502830323123939</v>
      </c>
    </row>
    <row r="92" spans="1:21">
      <c r="A92" s="116" t="str">
        <f t="shared" si="17"/>
        <v>7118p</v>
      </c>
      <c r="B92" s="551" t="str">
        <f>+VLOOKUP(LEFT($A92,LEN(A92)-1)*1,Master!$D$29:$G$228,4,FALSE)</f>
        <v>Other Republic Taxes</v>
      </c>
      <c r="C92" s="552"/>
      <c r="D92" s="552"/>
      <c r="E92" s="552"/>
      <c r="F92" s="552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0</v>
      </c>
      <c r="N92" s="87">
        <v>0</v>
      </c>
      <c r="O92" s="87">
        <v>0</v>
      </c>
      <c r="P92" s="87">
        <v>0</v>
      </c>
      <c r="Q92" s="87">
        <v>0</v>
      </c>
      <c r="R92" s="87">
        <v>0</v>
      </c>
      <c r="S92" s="112">
        <f t="shared" si="20"/>
        <v>5058025.4427043004</v>
      </c>
      <c r="T92" s="465">
        <f t="shared" si="21"/>
        <v>0.10908910500591598</v>
      </c>
    </row>
    <row r="93" spans="1:21">
      <c r="A93" s="116" t="str">
        <f t="shared" si="17"/>
        <v>712p</v>
      </c>
      <c r="B93" s="559" t="str">
        <f>+VLOOKUP(LEFT($A93,LEN(A93)-1)*1,Master!$D$29:$G$228,4,FALSE)</f>
        <v>Contributions</v>
      </c>
      <c r="C93" s="560"/>
      <c r="D93" s="560"/>
      <c r="E93" s="560"/>
      <c r="F93" s="560"/>
      <c r="G93" s="81">
        <f>+SUM(G94:G97)</f>
        <v>16292817.308185648</v>
      </c>
      <c r="H93" s="81">
        <f t="shared" ref="H93:R93" si="22">+SUM(H94:H97)</f>
        <v>41389656.549846224</v>
      </c>
      <c r="I93" s="481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0</v>
      </c>
      <c r="N93" s="81">
        <f t="shared" si="22"/>
        <v>0</v>
      </c>
      <c r="O93" s="81">
        <f t="shared" si="22"/>
        <v>0</v>
      </c>
      <c r="P93" s="81">
        <f t="shared" si="22"/>
        <v>0</v>
      </c>
      <c r="Q93" s="81">
        <f t="shared" si="22"/>
        <v>0</v>
      </c>
      <c r="R93" s="82">
        <f t="shared" si="22"/>
        <v>0</v>
      </c>
      <c r="S93" s="113">
        <f t="shared" si="20"/>
        <v>243243712.55037749</v>
      </c>
      <c r="T93" s="466">
        <f t="shared" si="21"/>
        <v>5.2461655642146718</v>
      </c>
    </row>
    <row r="94" spans="1:21">
      <c r="A94" s="116" t="str">
        <f t="shared" si="17"/>
        <v>7121p</v>
      </c>
      <c r="B94" s="551" t="str">
        <f>+VLOOKUP(LEFT($A94,LEN(A94)-1)*1,Master!$D$29:$G$228,4,FALSE)</f>
        <v>Contributions for Pension and Disability Insurance</v>
      </c>
      <c r="C94" s="552"/>
      <c r="D94" s="552"/>
      <c r="E94" s="552"/>
      <c r="F94" s="552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0</v>
      </c>
      <c r="N94" s="87">
        <v>0</v>
      </c>
      <c r="O94" s="87">
        <v>0</v>
      </c>
      <c r="P94" s="87">
        <v>0</v>
      </c>
      <c r="Q94" s="87">
        <v>0</v>
      </c>
      <c r="R94" s="87">
        <v>0</v>
      </c>
      <c r="S94" s="112">
        <f t="shared" si="20"/>
        <v>148175885.65141374</v>
      </c>
      <c r="T94" s="465">
        <f t="shared" si="21"/>
        <v>3.1957875523317463</v>
      </c>
    </row>
    <row r="95" spans="1:21">
      <c r="A95" s="116" t="str">
        <f t="shared" si="17"/>
        <v>7122p</v>
      </c>
      <c r="B95" s="551" t="str">
        <f>+VLOOKUP(LEFT($A95,LEN(A95)-1)*1,Master!$D$29:$G$228,4,FALSE)</f>
        <v>Contributions for Health Insurance</v>
      </c>
      <c r="C95" s="552"/>
      <c r="D95" s="552"/>
      <c r="E95" s="552"/>
      <c r="F95" s="552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0</v>
      </c>
      <c r="N95" s="87">
        <v>0</v>
      </c>
      <c r="O95" s="87">
        <v>0</v>
      </c>
      <c r="P95" s="87">
        <v>0</v>
      </c>
      <c r="Q95" s="87">
        <v>0</v>
      </c>
      <c r="R95" s="87">
        <v>0</v>
      </c>
      <c r="S95" s="112">
        <f t="shared" si="20"/>
        <v>81395778.600063726</v>
      </c>
      <c r="T95" s="465">
        <f t="shared" si="21"/>
        <v>1.7555057283367925</v>
      </c>
    </row>
    <row r="96" spans="1:21">
      <c r="A96" s="116" t="str">
        <f t="shared" si="17"/>
        <v>7123p</v>
      </c>
      <c r="B96" s="551" t="str">
        <f>+VLOOKUP(LEFT($A96,LEN(A96)-1)*1,Master!$D$29:$G$228,4,FALSE)</f>
        <v>Contributions for  Unemployment Insurance</v>
      </c>
      <c r="C96" s="552"/>
      <c r="D96" s="552"/>
      <c r="E96" s="552"/>
      <c r="F96" s="552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0</v>
      </c>
      <c r="N96" s="87">
        <v>0</v>
      </c>
      <c r="O96" s="87">
        <v>0</v>
      </c>
      <c r="P96" s="87">
        <v>0</v>
      </c>
      <c r="Q96" s="87">
        <v>0</v>
      </c>
      <c r="R96" s="87">
        <v>0</v>
      </c>
      <c r="S96" s="112">
        <f t="shared" si="20"/>
        <v>7282787.217410475</v>
      </c>
      <c r="T96" s="465">
        <f t="shared" si="21"/>
        <v>0.15707171671937359</v>
      </c>
    </row>
    <row r="97" spans="1:20">
      <c r="A97" s="116" t="str">
        <f t="shared" si="17"/>
        <v>7124p</v>
      </c>
      <c r="B97" s="551" t="str">
        <f>+VLOOKUP(LEFT($A97,LEN(A97)-1)*1,Master!$D$29:$G$228,4,FALSE)</f>
        <v>Other contributions</v>
      </c>
      <c r="C97" s="552"/>
      <c r="D97" s="552"/>
      <c r="E97" s="552"/>
      <c r="F97" s="552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0</v>
      </c>
      <c r="N97" s="87">
        <v>0</v>
      </c>
      <c r="O97" s="87">
        <v>0</v>
      </c>
      <c r="P97" s="87">
        <v>0</v>
      </c>
      <c r="Q97" s="87">
        <v>0</v>
      </c>
      <c r="R97" s="87">
        <v>0</v>
      </c>
      <c r="S97" s="112">
        <f t="shared" si="20"/>
        <v>6389261.0814895649</v>
      </c>
      <c r="T97" s="465">
        <f t="shared" si="21"/>
        <v>0.13780056682676023</v>
      </c>
    </row>
    <row r="98" spans="1:20">
      <c r="A98" s="116" t="str">
        <f t="shared" si="17"/>
        <v>713p</v>
      </c>
      <c r="B98" s="557" t="str">
        <f>+VLOOKUP(LEFT($A98,LEN(A98)-1)*1,Master!$D$29:$G$228,4,FALSE)</f>
        <v>Duties</v>
      </c>
      <c r="C98" s="558"/>
      <c r="D98" s="558"/>
      <c r="E98" s="558"/>
      <c r="F98" s="558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0</v>
      </c>
      <c r="N98" s="83">
        <v>0</v>
      </c>
      <c r="O98" s="83">
        <v>0</v>
      </c>
      <c r="P98" s="83">
        <v>0</v>
      </c>
      <c r="Q98" s="83">
        <v>0</v>
      </c>
      <c r="R98" s="83">
        <v>0</v>
      </c>
      <c r="S98" s="113">
        <f t="shared" si="20"/>
        <v>5586349.0751029821</v>
      </c>
      <c r="T98" s="466">
        <f t="shared" si="21"/>
        <v>0.12048373970372649</v>
      </c>
    </row>
    <row r="99" spans="1:20">
      <c r="A99" s="116" t="str">
        <f t="shared" si="17"/>
        <v>714p</v>
      </c>
      <c r="B99" s="557" t="str">
        <f>+VLOOKUP(LEFT($A99,LEN(A99)-1)*1,Master!$D$29:$G$228,4,FALSE)</f>
        <v>Fees</v>
      </c>
      <c r="C99" s="558"/>
      <c r="D99" s="558"/>
      <c r="E99" s="558"/>
      <c r="F99" s="558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0</v>
      </c>
      <c r="N99" s="83">
        <v>0</v>
      </c>
      <c r="O99" s="83">
        <v>0</v>
      </c>
      <c r="P99" s="83">
        <v>0</v>
      </c>
      <c r="Q99" s="83">
        <v>0</v>
      </c>
      <c r="R99" s="83">
        <v>0</v>
      </c>
      <c r="S99" s="113">
        <f t="shared" si="20"/>
        <v>14502330.810648357</v>
      </c>
      <c r="T99" s="466">
        <f t="shared" si="21"/>
        <v>0.31277942480801357</v>
      </c>
    </row>
    <row r="100" spans="1:20">
      <c r="A100" s="116" t="str">
        <f t="shared" si="17"/>
        <v>715p</v>
      </c>
      <c r="B100" s="557" t="str">
        <f>+VLOOKUP(LEFT($A100,LEN(A100)-1)*1,Master!$D$29:$G$228,4,FALSE)</f>
        <v>Other revenues</v>
      </c>
      <c r="C100" s="558"/>
      <c r="D100" s="558"/>
      <c r="E100" s="558"/>
      <c r="F100" s="558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0</v>
      </c>
      <c r="N100" s="83">
        <v>0</v>
      </c>
      <c r="O100" s="83">
        <v>0</v>
      </c>
      <c r="P100" s="83">
        <v>0</v>
      </c>
      <c r="Q100" s="83">
        <v>0</v>
      </c>
      <c r="R100" s="83">
        <v>0</v>
      </c>
      <c r="S100" s="113">
        <f t="shared" si="20"/>
        <v>14597924.510101624</v>
      </c>
      <c r="T100" s="466">
        <f t="shared" si="21"/>
        <v>0.31484114459089901</v>
      </c>
    </row>
    <row r="101" spans="1:20">
      <c r="A101" s="116" t="str">
        <f t="shared" si="17"/>
        <v>73p</v>
      </c>
      <c r="B101" s="557" t="str">
        <f>+VLOOKUP(LEFT($A101,LEN(A101)-1)*1,Master!$D$29:$G$228,4,FALSE)</f>
        <v>Receipts from Repayment of Loans and Funds Carried over from Previous Year</v>
      </c>
      <c r="C101" s="558"/>
      <c r="D101" s="558"/>
      <c r="E101" s="558"/>
      <c r="F101" s="558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0</v>
      </c>
      <c r="N101" s="83">
        <v>0</v>
      </c>
      <c r="O101" s="83">
        <v>0</v>
      </c>
      <c r="P101" s="83">
        <v>0</v>
      </c>
      <c r="Q101" s="83">
        <v>0</v>
      </c>
      <c r="R101" s="83">
        <v>0</v>
      </c>
      <c r="S101" s="113">
        <f t="shared" si="20"/>
        <v>3526090.3097397257</v>
      </c>
      <c r="T101" s="466">
        <f t="shared" si="21"/>
        <v>7.604905123883289E-2</v>
      </c>
    </row>
    <row r="102" spans="1:20" ht="13.5" thickBot="1">
      <c r="A102" s="116" t="str">
        <f t="shared" si="17"/>
        <v>74p</v>
      </c>
      <c r="B102" s="553" t="str">
        <f>+VLOOKUP(LEFT($A102,LEN(A102)-1)*1,Master!$D$29:$G$228,4,FALSE)</f>
        <v>Grants and Transfers</v>
      </c>
      <c r="C102" s="554"/>
      <c r="D102" s="554"/>
      <c r="E102" s="554"/>
      <c r="F102" s="554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0</v>
      </c>
      <c r="N102" s="83">
        <v>0</v>
      </c>
      <c r="O102" s="83">
        <v>0</v>
      </c>
      <c r="P102" s="83">
        <v>0</v>
      </c>
      <c r="Q102" s="83">
        <v>0</v>
      </c>
      <c r="R102" s="83">
        <v>0</v>
      </c>
      <c r="S102" s="114">
        <f t="shared" si="20"/>
        <v>16389210.203397758</v>
      </c>
      <c r="T102" s="467">
        <f t="shared" si="21"/>
        <v>0.35347474881158086</v>
      </c>
    </row>
    <row r="103" spans="1:20" ht="13.5" thickBot="1">
      <c r="A103" s="116" t="str">
        <f t="shared" si="17"/>
        <v>4p</v>
      </c>
      <c r="B103" s="535" t="str">
        <f>+VLOOKUP(LEFT($A103,LEN(A103)-1)*1,Master!$D$29:$G$228,4,FALSE)</f>
        <v>Total Expenditures</v>
      </c>
      <c r="C103" s="536"/>
      <c r="D103" s="536"/>
      <c r="E103" s="536"/>
      <c r="F103" s="536"/>
      <c r="G103" s="93">
        <f t="shared" ref="G103:R103" si="23">+G104+G114+G120+SUM(G121:G125)</f>
        <v>187305793.07270002</v>
      </c>
      <c r="H103" s="93">
        <f t="shared" si="23"/>
        <v>171688751.44849998</v>
      </c>
      <c r="I103" s="93">
        <f t="shared" si="23"/>
        <v>170392955.61309999</v>
      </c>
      <c r="J103" s="93">
        <f t="shared" si="23"/>
        <v>164798207.99250004</v>
      </c>
      <c r="K103" s="93">
        <f t="shared" si="23"/>
        <v>179716035.72759998</v>
      </c>
      <c r="L103" s="93">
        <f t="shared" si="23"/>
        <v>160395189.78650001</v>
      </c>
      <c r="M103" s="93">
        <f t="shared" si="23"/>
        <v>0</v>
      </c>
      <c r="N103" s="93">
        <f t="shared" si="23"/>
        <v>0</v>
      </c>
      <c r="O103" s="93">
        <f t="shared" si="23"/>
        <v>0</v>
      </c>
      <c r="P103" s="93">
        <f t="shared" si="23"/>
        <v>0</v>
      </c>
      <c r="Q103" s="93">
        <f t="shared" si="23"/>
        <v>0</v>
      </c>
      <c r="R103" s="93">
        <f t="shared" si="23"/>
        <v>0</v>
      </c>
      <c r="S103" s="452">
        <f>+SUM(G103:R103)</f>
        <v>1034296933.6409</v>
      </c>
      <c r="T103" s="479">
        <f t="shared" si="21"/>
        <v>22.307228004160375</v>
      </c>
    </row>
    <row r="104" spans="1:20">
      <c r="A104" s="116" t="str">
        <f t="shared" si="17"/>
        <v>41p</v>
      </c>
      <c r="B104" s="555" t="str">
        <f>+VLOOKUP(LEFT($A104,LEN(A104)-1)*1,Master!$D$29:$G$228,4,FALSE)</f>
        <v>Current Expenditures</v>
      </c>
      <c r="C104" s="556"/>
      <c r="D104" s="556"/>
      <c r="E104" s="556"/>
      <c r="F104" s="556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0</v>
      </c>
      <c r="N104" s="85">
        <f t="shared" si="24"/>
        <v>0</v>
      </c>
      <c r="O104" s="85">
        <f t="shared" si="24"/>
        <v>0</v>
      </c>
      <c r="P104" s="85">
        <f t="shared" si="24"/>
        <v>0</v>
      </c>
      <c r="Q104" s="85">
        <f t="shared" si="24"/>
        <v>0</v>
      </c>
      <c r="R104" s="86">
        <f t="shared" si="24"/>
        <v>0</v>
      </c>
      <c r="S104" s="111">
        <f t="shared" si="20"/>
        <v>454312695.10230005</v>
      </c>
      <c r="T104" s="464">
        <f t="shared" si="21"/>
        <v>9.7984017405491102</v>
      </c>
    </row>
    <row r="105" spans="1:20">
      <c r="A105" s="116" t="str">
        <f t="shared" si="17"/>
        <v>411p</v>
      </c>
      <c r="B105" s="551" t="str">
        <f>+VLOOKUP(LEFT($A105,LEN(A105)-1)*1,Master!$D$29:$G$228,4,FALSE)</f>
        <v>Gross Salaries and Contributions</v>
      </c>
      <c r="C105" s="552"/>
      <c r="D105" s="552"/>
      <c r="E105" s="552"/>
      <c r="F105" s="552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0</v>
      </c>
      <c r="N105" s="87">
        <v>0</v>
      </c>
      <c r="O105" s="87">
        <v>0</v>
      </c>
      <c r="P105" s="87">
        <v>0</v>
      </c>
      <c r="Q105" s="87">
        <v>0</v>
      </c>
      <c r="R105" s="87">
        <v>0</v>
      </c>
      <c r="S105" s="112">
        <f t="shared" si="20"/>
        <v>271823463.34920001</v>
      </c>
      <c r="T105" s="465">
        <f t="shared" si="21"/>
        <v>5.8625601377992496</v>
      </c>
    </row>
    <row r="106" spans="1:20">
      <c r="A106" s="116" t="str">
        <f t="shared" si="17"/>
        <v>412p</v>
      </c>
      <c r="B106" s="551" t="str">
        <f>+VLOOKUP(LEFT($A106,LEN(A106)-1)*1,Master!$D$29:$G$228,4,FALSE)</f>
        <v>Other Personal Income</v>
      </c>
      <c r="C106" s="552"/>
      <c r="D106" s="552"/>
      <c r="E106" s="552"/>
      <c r="F106" s="552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0</v>
      </c>
      <c r="N106" s="87">
        <v>0</v>
      </c>
      <c r="O106" s="87">
        <v>0</v>
      </c>
      <c r="P106" s="87">
        <v>0</v>
      </c>
      <c r="Q106" s="87">
        <v>0</v>
      </c>
      <c r="R106" s="87">
        <v>0</v>
      </c>
      <c r="S106" s="112">
        <f t="shared" si="20"/>
        <v>6546887.083999997</v>
      </c>
      <c r="T106" s="465">
        <f t="shared" si="21"/>
        <v>0.14120017003839014</v>
      </c>
    </row>
    <row r="107" spans="1:20">
      <c r="A107" s="116" t="str">
        <f t="shared" si="17"/>
        <v>413p</v>
      </c>
      <c r="B107" s="551" t="str">
        <f>+VLOOKUP(LEFT($A107,LEN(A107)-1)*1,Master!$D$29:$G$228,4,FALSE)</f>
        <v>Expenditures for Supplies</v>
      </c>
      <c r="C107" s="552"/>
      <c r="D107" s="552"/>
      <c r="E107" s="552"/>
      <c r="F107" s="552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0</v>
      </c>
      <c r="N107" s="87">
        <v>0</v>
      </c>
      <c r="O107" s="87">
        <v>0</v>
      </c>
      <c r="P107" s="87">
        <v>0</v>
      </c>
      <c r="Q107" s="87">
        <v>0</v>
      </c>
      <c r="R107" s="87">
        <v>0</v>
      </c>
      <c r="S107" s="112">
        <f t="shared" si="20"/>
        <v>19731244.275299992</v>
      </c>
      <c r="T107" s="465">
        <f t="shared" si="21"/>
        <v>0.42555416200017232</v>
      </c>
    </row>
    <row r="108" spans="1:20">
      <c r="A108" s="116" t="str">
        <f t="shared" si="17"/>
        <v>414p</v>
      </c>
      <c r="B108" s="551" t="str">
        <f>+VLOOKUP(LEFT($A108,LEN(A108)-1)*1,Master!$D$29:$G$228,4,FALSE)</f>
        <v>Expenditures for Services</v>
      </c>
      <c r="C108" s="552"/>
      <c r="D108" s="552"/>
      <c r="E108" s="552"/>
      <c r="F108" s="552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0</v>
      </c>
      <c r="N108" s="87">
        <v>0</v>
      </c>
      <c r="O108" s="87">
        <v>0</v>
      </c>
      <c r="P108" s="87">
        <v>0</v>
      </c>
      <c r="Q108" s="87">
        <v>0</v>
      </c>
      <c r="R108" s="87">
        <v>0</v>
      </c>
      <c r="S108" s="112">
        <f t="shared" si="20"/>
        <v>36107639.061700001</v>
      </c>
      <c r="T108" s="465">
        <f t="shared" si="21"/>
        <v>0.77875251394772027</v>
      </c>
    </row>
    <row r="109" spans="1:20">
      <c r="A109" s="116" t="str">
        <f t="shared" si="17"/>
        <v>415p</v>
      </c>
      <c r="B109" s="551" t="str">
        <f>+VLOOKUP(LEFT($A109,LEN(A109)-1)*1,Master!$D$29:$G$228,4,FALSE)</f>
        <v>Current Maintenance</v>
      </c>
      <c r="C109" s="552"/>
      <c r="D109" s="552"/>
      <c r="E109" s="552"/>
      <c r="F109" s="552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0</v>
      </c>
      <c r="N109" s="87">
        <v>0</v>
      </c>
      <c r="O109" s="87">
        <v>0</v>
      </c>
      <c r="P109" s="87">
        <v>0</v>
      </c>
      <c r="Q109" s="87">
        <v>0</v>
      </c>
      <c r="R109" s="87">
        <v>0</v>
      </c>
      <c r="S109" s="112">
        <f t="shared" si="20"/>
        <v>10869674.567299999</v>
      </c>
      <c r="T109" s="465">
        <f t="shared" si="21"/>
        <v>0.23443200981969545</v>
      </c>
    </row>
    <row r="110" spans="1:20">
      <c r="A110" s="116" t="str">
        <f t="shared" si="17"/>
        <v>416p</v>
      </c>
      <c r="B110" s="551" t="str">
        <f>+VLOOKUP(LEFT($A110,LEN(A110)-1)*1,Master!$D$29:$G$228,4,FALSE)</f>
        <v>Interests</v>
      </c>
      <c r="C110" s="552"/>
      <c r="D110" s="552"/>
      <c r="E110" s="552"/>
      <c r="F110" s="552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0</v>
      </c>
      <c r="N110" s="87">
        <v>0</v>
      </c>
      <c r="O110" s="87">
        <v>0</v>
      </c>
      <c r="P110" s="87">
        <v>0</v>
      </c>
      <c r="Q110" s="87">
        <v>0</v>
      </c>
      <c r="R110" s="87">
        <v>0</v>
      </c>
      <c r="S110" s="112">
        <f t="shared" si="20"/>
        <v>59452168.151100017</v>
      </c>
      <c r="T110" s="465">
        <f t="shared" si="21"/>
        <v>1.2822362970948544</v>
      </c>
    </row>
    <row r="111" spans="1:20">
      <c r="A111" s="116" t="str">
        <f t="shared" si="17"/>
        <v>417p</v>
      </c>
      <c r="B111" s="551" t="str">
        <f>+VLOOKUP(LEFT($A111,LEN(A111)-1)*1,Master!$D$29:$G$228,4,FALSE)</f>
        <v>Rent</v>
      </c>
      <c r="C111" s="552"/>
      <c r="D111" s="552"/>
      <c r="E111" s="552"/>
      <c r="F111" s="552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0</v>
      </c>
      <c r="N111" s="87">
        <v>0</v>
      </c>
      <c r="O111" s="87">
        <v>0</v>
      </c>
      <c r="P111" s="87">
        <v>0</v>
      </c>
      <c r="Q111" s="87">
        <v>0</v>
      </c>
      <c r="R111" s="87">
        <v>0</v>
      </c>
      <c r="S111" s="112">
        <f t="shared" si="20"/>
        <v>4889021.0427000001</v>
      </c>
      <c r="T111" s="465">
        <f t="shared" si="21"/>
        <v>0.10544409788853901</v>
      </c>
    </row>
    <row r="112" spans="1:20">
      <c r="A112" s="116" t="str">
        <f t="shared" si="17"/>
        <v>418p</v>
      </c>
      <c r="B112" s="551" t="str">
        <f>+VLOOKUP(LEFT($A112,LEN(A112)-1)*1,Master!$D$29:$G$228,4,FALSE)</f>
        <v>Subsidies</v>
      </c>
      <c r="C112" s="552"/>
      <c r="D112" s="552"/>
      <c r="E112" s="552"/>
      <c r="F112" s="552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0</v>
      </c>
      <c r="N112" s="87">
        <v>0</v>
      </c>
      <c r="O112" s="87">
        <v>0</v>
      </c>
      <c r="P112" s="87">
        <v>0</v>
      </c>
      <c r="Q112" s="87">
        <v>0</v>
      </c>
      <c r="R112" s="87">
        <v>0</v>
      </c>
      <c r="S112" s="112">
        <f t="shared" si="20"/>
        <v>22935970.364799999</v>
      </c>
      <c r="T112" s="465">
        <f t="shared" si="21"/>
        <v>0.49467218144329894</v>
      </c>
    </row>
    <row r="113" spans="1:20">
      <c r="A113" s="116" t="str">
        <f t="shared" si="17"/>
        <v>419p</v>
      </c>
      <c r="B113" s="551" t="str">
        <f>+VLOOKUP(LEFT($A113,LEN(A113)-1)*1,Master!$D$29:$G$228,4,FALSE)</f>
        <v>Other expenditures</v>
      </c>
      <c r="C113" s="552"/>
      <c r="D113" s="552"/>
      <c r="E113" s="552"/>
      <c r="F113" s="552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0</v>
      </c>
      <c r="N113" s="87">
        <v>0</v>
      </c>
      <c r="O113" s="87">
        <v>0</v>
      </c>
      <c r="P113" s="87">
        <v>0</v>
      </c>
      <c r="Q113" s="87">
        <v>0</v>
      </c>
      <c r="R113" s="87">
        <v>0</v>
      </c>
      <c r="S113" s="112">
        <f t="shared" si="20"/>
        <v>21956627.206199996</v>
      </c>
      <c r="T113" s="465">
        <f t="shared" si="21"/>
        <v>0.47355017051718928</v>
      </c>
    </row>
    <row r="114" spans="1:20">
      <c r="A114" s="116" t="str">
        <f t="shared" si="17"/>
        <v>42p</v>
      </c>
      <c r="B114" s="547" t="str">
        <f>+VLOOKUP(LEFT($A114,LEN(A114)-1)*1,Master!$D$29:$G$228,4,FALSE)</f>
        <v>Social Security Transfers</v>
      </c>
      <c r="C114" s="548"/>
      <c r="D114" s="548"/>
      <c r="E114" s="548"/>
      <c r="F114" s="548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0</v>
      </c>
      <c r="N114" s="84">
        <f t="shared" si="25"/>
        <v>0</v>
      </c>
      <c r="O114" s="84">
        <f t="shared" si="25"/>
        <v>0</v>
      </c>
      <c r="P114" s="84">
        <f t="shared" si="25"/>
        <v>0</v>
      </c>
      <c r="Q114" s="84">
        <f t="shared" si="25"/>
        <v>0</v>
      </c>
      <c r="R114" s="84">
        <f t="shared" si="25"/>
        <v>0</v>
      </c>
      <c r="S114" s="113">
        <f t="shared" si="20"/>
        <v>281821348.34069997</v>
      </c>
      <c r="T114" s="466">
        <f t="shared" si="21"/>
        <v>6.0781898015938394</v>
      </c>
    </row>
    <row r="115" spans="1:20">
      <c r="A115" s="116" t="str">
        <f t="shared" si="17"/>
        <v>421p</v>
      </c>
      <c r="B115" s="551" t="str">
        <f>+VLOOKUP(LEFT($A115,LEN(A115)-1)*1,Master!$D$29:$G$228,4,FALSE)</f>
        <v>Social Security</v>
      </c>
      <c r="C115" s="552"/>
      <c r="D115" s="552"/>
      <c r="E115" s="552"/>
      <c r="F115" s="552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0</v>
      </c>
      <c r="N115" s="87">
        <v>0</v>
      </c>
      <c r="O115" s="87">
        <v>0</v>
      </c>
      <c r="P115" s="87">
        <v>0</v>
      </c>
      <c r="Q115" s="87">
        <v>0</v>
      </c>
      <c r="R115" s="87">
        <v>0</v>
      </c>
      <c r="S115" s="112">
        <f t="shared" si="20"/>
        <v>40185440.640000001</v>
      </c>
      <c r="T115" s="465">
        <f t="shared" si="21"/>
        <v>0.86670061338049442</v>
      </c>
    </row>
    <row r="116" spans="1:20">
      <c r="A116" s="116" t="str">
        <f t="shared" ref="A116:A138" si="26">+CONCATENATE(A42,"p")</f>
        <v>422p</v>
      </c>
      <c r="B116" s="551" t="str">
        <f>+VLOOKUP(LEFT($A116,LEN(A116)-1)*1,Master!$D$29:$G$228,4,FALSE)</f>
        <v>Funds for redundant labor</v>
      </c>
      <c r="C116" s="552"/>
      <c r="D116" s="552"/>
      <c r="E116" s="552"/>
      <c r="F116" s="552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0</v>
      </c>
      <c r="N116" s="87">
        <v>0</v>
      </c>
      <c r="O116" s="87">
        <v>0</v>
      </c>
      <c r="P116" s="87">
        <v>0</v>
      </c>
      <c r="Q116" s="87">
        <v>0</v>
      </c>
      <c r="R116" s="87">
        <v>0</v>
      </c>
      <c r="S116" s="112">
        <f t="shared" si="20"/>
        <v>10572284.891999999</v>
      </c>
      <c r="T116" s="465">
        <f t="shared" si="21"/>
        <v>0.22801804969158432</v>
      </c>
    </row>
    <row r="117" spans="1:20">
      <c r="A117" s="116" t="str">
        <f t="shared" si="26"/>
        <v>423p</v>
      </c>
      <c r="B117" s="551" t="str">
        <f>+VLOOKUP(LEFT($A117,LEN(A117)-1)*1,Master!$D$29:$G$228,4,FALSE)</f>
        <v>Pension and Disability Insurance</v>
      </c>
      <c r="C117" s="552"/>
      <c r="D117" s="552"/>
      <c r="E117" s="552"/>
      <c r="F117" s="552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0</v>
      </c>
      <c r="N117" s="87">
        <v>0</v>
      </c>
      <c r="O117" s="87">
        <v>0</v>
      </c>
      <c r="P117" s="87">
        <v>0</v>
      </c>
      <c r="Q117" s="87">
        <v>0</v>
      </c>
      <c r="R117" s="87">
        <v>0</v>
      </c>
      <c r="S117" s="112">
        <f t="shared" si="20"/>
        <v>216714564.36389995</v>
      </c>
      <c r="T117" s="465">
        <f t="shared" si="21"/>
        <v>4.6739974197450707</v>
      </c>
    </row>
    <row r="118" spans="1:20">
      <c r="A118" s="116" t="str">
        <f t="shared" si="26"/>
        <v>424p</v>
      </c>
      <c r="B118" s="551" t="str">
        <f>+VLOOKUP(LEFT($A118,LEN(A118)-1)*1,Master!$D$29:$G$228,4,FALSE)</f>
        <v>Other Health Care Transfers</v>
      </c>
      <c r="C118" s="552"/>
      <c r="D118" s="552"/>
      <c r="E118" s="552"/>
      <c r="F118" s="552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0</v>
      </c>
      <c r="N118" s="87">
        <v>0</v>
      </c>
      <c r="O118" s="87">
        <v>0</v>
      </c>
      <c r="P118" s="87">
        <v>0</v>
      </c>
      <c r="Q118" s="87">
        <v>0</v>
      </c>
      <c r="R118" s="87">
        <v>0</v>
      </c>
      <c r="S118" s="112">
        <f t="shared" si="20"/>
        <v>9086229.6173999999</v>
      </c>
      <c r="T118" s="465">
        <f t="shared" si="21"/>
        <v>0.19596751105120133</v>
      </c>
    </row>
    <row r="119" spans="1:20">
      <c r="A119" s="116" t="str">
        <f t="shared" si="26"/>
        <v>425p</v>
      </c>
      <c r="B119" s="551" t="str">
        <f>+VLOOKUP(LEFT($A119,LEN(A119)-1)*1,Master!$D$29:$G$228,4,FALSE)</f>
        <v>Other Health Care Insurance</v>
      </c>
      <c r="C119" s="552"/>
      <c r="D119" s="552"/>
      <c r="E119" s="552"/>
      <c r="F119" s="552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0</v>
      </c>
      <c r="N119" s="87">
        <v>0</v>
      </c>
      <c r="O119" s="87">
        <v>0</v>
      </c>
      <c r="P119" s="87">
        <v>0</v>
      </c>
      <c r="Q119" s="87">
        <v>0</v>
      </c>
      <c r="R119" s="87">
        <v>0</v>
      </c>
      <c r="S119" s="112">
        <f t="shared" si="20"/>
        <v>5262828.8273999998</v>
      </c>
      <c r="T119" s="465">
        <f t="shared" si="21"/>
        <v>0.1135062077254885</v>
      </c>
    </row>
    <row r="120" spans="1:20">
      <c r="A120" s="116" t="str">
        <f t="shared" si="26"/>
        <v>43p</v>
      </c>
      <c r="B120" s="549" t="str">
        <f>+VLOOKUP(LEFT($A120,LEN(A120)-1)*1,Master!$D$29:$G$228,4,FALSE)</f>
        <v xml:space="preserve">Transfers to Institutions, Individuals, NGO and Public Sector </v>
      </c>
      <c r="C120" s="550"/>
      <c r="D120" s="550"/>
      <c r="E120" s="550"/>
      <c r="F120" s="550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0</v>
      </c>
      <c r="N120" s="83">
        <v>0</v>
      </c>
      <c r="O120" s="83">
        <v>0</v>
      </c>
      <c r="P120" s="83">
        <v>0</v>
      </c>
      <c r="Q120" s="83">
        <v>0</v>
      </c>
      <c r="R120" s="83">
        <v>0</v>
      </c>
      <c r="S120" s="113">
        <f>+SUM(G120:R120)</f>
        <v>134291475.43370003</v>
      </c>
      <c r="T120" s="466">
        <f t="shared" si="21"/>
        <v>2.8963351471703409</v>
      </c>
    </row>
    <row r="121" spans="1:20">
      <c r="A121" s="116" t="str">
        <f t="shared" si="26"/>
        <v>44p</v>
      </c>
      <c r="B121" s="549" t="str">
        <f>+VLOOKUP(LEFT($A121,LEN(A121)-1)*1,Master!$D$29:$G$228,4,FALSE)</f>
        <v>Capital Expenditure</v>
      </c>
      <c r="C121" s="550"/>
      <c r="D121" s="550"/>
      <c r="E121" s="550"/>
      <c r="F121" s="550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0</v>
      </c>
      <c r="N121" s="83">
        <v>0</v>
      </c>
      <c r="O121" s="83">
        <v>0</v>
      </c>
      <c r="P121" s="83">
        <v>0</v>
      </c>
      <c r="Q121" s="83">
        <v>0</v>
      </c>
      <c r="R121" s="83">
        <v>0</v>
      </c>
      <c r="S121" s="113">
        <f t="shared" si="20"/>
        <v>91116023.7544</v>
      </c>
      <c r="T121" s="466">
        <f t="shared" si="21"/>
        <v>1.9651473871888883</v>
      </c>
    </row>
    <row r="122" spans="1:20">
      <c r="A122" s="116" t="str">
        <f t="shared" si="26"/>
        <v>451p</v>
      </c>
      <c r="B122" s="541" t="str">
        <f>+VLOOKUP(LEFT($A122,LEN(A122)-1)*1,Master!$D$29:$G$228,4,FALSE)</f>
        <v>Credits and Borrowings</v>
      </c>
      <c r="C122" s="542"/>
      <c r="D122" s="542"/>
      <c r="E122" s="542"/>
      <c r="F122" s="542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0</v>
      </c>
      <c r="N122" s="87">
        <v>0</v>
      </c>
      <c r="O122" s="87">
        <v>0</v>
      </c>
      <c r="P122" s="87">
        <v>0</v>
      </c>
      <c r="Q122" s="87">
        <v>0</v>
      </c>
      <c r="R122" s="87">
        <v>0</v>
      </c>
      <c r="S122" s="112">
        <f t="shared" si="20"/>
        <v>1021281.6696000001</v>
      </c>
      <c r="T122" s="465">
        <f t="shared" si="21"/>
        <v>2.2026520933442612E-2</v>
      </c>
    </row>
    <row r="123" spans="1:20">
      <c r="A123" s="116" t="str">
        <f t="shared" si="26"/>
        <v>47p</v>
      </c>
      <c r="B123" s="541" t="str">
        <f>+VLOOKUP(LEFT($A123,LEN(A123)-1)*1,Master!$D$29:$G$228,4,FALSE)</f>
        <v>Reserves</v>
      </c>
      <c r="C123" s="542"/>
      <c r="D123" s="542"/>
      <c r="E123" s="542"/>
      <c r="F123" s="542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0</v>
      </c>
      <c r="N123" s="87">
        <v>0</v>
      </c>
      <c r="O123" s="87">
        <v>0</v>
      </c>
      <c r="P123" s="87">
        <v>0</v>
      </c>
      <c r="Q123" s="87">
        <v>0</v>
      </c>
      <c r="R123" s="87">
        <v>0</v>
      </c>
      <c r="S123" s="112">
        <f t="shared" si="20"/>
        <v>52964273.220000006</v>
      </c>
      <c r="T123" s="465">
        <f t="shared" si="21"/>
        <v>1.1423084419617824</v>
      </c>
    </row>
    <row r="124" spans="1:20">
      <c r="A124" s="116" t="str">
        <f t="shared" si="26"/>
        <v>462p</v>
      </c>
      <c r="B124" s="541" t="str">
        <f>+VLOOKUP(LEFT($A124,LEN(A124)-1)*1,Master!$D$29:$G$228,4,FALSE)</f>
        <v>Repayment of Guarantees</v>
      </c>
      <c r="C124" s="542"/>
      <c r="D124" s="542"/>
      <c r="E124" s="542"/>
      <c r="F124" s="542"/>
      <c r="G124" s="87">
        <v>3836366.14</v>
      </c>
      <c r="H124" s="87">
        <v>20000</v>
      </c>
      <c r="I124" s="87">
        <v>20000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3876366.14</v>
      </c>
      <c r="T124" s="465">
        <f t="shared" si="21"/>
        <v>8.3603634991157319E-2</v>
      </c>
    </row>
    <row r="125" spans="1:20">
      <c r="A125" s="117" t="str">
        <f t="shared" si="26"/>
        <v>4630p</v>
      </c>
      <c r="B125" s="541" t="str">
        <f>+VLOOKUP(LEFT($A125,LEN(A125)-1)*1,Master!$D$29:$G$228,4,FALSE)</f>
        <v>Repayments of liabilities form the previous period</v>
      </c>
      <c r="C125" s="542"/>
      <c r="D125" s="542"/>
      <c r="E125" s="542"/>
      <c r="F125" s="542"/>
      <c r="G125" s="96">
        <v>1590076.06</v>
      </c>
      <c r="H125" s="87">
        <v>2656778.3092999929</v>
      </c>
      <c r="I125" s="87">
        <v>2677062.2602999979</v>
      </c>
      <c r="J125" s="87">
        <v>2665179.0145999948</v>
      </c>
      <c r="K125" s="87">
        <v>2652188.0464999946</v>
      </c>
      <c r="L125" s="87">
        <v>2652186.2894999958</v>
      </c>
      <c r="M125" s="87">
        <v>0</v>
      </c>
      <c r="N125" s="87">
        <v>0</v>
      </c>
      <c r="O125" s="87">
        <v>0</v>
      </c>
      <c r="P125" s="87">
        <v>0</v>
      </c>
      <c r="Q125" s="87">
        <v>0</v>
      </c>
      <c r="R125" s="87">
        <v>0</v>
      </c>
      <c r="S125" s="103">
        <f>+SUM(G125:R125)</f>
        <v>14893469.980199976</v>
      </c>
      <c r="T125" s="473">
        <f t="shared" si="21"/>
        <v>0.32121532977181499</v>
      </c>
    </row>
    <row r="126" spans="1:20" ht="13.5" thickBot="1">
      <c r="A126" s="116" t="str">
        <f t="shared" si="26"/>
        <v>1005p</v>
      </c>
      <c r="B126" s="541" t="str">
        <f>+VLOOKUP(LEFT($A126,LEN(A126)-1)*1,Master!$D$29:$G$228,4,FALSE)</f>
        <v>Net increase of liabilities</v>
      </c>
      <c r="C126" s="542"/>
      <c r="D126" s="542"/>
      <c r="E126" s="542"/>
      <c r="F126" s="542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70">
        <f t="shared" si="21"/>
        <v>0</v>
      </c>
    </row>
    <row r="127" spans="1:20" ht="13.5" thickBot="1">
      <c r="A127" s="117" t="str">
        <f t="shared" si="26"/>
        <v>1000p</v>
      </c>
      <c r="B127" s="543" t="str">
        <f>+VLOOKUP(LEFT($A127,LEN(A127)-1)*1,Master!$D$29:$G$225,4,FALSE)</f>
        <v>Surplus / deficit</v>
      </c>
      <c r="C127" s="544"/>
      <c r="D127" s="544"/>
      <c r="E127" s="544"/>
      <c r="F127" s="544"/>
      <c r="G127" s="93">
        <f t="shared" ref="G127:R127" si="27">+G84-G103</f>
        <v>-98727574.791282132</v>
      </c>
      <c r="H127" s="93">
        <f t="shared" si="27"/>
        <v>-62778309.733188093</v>
      </c>
      <c r="I127" s="93">
        <f t="shared" si="27"/>
        <v>-35412575.629021287</v>
      </c>
      <c r="J127" s="93">
        <f t="shared" si="27"/>
        <v>-8960368.1709368229</v>
      </c>
      <c r="K127" s="93">
        <f t="shared" si="27"/>
        <v>-38779971.255619645</v>
      </c>
      <c r="L127" s="93">
        <f t="shared" si="27"/>
        <v>-16259888.638972968</v>
      </c>
      <c r="M127" s="93">
        <f t="shared" si="27"/>
        <v>0</v>
      </c>
      <c r="N127" s="93">
        <f t="shared" si="27"/>
        <v>0</v>
      </c>
      <c r="O127" s="93">
        <f t="shared" si="27"/>
        <v>0</v>
      </c>
      <c r="P127" s="93">
        <f t="shared" si="27"/>
        <v>0</v>
      </c>
      <c r="Q127" s="93">
        <f t="shared" si="27"/>
        <v>0</v>
      </c>
      <c r="R127" s="93">
        <f t="shared" si="27"/>
        <v>0</v>
      </c>
      <c r="S127" s="106">
        <f t="shared" si="20"/>
        <v>-260918688.21902093</v>
      </c>
      <c r="T127" s="471">
        <f t="shared" si="21"/>
        <v>-5.6273710956093028</v>
      </c>
    </row>
    <row r="128" spans="1:20" ht="13.5" thickBot="1">
      <c r="A128" s="117" t="str">
        <f t="shared" si="26"/>
        <v>1001p</v>
      </c>
      <c r="B128" s="545" t="str">
        <f>+VLOOKUP(LEFT($A128,LEN(A128)-1)*1,Master!$D$29:$G$225,4,FALSE)</f>
        <v>Primary surplus/deficit</v>
      </c>
      <c r="C128" s="546"/>
      <c r="D128" s="546"/>
      <c r="E128" s="546"/>
      <c r="F128" s="546"/>
      <c r="G128" s="94">
        <f>+G127+G110</f>
        <v>-90839170.986682132</v>
      </c>
      <c r="H128" s="94">
        <f t="shared" ref="H128:R128" si="28">+H127+H110</f>
        <v>-61599552.579688095</v>
      </c>
      <c r="I128" s="94">
        <f t="shared" si="28"/>
        <v>-19813957.642021287</v>
      </c>
      <c r="J128" s="94">
        <f t="shared" si="28"/>
        <v>13527529.667463187</v>
      </c>
      <c r="K128" s="94">
        <f t="shared" si="28"/>
        <v>-31853472.920919642</v>
      </c>
      <c r="L128" s="94">
        <f t="shared" si="28"/>
        <v>-10887895.606072968</v>
      </c>
      <c r="M128" s="94">
        <f t="shared" si="28"/>
        <v>0</v>
      </c>
      <c r="N128" s="94">
        <f t="shared" si="28"/>
        <v>0</v>
      </c>
      <c r="O128" s="94">
        <f t="shared" si="28"/>
        <v>0</v>
      </c>
      <c r="P128" s="94">
        <f t="shared" si="28"/>
        <v>0</v>
      </c>
      <c r="Q128" s="94">
        <f t="shared" si="28"/>
        <v>0</v>
      </c>
      <c r="R128" s="94">
        <f t="shared" si="28"/>
        <v>0</v>
      </c>
      <c r="S128" s="106">
        <f t="shared" si="20"/>
        <v>-201466520.06792092</v>
      </c>
      <c r="T128" s="471">
        <f t="shared" si="21"/>
        <v>-4.3451347985144491</v>
      </c>
    </row>
    <row r="129" spans="1:20">
      <c r="A129" s="117" t="str">
        <f t="shared" si="26"/>
        <v>46p</v>
      </c>
      <c r="B129" s="547" t="str">
        <f>+VLOOKUP(LEFT($A129,LEN(A129)-1)*1,Master!$D$29:$G$225,4,FALSE)</f>
        <v>Repayment of Debt</v>
      </c>
      <c r="C129" s="548"/>
      <c r="D129" s="548"/>
      <c r="E129" s="548"/>
      <c r="F129" s="548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84">
        <f t="shared" si="29"/>
        <v>0</v>
      </c>
      <c r="N129" s="84">
        <f t="shared" si="29"/>
        <v>0</v>
      </c>
      <c r="O129" s="84">
        <f t="shared" si="29"/>
        <v>0</v>
      </c>
      <c r="P129" s="84">
        <f t="shared" si="29"/>
        <v>0</v>
      </c>
      <c r="Q129" s="84">
        <f t="shared" si="29"/>
        <v>0</v>
      </c>
      <c r="R129" s="84">
        <f t="shared" si="29"/>
        <v>0</v>
      </c>
      <c r="S129" s="104">
        <f t="shared" si="20"/>
        <v>369236550.82999998</v>
      </c>
      <c r="T129" s="472">
        <f t="shared" si="21"/>
        <v>7.9635196227839362</v>
      </c>
    </row>
    <row r="130" spans="1:20">
      <c r="A130" s="117" t="str">
        <f t="shared" si="26"/>
        <v>4611p</v>
      </c>
      <c r="B130" s="539" t="str">
        <f>+VLOOKUP(LEFT($A130,LEN(A130)-1)*1,Master!$D$29:$G$225,4,FALSE)</f>
        <v>Repayment of Domestic Debt</v>
      </c>
      <c r="C130" s="540"/>
      <c r="D130" s="540"/>
      <c r="E130" s="540"/>
      <c r="F130" s="540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96">
        <v>0</v>
      </c>
      <c r="N130" s="96">
        <v>0</v>
      </c>
      <c r="O130" s="96">
        <v>0</v>
      </c>
      <c r="P130" s="96">
        <v>0</v>
      </c>
      <c r="Q130" s="96">
        <v>0</v>
      </c>
      <c r="R130" s="96">
        <v>0</v>
      </c>
      <c r="S130" s="103">
        <f t="shared" si="20"/>
        <v>71274824.340000004</v>
      </c>
      <c r="T130" s="473">
        <f t="shared" si="21"/>
        <v>1.5372217646551354</v>
      </c>
    </row>
    <row r="131" spans="1:20" ht="13.5" thickBot="1">
      <c r="A131" s="117" t="str">
        <f t="shared" si="26"/>
        <v>4612p</v>
      </c>
      <c r="B131" s="541" t="str">
        <f>+VLOOKUP(LEFT($A131,LEN(A131)-1)*1,Master!$D$29:$G$225,4,FALSE)</f>
        <v>Repayment of Foreign Debt</v>
      </c>
      <c r="C131" s="542"/>
      <c r="D131" s="542"/>
      <c r="E131" s="542"/>
      <c r="F131" s="542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96">
        <v>0</v>
      </c>
      <c r="N131" s="96">
        <v>0</v>
      </c>
      <c r="O131" s="96">
        <v>0</v>
      </c>
      <c r="P131" s="96">
        <v>0</v>
      </c>
      <c r="Q131" s="96">
        <v>0</v>
      </c>
      <c r="R131" s="96">
        <v>0</v>
      </c>
      <c r="S131" s="103">
        <f t="shared" si="20"/>
        <v>297961726.48999995</v>
      </c>
      <c r="T131" s="473">
        <f t="shared" si="21"/>
        <v>6.4262978581287999</v>
      </c>
    </row>
    <row r="132" spans="1:20" ht="13.5" thickBot="1">
      <c r="A132" s="117" t="str">
        <f t="shared" si="26"/>
        <v>4418p</v>
      </c>
      <c r="B132" s="535" t="str">
        <f>+VLOOKUP(LEFT($A132,LEN(A132)-1)*1,Master!$D$29:$G$225,4,FALSE)</f>
        <v>Capital Expenditure for Securities</v>
      </c>
      <c r="C132" s="536"/>
      <c r="D132" s="536"/>
      <c r="E132" s="536"/>
      <c r="F132" s="536"/>
      <c r="G132" s="93">
        <v>523392</v>
      </c>
      <c r="H132" s="93">
        <v>13392</v>
      </c>
      <c r="I132" s="93">
        <v>0</v>
      </c>
      <c r="J132" s="93">
        <v>0</v>
      </c>
      <c r="K132" s="93">
        <v>13392</v>
      </c>
      <c r="L132" s="93">
        <v>13392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0</v>
      </c>
      <c r="S132" s="450">
        <f t="shared" si="20"/>
        <v>563568</v>
      </c>
      <c r="T132" s="480">
        <f t="shared" si="21"/>
        <v>1.2154768580425312E-2</v>
      </c>
    </row>
    <row r="133" spans="1:20" ht="13.5" thickBot="1">
      <c r="A133" s="117" t="str">
        <f t="shared" si="26"/>
        <v>1002p</v>
      </c>
      <c r="B133" s="537" t="str">
        <f>+VLOOKUP(LEFT($A133,LEN(A133)-1)*1,Master!$D$29:$G$225,4,FALSE)</f>
        <v>Financing needs</v>
      </c>
      <c r="C133" s="538"/>
      <c r="D133" s="538"/>
      <c r="E133" s="538"/>
      <c r="F133" s="538"/>
      <c r="G133" s="77">
        <f t="shared" ref="G133:R133" si="30">+G127-G129-G132</f>
        <v>-116366469.79128213</v>
      </c>
      <c r="H133" s="77">
        <f t="shared" si="30"/>
        <v>-78899134.733188093</v>
      </c>
      <c r="I133" s="77">
        <f t="shared" si="30"/>
        <v>-302601019.62902129</v>
      </c>
      <c r="J133" s="77">
        <f t="shared" si="30"/>
        <v>-41871087.030936822</v>
      </c>
      <c r="K133" s="77">
        <f t="shared" si="30"/>
        <v>-55247794.085619643</v>
      </c>
      <c r="L133" s="77">
        <f t="shared" si="30"/>
        <v>-35733301.778972968</v>
      </c>
      <c r="M133" s="77">
        <f t="shared" si="30"/>
        <v>0</v>
      </c>
      <c r="N133" s="77">
        <f t="shared" si="30"/>
        <v>0</v>
      </c>
      <c r="O133" s="77">
        <f t="shared" si="30"/>
        <v>0</v>
      </c>
      <c r="P133" s="77">
        <f t="shared" si="30"/>
        <v>0</v>
      </c>
      <c r="Q133" s="77">
        <f t="shared" si="30"/>
        <v>0</v>
      </c>
      <c r="R133" s="77">
        <f t="shared" si="30"/>
        <v>0</v>
      </c>
      <c r="S133" s="109">
        <f t="shared" si="20"/>
        <v>-630718807.04902101</v>
      </c>
      <c r="T133" s="475">
        <f t="shared" si="21"/>
        <v>-13.603045486973667</v>
      </c>
    </row>
    <row r="134" spans="1:20" ht="13.5" thickBot="1">
      <c r="A134" s="117" t="str">
        <f t="shared" si="26"/>
        <v>1003p</v>
      </c>
      <c r="B134" s="535" t="str">
        <f>+VLOOKUP(LEFT($A134,LEN(A134)-1)*1,Master!$D$29:$G$225,4,FALSE)</f>
        <v>Financing</v>
      </c>
      <c r="C134" s="536"/>
      <c r="D134" s="536"/>
      <c r="E134" s="536"/>
      <c r="F134" s="536"/>
      <c r="G134" s="93">
        <f t="shared" ref="G134:R134" si="31">+SUM(G135:G138)</f>
        <v>116366469.79128213</v>
      </c>
      <c r="H134" s="93">
        <f t="shared" si="31"/>
        <v>78899134.733188093</v>
      </c>
      <c r="I134" s="93">
        <f t="shared" si="31"/>
        <v>302601019.62902129</v>
      </c>
      <c r="J134" s="93">
        <f t="shared" si="31"/>
        <v>41871087.030936822</v>
      </c>
      <c r="K134" s="93">
        <f t="shared" si="31"/>
        <v>55247794.085619643</v>
      </c>
      <c r="L134" s="93">
        <f t="shared" si="31"/>
        <v>35733301.778972968</v>
      </c>
      <c r="M134" s="93">
        <f t="shared" si="31"/>
        <v>0</v>
      </c>
      <c r="N134" s="93">
        <f t="shared" si="31"/>
        <v>0</v>
      </c>
      <c r="O134" s="93">
        <f t="shared" si="31"/>
        <v>0</v>
      </c>
      <c r="P134" s="93">
        <f t="shared" si="31"/>
        <v>0</v>
      </c>
      <c r="Q134" s="93">
        <f t="shared" si="31"/>
        <v>0</v>
      </c>
      <c r="R134" s="93">
        <f t="shared" si="31"/>
        <v>0</v>
      </c>
      <c r="S134" s="110">
        <f t="shared" si="20"/>
        <v>630718807.04902101</v>
      </c>
      <c r="T134" s="476">
        <f t="shared" si="21"/>
        <v>13.603045486973667</v>
      </c>
    </row>
    <row r="135" spans="1:20">
      <c r="A135" s="117" t="str">
        <f t="shared" si="26"/>
        <v>7511p</v>
      </c>
      <c r="B135" s="539" t="str">
        <f>+VLOOKUP(LEFT($A135,LEN(A135)-1)*1,Master!$D$29:$G$225,4,FALSE)</f>
        <v>Domestic Loans and Borrowings</v>
      </c>
      <c r="C135" s="540"/>
      <c r="D135" s="540"/>
      <c r="E135" s="540"/>
      <c r="F135" s="540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3">
        <f t="shared" si="21"/>
        <v>0</v>
      </c>
    </row>
    <row r="136" spans="1:20">
      <c r="A136" s="117" t="str">
        <f t="shared" si="26"/>
        <v>7512p</v>
      </c>
      <c r="B136" s="541" t="str">
        <f>+VLOOKUP(LEFT($A136,LEN(A136)-1)*1,Master!$D$29:$G$225,4,FALSE)</f>
        <v>Foreign Loans and Borrowings</v>
      </c>
      <c r="C136" s="542"/>
      <c r="D136" s="542"/>
      <c r="E136" s="542"/>
      <c r="F136" s="542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0</v>
      </c>
      <c r="N136" s="96">
        <v>0</v>
      </c>
      <c r="O136" s="96">
        <v>0</v>
      </c>
      <c r="P136" s="96">
        <v>0</v>
      </c>
      <c r="Q136" s="96">
        <v>0</v>
      </c>
      <c r="R136" s="96">
        <v>0</v>
      </c>
      <c r="S136" s="103">
        <f t="shared" si="20"/>
        <v>51600000</v>
      </c>
      <c r="T136" s="473">
        <f t="shared" si="21"/>
        <v>1.1128844411853513</v>
      </c>
    </row>
    <row r="137" spans="1:20">
      <c r="A137" s="117" t="str">
        <f t="shared" si="26"/>
        <v>72p</v>
      </c>
      <c r="B137" s="541" t="str">
        <f>+VLOOKUP(LEFT($A137,LEN(A137)-1)*1,Master!$D$29:$G$225,4,FALSE)</f>
        <v>Revenues from Selling Assets</v>
      </c>
      <c r="C137" s="542"/>
      <c r="D137" s="542"/>
      <c r="E137" s="542"/>
      <c r="F137" s="542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0</v>
      </c>
      <c r="N137" s="96">
        <v>0</v>
      </c>
      <c r="O137" s="96">
        <v>0</v>
      </c>
      <c r="P137" s="96">
        <v>0</v>
      </c>
      <c r="Q137" s="96">
        <v>0</v>
      </c>
      <c r="R137" s="96">
        <v>0</v>
      </c>
      <c r="S137" s="103">
        <f t="shared" si="20"/>
        <v>802782.51</v>
      </c>
      <c r="T137" s="473">
        <f t="shared" si="21"/>
        <v>1.7314034206099296E-2</v>
      </c>
    </row>
    <row r="138" spans="1:20" ht="13.5" thickBot="1">
      <c r="A138" s="117" t="str">
        <f t="shared" si="26"/>
        <v>1004p</v>
      </c>
      <c r="B138" s="98" t="str">
        <f>+VLOOKUP(LEFT($A138,LEN(A138)-1)*1,Master!$D$29:$G$225,4,FALSE)</f>
        <v>Increase / decrease of deposits</v>
      </c>
      <c r="C138" s="99"/>
      <c r="D138" s="99"/>
      <c r="E138" s="99"/>
      <c r="F138" s="99"/>
      <c r="G138" s="97">
        <f t="shared" ref="G138:R138" si="32">-G133-SUM(G135:G137)</f>
        <v>109303687.28128213</v>
      </c>
      <c r="H138" s="97">
        <f t="shared" si="32"/>
        <v>78669134.733188093</v>
      </c>
      <c r="I138" s="97">
        <f t="shared" si="32"/>
        <v>302131019.62902129</v>
      </c>
      <c r="J138" s="97">
        <f t="shared" si="32"/>
        <v>31831087.030936822</v>
      </c>
      <c r="K138" s="97">
        <f t="shared" si="32"/>
        <v>53947794.085619643</v>
      </c>
      <c r="L138" s="97">
        <f t="shared" si="32"/>
        <v>2433301.7789729685</v>
      </c>
      <c r="M138" s="97">
        <f t="shared" si="32"/>
        <v>0</v>
      </c>
      <c r="N138" s="97">
        <f t="shared" si="32"/>
        <v>0</v>
      </c>
      <c r="O138" s="97">
        <f t="shared" si="32"/>
        <v>0</v>
      </c>
      <c r="P138" s="97">
        <f t="shared" si="32"/>
        <v>0</v>
      </c>
      <c r="Q138" s="97">
        <f t="shared" si="32"/>
        <v>0</v>
      </c>
      <c r="R138" s="97">
        <f t="shared" si="32"/>
        <v>0</v>
      </c>
      <c r="S138" s="105">
        <f t="shared" si="20"/>
        <v>578316024.53902102</v>
      </c>
      <c r="T138" s="477">
        <f t="shared" si="21"/>
        <v>12.472847011582216</v>
      </c>
    </row>
  </sheetData>
  <sheetProtection algorithmName="SHA-512" hashValue="suGHLQmxupXeuFq/5iB0Qdfd8OUXOzhwOhorpWRcLYprcoi830ZHHe3vhzV2Qu8/to9Lyg02WTopr9tqacQvxA==" saltValue="Fk0e9lflsPk4qOaq6xv45Q==" spinCount="100000" sheet="1" objects="1" scenarios="1"/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7"/>
  <sheetViews>
    <sheetView zoomScaleNormal="100" workbookViewId="0">
      <pane ySplit="1" topLeftCell="A2" activePane="bottomLeft" state="frozen"/>
      <selection pane="bottomLeft" activeCell="A15" sqref="A15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Montenegro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Ministry of Finance and social welfare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Directorate for State Budget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590" t="str">
        <f>+Master!G251</f>
        <v>Budget Execution</v>
      </c>
      <c r="C7" s="490"/>
      <c r="D7" s="490"/>
      <c r="E7" s="490"/>
      <c r="F7" s="490"/>
      <c r="G7" s="498">
        <v>2020</v>
      </c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502"/>
      <c r="S7" s="235" t="str">
        <f>+Master!G248</f>
        <v>GDP</v>
      </c>
      <c r="T7" s="236">
        <v>4193200000</v>
      </c>
    </row>
    <row r="8" spans="1:20" ht="16.5" customHeight="1">
      <c r="A8" s="144"/>
      <c r="B8" s="491"/>
      <c r="C8" s="492"/>
      <c r="D8" s="492"/>
      <c r="E8" s="492"/>
      <c r="F8" s="493"/>
      <c r="G8" s="145" t="str">
        <f>+Master!G231</f>
        <v>January</v>
      </c>
      <c r="H8" s="145" t="str">
        <f>+Master!G232</f>
        <v>February</v>
      </c>
      <c r="I8" s="145" t="str">
        <f>+Master!G233</f>
        <v>March</v>
      </c>
      <c r="J8" s="145" t="str">
        <f>+Master!G234</f>
        <v>April</v>
      </c>
      <c r="K8" s="145" t="str">
        <f>+Master!G235</f>
        <v>May</v>
      </c>
      <c r="L8" s="145" t="str">
        <f>+Master!G236</f>
        <v>June</v>
      </c>
      <c r="M8" s="145" t="str">
        <f>+Master!G237</f>
        <v>July</v>
      </c>
      <c r="N8" s="145" t="str">
        <f>+Master!G238</f>
        <v>August</v>
      </c>
      <c r="O8" s="145" t="str">
        <f>+Master!G239</f>
        <v>September</v>
      </c>
      <c r="P8" s="145" t="str">
        <f>+Master!G240</f>
        <v>October</v>
      </c>
      <c r="Q8" s="145" t="str">
        <f>+Master!G241</f>
        <v>November</v>
      </c>
      <c r="R8" s="145" t="str">
        <f>+Master!G242</f>
        <v>December</v>
      </c>
      <c r="S8" s="498" t="str">
        <f>+Master!G246</f>
        <v>Jan - Dec</v>
      </c>
      <c r="T8" s="502"/>
    </row>
    <row r="9" spans="1:20" ht="13.5" thickBot="1">
      <c r="A9" s="144"/>
      <c r="B9" s="494"/>
      <c r="C9" s="495"/>
      <c r="D9" s="495"/>
      <c r="E9" s="495"/>
      <c r="F9" s="49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GDP</v>
      </c>
    </row>
    <row r="10" spans="1:20" ht="13.5" thickBot="1">
      <c r="A10" s="150">
        <v>7</v>
      </c>
      <c r="B10" s="531" t="str">
        <f>+VLOOKUP($A10,Master!$D$29:$G$225,4,FALSE)</f>
        <v>Total Revenues</v>
      </c>
      <c r="C10" s="532"/>
      <c r="D10" s="532"/>
      <c r="E10" s="532"/>
      <c r="F10" s="532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5">
        <f>+S10/$T$7*100</f>
        <v>39.07586188567204</v>
      </c>
    </row>
    <row r="11" spans="1:20">
      <c r="A11" s="150">
        <v>711</v>
      </c>
      <c r="B11" s="533" t="str">
        <f>+VLOOKUP($A11,Master!$D$29:$G$225,4,FALSE)</f>
        <v>Taxes</v>
      </c>
      <c r="C11" s="534"/>
      <c r="D11" s="534"/>
      <c r="E11" s="534"/>
      <c r="F11" s="534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6">
        <f t="shared" ref="T11:T64" si="4">+S11/$T$7*100</f>
        <v>23.03977473719355</v>
      </c>
    </row>
    <row r="12" spans="1:20">
      <c r="A12" s="150">
        <v>7111</v>
      </c>
      <c r="B12" s="519" t="str">
        <f>+VLOOKUP($A12,Master!$D$29:$G$225,4,FALSE)</f>
        <v>Personal Income Tax</v>
      </c>
      <c r="C12" s="520"/>
      <c r="D12" s="520"/>
      <c r="E12" s="520"/>
      <c r="F12" s="520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7">
        <f t="shared" si="4"/>
        <v>2.822236689878852</v>
      </c>
    </row>
    <row r="13" spans="1:20">
      <c r="A13" s="150">
        <v>7112</v>
      </c>
      <c r="B13" s="519" t="str">
        <f>+VLOOKUP($A13,Master!$D$29:$G$225,4,FALSE)</f>
        <v>Corporate Income Tax</v>
      </c>
      <c r="C13" s="520"/>
      <c r="D13" s="520"/>
      <c r="E13" s="520"/>
      <c r="F13" s="520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7">
        <f t="shared" si="4"/>
        <v>1.8702984978059716</v>
      </c>
    </row>
    <row r="14" spans="1:20">
      <c r="A14" s="150">
        <v>7113</v>
      </c>
      <c r="B14" s="519" t="str">
        <f>+VLOOKUP($A14,Master!$D$29:$G$225,4,FALSE)</f>
        <v xml:space="preserve">Taxes on Sales of Property </v>
      </c>
      <c r="C14" s="520"/>
      <c r="D14" s="520"/>
      <c r="E14" s="520"/>
      <c r="F14" s="520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7">
        <f t="shared" si="4"/>
        <v>3.6808421253457985E-2</v>
      </c>
    </row>
    <row r="15" spans="1:20">
      <c r="A15" s="150">
        <v>7114</v>
      </c>
      <c r="B15" s="519" t="str">
        <f>+VLOOKUP($A15,Master!$D$29:$G$225,4,FALSE)</f>
        <v>Value Added Tax</v>
      </c>
      <c r="C15" s="520"/>
      <c r="D15" s="520"/>
      <c r="E15" s="520"/>
      <c r="F15" s="520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7">
        <f t="shared" si="4"/>
        <v>12.634274825670133</v>
      </c>
    </row>
    <row r="16" spans="1:20">
      <c r="A16" s="150">
        <v>7115</v>
      </c>
      <c r="B16" s="519" t="str">
        <f>+VLOOKUP($A16,Master!$D$29:$G$225,4,FALSE)</f>
        <v>Excises</v>
      </c>
      <c r="C16" s="520"/>
      <c r="D16" s="520"/>
      <c r="E16" s="520"/>
      <c r="F16" s="520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7">
        <f t="shared" si="4"/>
        <v>4.8982304151960321</v>
      </c>
    </row>
    <row r="17" spans="1:25">
      <c r="A17" s="150">
        <v>7116</v>
      </c>
      <c r="B17" s="519" t="str">
        <f>+VLOOKUP($A17,Master!$D$29:$G$225,4,FALSE)</f>
        <v>Tax on International Trade and Transactions</v>
      </c>
      <c r="C17" s="520"/>
      <c r="D17" s="520"/>
      <c r="E17" s="520"/>
      <c r="F17" s="520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7">
        <f t="shared" si="4"/>
        <v>0.53987197534102827</v>
      </c>
    </row>
    <row r="18" spans="1:25">
      <c r="A18" s="150">
        <v>7118</v>
      </c>
      <c r="B18" s="519" t="str">
        <f>+VLOOKUP($A18,Master!$D$29:$G$225,4,FALSE)</f>
        <v>Other Republic Taxes</v>
      </c>
      <c r="C18" s="520"/>
      <c r="D18" s="520"/>
      <c r="E18" s="520"/>
      <c r="F18" s="520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7">
        <f t="shared" si="4"/>
        <v>0.23805391204807785</v>
      </c>
    </row>
    <row r="19" spans="1:25">
      <c r="A19" s="150">
        <v>712</v>
      </c>
      <c r="B19" s="529" t="str">
        <f>+VLOOKUP($A19,Master!$D$29:$G$225,4,FALSE)</f>
        <v>Contributions</v>
      </c>
      <c r="C19" s="530"/>
      <c r="D19" s="530"/>
      <c r="E19" s="530"/>
      <c r="F19" s="530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8">
        <f t="shared" si="4"/>
        <v>12.663850314556901</v>
      </c>
    </row>
    <row r="20" spans="1:25">
      <c r="A20" s="150">
        <v>7121</v>
      </c>
      <c r="B20" s="519" t="str">
        <f>+VLOOKUP($A20,Master!$D$29:$G$225,4,FALSE)</f>
        <v>Contributions for Pension and Disability Insurance</v>
      </c>
      <c r="C20" s="520"/>
      <c r="D20" s="520"/>
      <c r="E20" s="520"/>
      <c r="F20" s="520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7">
        <f t="shared" si="4"/>
        <v>7.8891372670037203</v>
      </c>
    </row>
    <row r="21" spans="1:25">
      <c r="A21" s="150">
        <v>7122</v>
      </c>
      <c r="B21" s="519" t="str">
        <f>+VLOOKUP($A21,Master!$D$29:$G$225,4,FALSE)</f>
        <v>Contributions for Health Insurance</v>
      </c>
      <c r="C21" s="520"/>
      <c r="D21" s="520"/>
      <c r="E21" s="520"/>
      <c r="F21" s="520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7">
        <f t="shared" si="4"/>
        <v>4.0914253806162346</v>
      </c>
    </row>
    <row r="22" spans="1:25">
      <c r="A22" s="150">
        <v>7123</v>
      </c>
      <c r="B22" s="519" t="str">
        <f>+VLOOKUP($A22,Master!$D$29:$G$225,4,FALSE)</f>
        <v>Contributions for  Unemployment Insurance</v>
      </c>
      <c r="C22" s="520"/>
      <c r="D22" s="520"/>
      <c r="E22" s="520"/>
      <c r="F22" s="520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7">
        <f t="shared" si="4"/>
        <v>0.36772938471811512</v>
      </c>
    </row>
    <row r="23" spans="1:25">
      <c r="A23" s="150">
        <v>7124</v>
      </c>
      <c r="B23" s="519" t="str">
        <f>+VLOOKUP($A23,Master!$D$29:$G$225,4,FALSE)</f>
        <v>Other contributions</v>
      </c>
      <c r="C23" s="520"/>
      <c r="D23" s="520"/>
      <c r="E23" s="520"/>
      <c r="F23" s="520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7">
        <f t="shared" si="4"/>
        <v>0.31555828221883048</v>
      </c>
      <c r="Y23" s="305"/>
    </row>
    <row r="24" spans="1:25">
      <c r="A24" s="150">
        <v>713</v>
      </c>
      <c r="B24" s="521" t="str">
        <f>+VLOOKUP($A24,Master!$D$29:$G$225,4,FALSE)</f>
        <v>Duties</v>
      </c>
      <c r="C24" s="522"/>
      <c r="D24" s="522"/>
      <c r="E24" s="522"/>
      <c r="F24" s="522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8">
        <f t="shared" si="4"/>
        <v>0.25365932581322143</v>
      </c>
      <c r="Y24" s="305"/>
    </row>
    <row r="25" spans="1:25">
      <c r="A25" s="150">
        <v>714</v>
      </c>
      <c r="B25" s="521" t="str">
        <f>+VLOOKUP($A25,Master!$D$29:$G$225,4,FALSE)</f>
        <v>Fees</v>
      </c>
      <c r="C25" s="522"/>
      <c r="D25" s="522"/>
      <c r="E25" s="522"/>
      <c r="F25" s="522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8">
        <f t="shared" si="4"/>
        <v>0.66342614375655828</v>
      </c>
      <c r="W25" s="292"/>
    </row>
    <row r="26" spans="1:25">
      <c r="A26" s="150">
        <v>715</v>
      </c>
      <c r="B26" s="521" t="str">
        <f>+VLOOKUP($A26,Master!$D$29:$G$225,4,FALSE)</f>
        <v>Other revenues</v>
      </c>
      <c r="C26" s="522"/>
      <c r="D26" s="522"/>
      <c r="E26" s="522"/>
      <c r="F26" s="522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8">
        <f t="shared" si="4"/>
        <v>0.89706214323189915</v>
      </c>
      <c r="W26" s="311"/>
    </row>
    <row r="27" spans="1:25">
      <c r="A27" s="150">
        <v>73</v>
      </c>
      <c r="B27" s="521" t="str">
        <f>+VLOOKUP($A27,Master!$D$29:$G$225,4,FALSE)</f>
        <v>Receipts from Repayment of Loans and Funds Carried over from Previous Year</v>
      </c>
      <c r="C27" s="522"/>
      <c r="D27" s="522"/>
      <c r="E27" s="522"/>
      <c r="F27" s="522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8">
        <f t="shared" si="4"/>
        <v>0.17683188853381665</v>
      </c>
    </row>
    <row r="28" spans="1:25" ht="13.5" thickBot="1">
      <c r="A28" s="150">
        <v>74</v>
      </c>
      <c r="B28" s="523" t="str">
        <f>+VLOOKUP($A28,Master!$D$29:$G$225,4,FALSE)</f>
        <v>Grants and Transfers</v>
      </c>
      <c r="C28" s="524"/>
      <c r="D28" s="524"/>
      <c r="E28" s="524"/>
      <c r="F28" s="524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9">
        <f t="shared" si="4"/>
        <v>1.3812573325860917</v>
      </c>
    </row>
    <row r="29" spans="1:25" ht="13.5" thickBot="1">
      <c r="A29" s="150">
        <v>4</v>
      </c>
      <c r="B29" s="509" t="str">
        <f>+VLOOKUP($A29,Master!$D$29:$G$225,4,FALSE)</f>
        <v>Total Expenditures</v>
      </c>
      <c r="C29" s="510"/>
      <c r="D29" s="510"/>
      <c r="E29" s="510"/>
      <c r="F29" s="510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40">
        <f t="shared" si="4"/>
        <v>49.238798802346651</v>
      </c>
    </row>
    <row r="30" spans="1:25">
      <c r="A30" s="150">
        <v>41</v>
      </c>
      <c r="B30" s="527" t="str">
        <f>+VLOOKUP($A30,Master!$D$29:$G$225,4,FALSE)</f>
        <v>Current Expenditures</v>
      </c>
      <c r="C30" s="528"/>
      <c r="D30" s="528"/>
      <c r="E30" s="528"/>
      <c r="F30" s="528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5">
        <f t="shared" si="3"/>
        <v>858015865.80999994</v>
      </c>
      <c r="T30" s="436">
        <f t="shared" si="4"/>
        <v>20.462078265048174</v>
      </c>
    </row>
    <row r="31" spans="1:25">
      <c r="A31" s="150">
        <v>411</v>
      </c>
      <c r="B31" s="519" t="str">
        <f>+VLOOKUP($A31,Master!$D$29:$G$225,4,FALSE)</f>
        <v>Gross Salaries and Contributions</v>
      </c>
      <c r="C31" s="520"/>
      <c r="D31" s="520"/>
      <c r="E31" s="520"/>
      <c r="F31" s="520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7">
        <f t="shared" si="4"/>
        <v>11.903724365639606</v>
      </c>
    </row>
    <row r="32" spans="1:25">
      <c r="A32" s="150">
        <v>412</v>
      </c>
      <c r="B32" s="519" t="str">
        <f>+VLOOKUP($A32,Master!$D$29:$G$225,4,FALSE)</f>
        <v>Other Personal Income</v>
      </c>
      <c r="C32" s="520"/>
      <c r="D32" s="520"/>
      <c r="E32" s="520"/>
      <c r="F32" s="520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7">
        <f t="shared" si="4"/>
        <v>0.30810947557950968</v>
      </c>
    </row>
    <row r="33" spans="1:23">
      <c r="A33" s="150">
        <v>413</v>
      </c>
      <c r="B33" s="519" t="str">
        <f>+VLOOKUP($A33,Master!$D$29:$G$225,4,FALSE)</f>
        <v>Expenditures for Supplies</v>
      </c>
      <c r="C33" s="520"/>
      <c r="D33" s="520"/>
      <c r="E33" s="520"/>
      <c r="F33" s="520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7">
        <f t="shared" si="4"/>
        <v>0.95222477153486618</v>
      </c>
      <c r="V33" s="291"/>
    </row>
    <row r="34" spans="1:23" s="362" customFormat="1">
      <c r="A34" s="361">
        <v>414</v>
      </c>
      <c r="B34" s="588" t="str">
        <f>+VLOOKUP($A34,Master!$D$29:$G$225,4,FALSE)</f>
        <v>Expenditures for Services</v>
      </c>
      <c r="C34" s="589"/>
      <c r="D34" s="589"/>
      <c r="E34" s="589"/>
      <c r="F34" s="589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7">
        <f t="shared" si="4"/>
        <v>1.7706275705904797</v>
      </c>
      <c r="U34" s="258"/>
    </row>
    <row r="35" spans="1:23">
      <c r="A35" s="150">
        <v>415</v>
      </c>
      <c r="B35" s="519" t="str">
        <f>+VLOOKUP($A35,Master!$D$29:$G$225,4,FALSE)</f>
        <v>Current Maintenance</v>
      </c>
      <c r="C35" s="520"/>
      <c r="D35" s="520"/>
      <c r="E35" s="520"/>
      <c r="F35" s="520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7">
        <f t="shared" si="4"/>
        <v>0.58102842196890214</v>
      </c>
    </row>
    <row r="36" spans="1:23">
      <c r="A36" s="150">
        <v>416</v>
      </c>
      <c r="B36" s="519" t="str">
        <f>+VLOOKUP($A36,Master!$D$29:$G$225,4,FALSE)</f>
        <v>Interests</v>
      </c>
      <c r="C36" s="520"/>
      <c r="D36" s="520"/>
      <c r="E36" s="520"/>
      <c r="F36" s="520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7">
        <f t="shared" si="4"/>
        <v>2.6497402544596014</v>
      </c>
    </row>
    <row r="37" spans="1:23">
      <c r="A37" s="150">
        <v>417</v>
      </c>
      <c r="B37" s="519" t="str">
        <f>+VLOOKUP($A37,Master!$D$29:$G$225,4,FALSE)</f>
        <v>Rent</v>
      </c>
      <c r="C37" s="520"/>
      <c r="D37" s="520"/>
      <c r="E37" s="520"/>
      <c r="F37" s="520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7">
        <f t="shared" si="4"/>
        <v>0.27114387102928555</v>
      </c>
    </row>
    <row r="38" spans="1:23">
      <c r="A38" s="150">
        <v>418</v>
      </c>
      <c r="B38" s="519" t="str">
        <f>+VLOOKUP($A38,Master!$D$29:$G$225,4,FALSE)</f>
        <v>Subsidies</v>
      </c>
      <c r="C38" s="520"/>
      <c r="D38" s="520"/>
      <c r="E38" s="520"/>
      <c r="F38" s="520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7">
        <f t="shared" si="4"/>
        <v>0.866265675856148</v>
      </c>
    </row>
    <row r="39" spans="1:23" s="362" customFormat="1">
      <c r="A39" s="361">
        <v>419</v>
      </c>
      <c r="B39" s="588" t="str">
        <f>+VLOOKUP($A39,Master!$D$29:$G$225,4,FALSE)</f>
        <v>Other expenditures</v>
      </c>
      <c r="C39" s="589"/>
      <c r="D39" s="589"/>
      <c r="E39" s="589"/>
      <c r="F39" s="589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7">
        <f t="shared" si="4"/>
        <v>1.1592138583897742</v>
      </c>
      <c r="U39" s="258"/>
    </row>
    <row r="40" spans="1:23">
      <c r="A40" s="150">
        <v>42</v>
      </c>
      <c r="B40" s="515" t="str">
        <f>+VLOOKUP($A40,Master!$D$29:$G$225,4,FALSE)</f>
        <v>Social Security Transfers</v>
      </c>
      <c r="C40" s="516"/>
      <c r="D40" s="516"/>
      <c r="E40" s="516"/>
      <c r="F40" s="516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8">
        <f t="shared" si="4"/>
        <v>13.323451504817324</v>
      </c>
      <c r="U40" s="242"/>
      <c r="W40" s="309"/>
    </row>
    <row r="41" spans="1:23">
      <c r="A41" s="150">
        <v>421</v>
      </c>
      <c r="B41" s="519" t="str">
        <f>+VLOOKUP($A41,Master!$D$29:$G$225,4,FALSE)</f>
        <v>Social Security</v>
      </c>
      <c r="C41" s="520"/>
      <c r="D41" s="520"/>
      <c r="E41" s="520"/>
      <c r="F41" s="520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7">
        <f t="shared" si="4"/>
        <v>1.9192809205380139</v>
      </c>
      <c r="U41" s="242"/>
    </row>
    <row r="42" spans="1:23">
      <c r="A42" s="150">
        <v>422</v>
      </c>
      <c r="B42" s="519" t="str">
        <f>+VLOOKUP($A42,Master!$D$29:$G$225,4,FALSE)</f>
        <v>Funds for redundant labor</v>
      </c>
      <c r="C42" s="520"/>
      <c r="D42" s="520"/>
      <c r="E42" s="520"/>
      <c r="F42" s="520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7">
        <f t="shared" si="4"/>
        <v>0.47931132786416103</v>
      </c>
      <c r="U42" s="242"/>
    </row>
    <row r="43" spans="1:23">
      <c r="A43" s="150">
        <v>423</v>
      </c>
      <c r="B43" s="519" t="str">
        <f>+VLOOKUP($A43,Master!$D$29:$G$225,4,FALSE)</f>
        <v>Pension and Disability Insurance</v>
      </c>
      <c r="C43" s="520"/>
      <c r="D43" s="520"/>
      <c r="E43" s="520"/>
      <c r="F43" s="520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7">
        <f t="shared" si="4"/>
        <v>10.208709002194031</v>
      </c>
      <c r="U43" s="242"/>
    </row>
    <row r="44" spans="1:23">
      <c r="A44" s="150">
        <v>424</v>
      </c>
      <c r="B44" s="519" t="str">
        <f>+VLOOKUP($A44,Master!$D$29:$G$225,4,FALSE)</f>
        <v>Other Health Care Transfers</v>
      </c>
      <c r="C44" s="520"/>
      <c r="D44" s="520"/>
      <c r="E44" s="520"/>
      <c r="F44" s="520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7">
        <f t="shared" si="4"/>
        <v>0.48224239244491068</v>
      </c>
      <c r="U44" s="242"/>
    </row>
    <row r="45" spans="1:23" s="362" customFormat="1">
      <c r="A45" s="361">
        <v>425</v>
      </c>
      <c r="B45" s="584" t="str">
        <f>+VLOOKUP($A45,Master!$D$29:$G$225,4,FALSE)</f>
        <v>Other Health Care Insurance</v>
      </c>
      <c r="C45" s="585"/>
      <c r="D45" s="585"/>
      <c r="E45" s="585"/>
      <c r="F45" s="585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7">
        <f t="shared" si="4"/>
        <v>0.23390786177620906</v>
      </c>
      <c r="U45" s="242"/>
    </row>
    <row r="46" spans="1:23">
      <c r="A46" s="150">
        <v>43</v>
      </c>
      <c r="B46" s="517" t="str">
        <f>+VLOOKUP($A46,Master!$D$29:$G$225,4,FALSE)</f>
        <v xml:space="preserve">Transfers to Institutions, Individuals, NGO and Public Sector </v>
      </c>
      <c r="C46" s="518"/>
      <c r="D46" s="518"/>
      <c r="E46" s="518"/>
      <c r="F46" s="518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8">
        <f t="shared" si="4"/>
        <v>6.7072618167509299</v>
      </c>
      <c r="U46" s="242"/>
    </row>
    <row r="47" spans="1:23">
      <c r="A47" s="150">
        <v>44</v>
      </c>
      <c r="B47" s="517" t="str">
        <f>+VLOOKUP($A47,Master!$D$29:$G$225,4,FALSE)</f>
        <v>Capital Expenditure</v>
      </c>
      <c r="C47" s="518"/>
      <c r="D47" s="518"/>
      <c r="E47" s="518"/>
      <c r="F47" s="518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8">
        <f t="shared" si="4"/>
        <v>5.4835665761232475</v>
      </c>
      <c r="U47" s="242"/>
    </row>
    <row r="48" spans="1:23">
      <c r="A48" s="150">
        <v>451</v>
      </c>
      <c r="B48" s="586" t="str">
        <f>+VLOOKUP($A48,Master!$D$29:$G$225,4,FALSE)</f>
        <v>Credits and Borrowings</v>
      </c>
      <c r="C48" s="587"/>
      <c r="D48" s="587"/>
      <c r="E48" s="587"/>
      <c r="F48" s="587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7">
        <f t="shared" si="4"/>
        <v>3.8430482686253938E-2</v>
      </c>
      <c r="U48" s="242"/>
    </row>
    <row r="49" spans="1:22" s="362" customFormat="1">
      <c r="A49" s="361">
        <v>47</v>
      </c>
      <c r="B49" s="578" t="str">
        <f>+VLOOKUP($A49,Master!$D$29:$G$225,4,FALSE)</f>
        <v>Reserves</v>
      </c>
      <c r="C49" s="579"/>
      <c r="D49" s="579"/>
      <c r="E49" s="579"/>
      <c r="F49" s="579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7">
        <f t="shared" si="4"/>
        <v>2.7762498616808164</v>
      </c>
      <c r="U49" s="242"/>
    </row>
    <row r="50" spans="1:22" ht="13.5" thickBot="1">
      <c r="A50" s="150">
        <v>462</v>
      </c>
      <c r="B50" s="505" t="str">
        <f>+VLOOKUP($A50,Master!$D$29:$G$225,4,FALSE)</f>
        <v>Repayment of Guarantees</v>
      </c>
      <c r="C50" s="506"/>
      <c r="D50" s="506"/>
      <c r="E50" s="506"/>
      <c r="F50" s="506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7">
        <f t="shared" si="4"/>
        <v>0</v>
      </c>
      <c r="U50" s="242"/>
      <c r="V50" s="293"/>
    </row>
    <row r="51" spans="1:22" ht="13.5" thickBot="1">
      <c r="A51" s="144">
        <v>4630</v>
      </c>
      <c r="B51" s="580" t="str">
        <f>+VLOOKUP($A51,Master!$D$29:$G$225,4,TRUE)</f>
        <v>Repayments of liabilities form the previous period</v>
      </c>
      <c r="C51" s="581"/>
      <c r="D51" s="581"/>
      <c r="E51" s="581"/>
      <c r="F51" s="581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6">
        <f>+SUM(G51:R51)</f>
        <v>18775484.700000003</v>
      </c>
      <c r="T51" s="441">
        <f t="shared" si="4"/>
        <v>0.44776029523991229</v>
      </c>
      <c r="U51" s="242"/>
    </row>
    <row r="52" spans="1:22" ht="13.5" thickBot="1">
      <c r="A52" s="70">
        <v>1005</v>
      </c>
      <c r="B52" s="582" t="str">
        <f>+VLOOKUP($A52,Master!$D$29:$G$227,4,FALSE)</f>
        <v>Net increase of liabilities</v>
      </c>
      <c r="C52" s="583"/>
      <c r="D52" s="583"/>
      <c r="E52" s="583"/>
      <c r="F52" s="583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2">
        <f t="shared" si="4"/>
        <v>0</v>
      </c>
    </row>
    <row r="53" spans="1:22" ht="13.5" thickBot="1">
      <c r="A53" s="144">
        <v>1000</v>
      </c>
      <c r="B53" s="511" t="str">
        <f>+VLOOKUP($A53,Master!$D$29:$G$225,4,FALSE)</f>
        <v>Surplus / deficit</v>
      </c>
      <c r="C53" s="512"/>
      <c r="D53" s="512"/>
      <c r="E53" s="512"/>
      <c r="F53" s="512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3">
        <f t="shared" si="4"/>
        <v>-10.162936916674619</v>
      </c>
    </row>
    <row r="54" spans="1:22" ht="13.5" thickBot="1">
      <c r="A54" s="144">
        <v>1001</v>
      </c>
      <c r="B54" s="513" t="str">
        <f>+VLOOKUP($A54,Master!$D$29:$G$225,4,FALSE)</f>
        <v>Primary surplus/deficit</v>
      </c>
      <c r="C54" s="514"/>
      <c r="D54" s="514"/>
      <c r="E54" s="514"/>
      <c r="F54" s="514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3">
        <f t="shared" si="4"/>
        <v>-7.5131966622150141</v>
      </c>
    </row>
    <row r="55" spans="1:22">
      <c r="A55" s="144">
        <v>46</v>
      </c>
      <c r="B55" s="576" t="str">
        <f>+VLOOKUP($A55,Master!$D$29:$G$225,4,FALSE)</f>
        <v>Repayment of Debt</v>
      </c>
      <c r="C55" s="577"/>
      <c r="D55" s="577"/>
      <c r="E55" s="577"/>
      <c r="F55" s="577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4">
        <f t="shared" si="4"/>
        <v>15.87918605432605</v>
      </c>
      <c r="V55" s="309"/>
    </row>
    <row r="56" spans="1:22">
      <c r="A56" s="144">
        <v>4611</v>
      </c>
      <c r="B56" s="503" t="str">
        <f>+VLOOKUP($A56,Master!$D$29:$G$225,4,FALSE)</f>
        <v>Repayment of Domestic Debt</v>
      </c>
      <c r="C56" s="504"/>
      <c r="D56" s="504"/>
      <c r="E56" s="504"/>
      <c r="F56" s="504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5">
        <f t="shared" si="4"/>
        <v>5.8235766405132114</v>
      </c>
      <c r="V56" s="354"/>
    </row>
    <row r="57" spans="1:22" ht="13.5" thickBot="1">
      <c r="A57" s="144">
        <v>4612</v>
      </c>
      <c r="B57" s="487" t="str">
        <f>+VLOOKUP($A57,Master!$D$29:$G$225,4,FALSE)</f>
        <v>Repayment of Foreign Debt</v>
      </c>
      <c r="C57" s="488"/>
      <c r="D57" s="488"/>
      <c r="E57" s="488"/>
      <c r="F57" s="488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5">
        <f t="shared" si="4"/>
        <v>10.05560941381284</v>
      </c>
      <c r="V57" s="319"/>
    </row>
    <row r="58" spans="1:22" ht="13.5" thickBot="1">
      <c r="A58" s="144">
        <v>4418</v>
      </c>
      <c r="B58" s="576" t="str">
        <f>+VLOOKUP($A58,Master!$D$29:$G$225,4,FALSE)</f>
        <v>Capital Expenditure for Securities</v>
      </c>
      <c r="C58" s="577"/>
      <c r="D58" s="577"/>
      <c r="E58" s="577"/>
      <c r="F58" s="577"/>
      <c r="G58" s="193">
        <f>+INDEX(DataEx!$1:$1048576,MATCH('2020'!$A58,DataEx!$D:$D,0),MATCH('2020'!G$6,DataEx!$7:$7,0))</f>
        <v>0</v>
      </c>
      <c r="H58" s="193">
        <f>+INDEX(DataEx!$1:$1048576,MATCH('2020'!$A58,DataEx!$D:$D,0),MATCH('2020'!H$6,DataEx!$7:$7,0))</f>
        <v>0</v>
      </c>
      <c r="I58" s="193">
        <f>+INDEX(DataEx!$1:$1048576,MATCH('2020'!$A58,DataEx!$D:$D,0),MATCH('2020'!I$6,DataEx!$7:$7,0))</f>
        <v>0</v>
      </c>
      <c r="J58" s="193">
        <f>+INDEX(DataEx!$1:$1048576,MATCH('2020'!$A58,DataEx!$D:$D,0),MATCH('2020'!J$6,DataEx!$7:$7,0))</f>
        <v>0</v>
      </c>
      <c r="K58" s="193">
        <f>+INDEX(DataEx!$1:$1048576,MATCH('2020'!$A58,DataEx!$D:$D,0),MATCH('2020'!K$6,DataEx!$7:$7,0))</f>
        <v>0</v>
      </c>
      <c r="L58" s="193">
        <f>+INDEX(DataEx!$1:$1048576,MATCH('2020'!$A58,DataEx!$D:$D,0),MATCH('2020'!L$6,DataEx!$7:$7,0))</f>
        <v>0</v>
      </c>
      <c r="M58" s="193">
        <f>+INDEX(DataEx!$1:$1048576,MATCH('2020'!$A58,DataEx!$D:$D,0),MATCH('2020'!M$6,DataEx!$7:$7,0))</f>
        <v>0</v>
      </c>
      <c r="N58" s="193">
        <f>+INDEX(DataEx!$1:$1048576,MATCH('2020'!$A58,DataEx!$D:$D,0),MATCH('2020'!N$6,DataEx!$7:$7,0))</f>
        <v>0</v>
      </c>
      <c r="O58" s="193">
        <f>+INDEX(DataEx!$1:$1048576,MATCH('2020'!$A58,DataEx!$D:$D,0),MATCH('2020'!O$6,DataEx!$7:$7,0))</f>
        <v>940769.61</v>
      </c>
      <c r="P58" s="193">
        <f>+INDEX(DataEx!$1:$1048576,MATCH('2020'!$A58,DataEx!$D:$D,0),MATCH('2020'!P$6,DataEx!$7:$7,0))</f>
        <v>0</v>
      </c>
      <c r="Q58" s="193">
        <f>+INDEX(DataEx!$1:$1048576,MATCH('2020'!$A58,DataEx!$D:$D,0),MATCH('2020'!Q$6,DataEx!$7:$7,0))</f>
        <v>0</v>
      </c>
      <c r="R58" s="193">
        <f>+INDEX(DataEx!$1:$1048576,MATCH('2020'!$A58,DataEx!$D:$D,0),MATCH('2020'!R$6,DataEx!$7:$7,0))</f>
        <v>0</v>
      </c>
      <c r="S58" s="249">
        <f>SUM(G58:R58)</f>
        <v>940769.61</v>
      </c>
      <c r="T58" s="446">
        <f t="shared" si="4"/>
        <v>2.2435600734522561E-2</v>
      </c>
      <c r="V58" s="319"/>
    </row>
    <row r="59" spans="1:22" ht="13.5" thickBot="1">
      <c r="A59" s="144">
        <v>1002</v>
      </c>
      <c r="B59" s="507" t="str">
        <f>+VLOOKUP($A59,Master!$D$29:$G$225,4,FALSE)</f>
        <v>Financing needs</v>
      </c>
      <c r="C59" s="508"/>
      <c r="D59" s="508"/>
      <c r="E59" s="508"/>
      <c r="F59" s="508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7">
        <f t="shared" si="4"/>
        <v>-26.064558571735191</v>
      </c>
    </row>
    <row r="60" spans="1:22" ht="13.5" thickBot="1">
      <c r="A60" s="144">
        <v>1003</v>
      </c>
      <c r="B60" s="509" t="str">
        <f>+VLOOKUP($A60,Master!$D$29:$G$225,4,FALSE)</f>
        <v>Financing</v>
      </c>
      <c r="C60" s="510"/>
      <c r="D60" s="510"/>
      <c r="E60" s="510"/>
      <c r="F60" s="510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8">
        <f t="shared" si="4"/>
        <v>26.064558571735191</v>
      </c>
    </row>
    <row r="61" spans="1:22">
      <c r="A61" s="144">
        <v>7511</v>
      </c>
      <c r="B61" s="503" t="str">
        <f>+VLOOKUP($A61,Master!$D$29:$G$225,4,FALSE)</f>
        <v>Domestic Loans and Borrowings</v>
      </c>
      <c r="C61" s="504"/>
      <c r="D61" s="504"/>
      <c r="E61" s="504"/>
      <c r="F61" s="504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5">
        <f t="shared" si="4"/>
        <v>3.9953271756653628</v>
      </c>
    </row>
    <row r="62" spans="1:22">
      <c r="A62" s="144">
        <v>7512</v>
      </c>
      <c r="B62" s="487" t="str">
        <f>+VLOOKUP($A62,Master!$D$29:$G$225,4,FALSE)</f>
        <v>Foreign Loans and Borrowings</v>
      </c>
      <c r="C62" s="488"/>
      <c r="D62" s="488"/>
      <c r="E62" s="488"/>
      <c r="F62" s="488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5">
        <f t="shared" si="4"/>
        <v>28.27780343937804</v>
      </c>
    </row>
    <row r="63" spans="1:22">
      <c r="A63" s="144">
        <v>72</v>
      </c>
      <c r="B63" s="487" t="str">
        <f>+VLOOKUP($A63,Master!$D$29:$G$225,4,FALSE)</f>
        <v>Revenues from Selling Assets</v>
      </c>
      <c r="C63" s="488"/>
      <c r="D63" s="488"/>
      <c r="E63" s="488"/>
      <c r="F63" s="488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5">
        <f t="shared" si="4"/>
        <v>0.20383599542115807</v>
      </c>
    </row>
    <row r="64" spans="1:22" ht="13.5" thickBot="1">
      <c r="A64" s="144">
        <v>1004</v>
      </c>
      <c r="B64" s="223" t="str">
        <f>+VLOOKUP($A64,Master!$D$29:$G$225,4,FALSE)</f>
        <v>Increase / decrease of deposits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9">
        <f t="shared" si="4"/>
        <v>-6.4124080387293736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65" t="str">
        <f>+Master!G252</f>
        <v>Planned Budget Execution</v>
      </c>
      <c r="C100" s="566"/>
      <c r="D100" s="566"/>
      <c r="E100" s="566"/>
      <c r="F100" s="566"/>
      <c r="G100" s="573">
        <v>2020</v>
      </c>
      <c r="H100" s="574"/>
      <c r="I100" s="574"/>
      <c r="J100" s="574"/>
      <c r="K100" s="574"/>
      <c r="L100" s="574"/>
      <c r="M100" s="574"/>
      <c r="N100" s="574"/>
      <c r="O100" s="574"/>
      <c r="P100" s="574"/>
      <c r="Q100" s="574"/>
      <c r="R100" s="575"/>
      <c r="S100" s="107" t="str">
        <f>+S7</f>
        <v>GDP</v>
      </c>
      <c r="T100" s="108">
        <v>4607300000</v>
      </c>
    </row>
    <row r="101" spans="1:21" ht="15.75" customHeight="1">
      <c r="B101" s="567"/>
      <c r="C101" s="568"/>
      <c r="D101" s="568"/>
      <c r="E101" s="568"/>
      <c r="F101" s="569"/>
      <c r="G101" s="71" t="str">
        <f t="shared" ref="G101:R101" si="15">+G8</f>
        <v>January</v>
      </c>
      <c r="H101" s="71" t="str">
        <f t="shared" si="15"/>
        <v>February</v>
      </c>
      <c r="I101" s="71" t="str">
        <f t="shared" si="15"/>
        <v>March</v>
      </c>
      <c r="J101" s="71" t="str">
        <f t="shared" si="15"/>
        <v>April</v>
      </c>
      <c r="K101" s="71" t="str">
        <f t="shared" si="15"/>
        <v>May</v>
      </c>
      <c r="L101" s="71" t="str">
        <f t="shared" si="15"/>
        <v>June</v>
      </c>
      <c r="M101" s="71" t="str">
        <f t="shared" si="15"/>
        <v>July</v>
      </c>
      <c r="N101" s="71" t="str">
        <f t="shared" si="15"/>
        <v>August</v>
      </c>
      <c r="O101" s="71" t="str">
        <f t="shared" si="15"/>
        <v>September</v>
      </c>
      <c r="P101" s="71" t="str">
        <f t="shared" si="15"/>
        <v>October</v>
      </c>
      <c r="Q101" s="71" t="str">
        <f t="shared" si="15"/>
        <v>November</v>
      </c>
      <c r="R101" s="71" t="str">
        <f t="shared" si="15"/>
        <v>December</v>
      </c>
      <c r="S101" s="573" t="str">
        <f>+Master!G246</f>
        <v>Jan - Dec</v>
      </c>
      <c r="T101" s="575">
        <f>+T8</f>
        <v>0</v>
      </c>
    </row>
    <row r="102" spans="1:21" ht="13.5" thickBot="1">
      <c r="B102" s="570"/>
      <c r="C102" s="571"/>
      <c r="D102" s="571"/>
      <c r="E102" s="571"/>
      <c r="F102" s="572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GDP</v>
      </c>
    </row>
    <row r="103" spans="1:21" ht="13.5" thickBot="1">
      <c r="A103" s="116" t="str">
        <f t="shared" ref="A103:A144" si="16">+CONCATENATE(A10,"p")</f>
        <v>7p</v>
      </c>
      <c r="B103" s="561" t="str">
        <f>+VLOOKUP(LEFT($A103,LEN(A103)-1)*1,Master!$D$29:$G$225,4,FALSE)</f>
        <v>Total Revenues</v>
      </c>
      <c r="C103" s="562"/>
      <c r="D103" s="562"/>
      <c r="E103" s="562"/>
      <c r="F103" s="562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4">
        <f>+SUM(G103:R103)</f>
        <v>1704989389.157774</v>
      </c>
      <c r="T103" s="455">
        <f>+S103/$T$100*100</f>
        <v>37.006259396127319</v>
      </c>
    </row>
    <row r="104" spans="1:21">
      <c r="A104" s="116" t="str">
        <f t="shared" si="16"/>
        <v>711p</v>
      </c>
      <c r="B104" s="563" t="str">
        <f>+VLOOKUP(LEFT($A104,LEN(A104)-1)*1,Master!$D$29:$G$225,4,FALSE)</f>
        <v>Taxes</v>
      </c>
      <c r="C104" s="564"/>
      <c r="D104" s="564"/>
      <c r="E104" s="564"/>
      <c r="F104" s="564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6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51" t="str">
        <f>+VLOOKUP(LEFT($A105,LEN(A105)-1)*1,Master!$D$29:$G$228,4,FALSE)</f>
        <v>Personal Income Tax</v>
      </c>
      <c r="C105" s="552"/>
      <c r="D105" s="552"/>
      <c r="E105" s="552"/>
      <c r="F105" s="552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7">
        <f t="shared" si="20"/>
        <v>2.4452362067202373</v>
      </c>
    </row>
    <row r="106" spans="1:21">
      <c r="A106" s="116" t="str">
        <f t="shared" si="16"/>
        <v>7112p</v>
      </c>
      <c r="B106" s="551" t="str">
        <f>+VLOOKUP(LEFT($A106,LEN(A106)-1)*1,Master!$D$29:$G$228,4,FALSE)</f>
        <v>Corporate Income Tax</v>
      </c>
      <c r="C106" s="552"/>
      <c r="D106" s="552"/>
      <c r="E106" s="552"/>
      <c r="F106" s="552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7">
        <f t="shared" si="20"/>
        <v>1.4671745812461314</v>
      </c>
    </row>
    <row r="107" spans="1:21">
      <c r="A107" s="116" t="str">
        <f t="shared" si="16"/>
        <v>7113p</v>
      </c>
      <c r="B107" s="551" t="str">
        <f>+VLOOKUP(LEFT($A107,LEN(A107)-1)*1,Master!$D$29:$G$228,4,FALSE)</f>
        <v xml:space="preserve">Taxes on Sales of Property </v>
      </c>
      <c r="C107" s="552"/>
      <c r="D107" s="552"/>
      <c r="E107" s="552"/>
      <c r="F107" s="552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7">
        <f t="shared" si="20"/>
        <v>4.1303611443361622E-2</v>
      </c>
    </row>
    <row r="108" spans="1:21">
      <c r="A108" s="116" t="str">
        <f t="shared" si="16"/>
        <v>7114p</v>
      </c>
      <c r="B108" s="551" t="str">
        <f>+VLOOKUP(LEFT($A108,LEN(A108)-1)*1,Master!$D$29:$G$228,4,FALSE)</f>
        <v>Value Added Tax</v>
      </c>
      <c r="C108" s="552"/>
      <c r="D108" s="552"/>
      <c r="E108" s="552"/>
      <c r="F108" s="552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7">
        <f t="shared" si="20"/>
        <v>13.365384391976216</v>
      </c>
    </row>
    <row r="109" spans="1:21">
      <c r="A109" s="116" t="str">
        <f t="shared" si="16"/>
        <v>7115p</v>
      </c>
      <c r="B109" s="551" t="str">
        <f>+VLOOKUP(LEFT($A109,LEN(A109)-1)*1,Master!$D$29:$G$228,4,FALSE)</f>
        <v>Excises</v>
      </c>
      <c r="C109" s="552"/>
      <c r="D109" s="552"/>
      <c r="E109" s="552"/>
      <c r="F109" s="552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7">
        <f t="shared" si="20"/>
        <v>4.8051517235226715</v>
      </c>
    </row>
    <row r="110" spans="1:21">
      <c r="A110" s="116" t="str">
        <f t="shared" si="16"/>
        <v>7116p</v>
      </c>
      <c r="B110" s="551" t="str">
        <f>+VLOOKUP(LEFT($A110,LEN(A110)-1)*1,Master!$D$29:$G$228,4,FALSE)</f>
        <v>Tax on International Trade and Transactions</v>
      </c>
      <c r="C110" s="552"/>
      <c r="D110" s="552"/>
      <c r="E110" s="552"/>
      <c r="F110" s="552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7">
        <f t="shared" si="20"/>
        <v>0.58139087437023862</v>
      </c>
    </row>
    <row r="111" spans="1:21">
      <c r="A111" s="116" t="str">
        <f t="shared" si="16"/>
        <v>7118p</v>
      </c>
      <c r="B111" s="551" t="str">
        <f>+VLOOKUP(LEFT($A111,LEN(A111)-1)*1,Master!$D$29:$G$228,4,FALSE)</f>
        <v>Other Republic Taxes</v>
      </c>
      <c r="C111" s="552"/>
      <c r="D111" s="552"/>
      <c r="E111" s="552"/>
      <c r="F111" s="552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7">
        <f t="shared" si="20"/>
        <v>0.20229513960237019</v>
      </c>
    </row>
    <row r="112" spans="1:21">
      <c r="A112" s="116" t="str">
        <f t="shared" si="16"/>
        <v>712p</v>
      </c>
      <c r="B112" s="559" t="str">
        <f>+VLOOKUP(LEFT($A112,LEN(A112)-1)*1,Master!$D$29:$G$228,4,FALSE)</f>
        <v>Contributions</v>
      </c>
      <c r="C112" s="560"/>
      <c r="D112" s="560"/>
      <c r="E112" s="560"/>
      <c r="F112" s="560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8">
        <f t="shared" si="20"/>
        <v>10.68956613019113</v>
      </c>
    </row>
    <row r="113" spans="1:20">
      <c r="A113" s="116" t="str">
        <f t="shared" si="16"/>
        <v>7121p</v>
      </c>
      <c r="B113" s="551" t="str">
        <f>+VLOOKUP(LEFT($A113,LEN(A113)-1)*1,Master!$D$29:$G$228,4,FALSE)</f>
        <v>Contributions for Pension and Disability Insurance</v>
      </c>
      <c r="C113" s="552"/>
      <c r="D113" s="552"/>
      <c r="E113" s="552"/>
      <c r="F113" s="552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7">
        <f t="shared" si="20"/>
        <v>6.6171744431734636</v>
      </c>
    </row>
    <row r="114" spans="1:20">
      <c r="A114" s="116" t="str">
        <f t="shared" si="16"/>
        <v>7122p</v>
      </c>
      <c r="B114" s="551" t="str">
        <f>+VLOOKUP(LEFT($A114,LEN(A114)-1)*1,Master!$D$29:$G$228,4,FALSE)</f>
        <v>Contributions for Health Insurance</v>
      </c>
      <c r="C114" s="552"/>
      <c r="D114" s="552"/>
      <c r="E114" s="552"/>
      <c r="F114" s="552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7">
        <f t="shared" si="20"/>
        <v>3.4819631387690197</v>
      </c>
    </row>
    <row r="115" spans="1:20">
      <c r="A115" s="116" t="str">
        <f t="shared" si="16"/>
        <v>7123p</v>
      </c>
      <c r="B115" s="551" t="str">
        <f>+VLOOKUP(LEFT($A115,LEN(A115)-1)*1,Master!$D$29:$G$228,4,FALSE)</f>
        <v>Contributions for  Unemployment Insurance</v>
      </c>
      <c r="C115" s="552"/>
      <c r="D115" s="552"/>
      <c r="E115" s="552"/>
      <c r="F115" s="552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7">
        <f t="shared" si="20"/>
        <v>0.31374529664462025</v>
      </c>
    </row>
    <row r="116" spans="1:20">
      <c r="A116" s="116" t="str">
        <f t="shared" si="16"/>
        <v>7124p</v>
      </c>
      <c r="B116" s="551" t="str">
        <f>+VLOOKUP(LEFT($A116,LEN(A116)-1)*1,Master!$D$29:$G$228,4,FALSE)</f>
        <v>Other contributions</v>
      </c>
      <c r="C116" s="552"/>
      <c r="D116" s="552"/>
      <c r="E116" s="552"/>
      <c r="F116" s="552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7">
        <f t="shared" si="20"/>
        <v>0.2766832516040264</v>
      </c>
    </row>
    <row r="117" spans="1:20">
      <c r="A117" s="116" t="str">
        <f t="shared" si="16"/>
        <v>713p</v>
      </c>
      <c r="B117" s="557" t="str">
        <f>+VLOOKUP(LEFT($A117,LEN(A117)-1)*1,Master!$D$29:$G$228,4,FALSE)</f>
        <v>Duties</v>
      </c>
      <c r="C117" s="558"/>
      <c r="D117" s="558"/>
      <c r="E117" s="558"/>
      <c r="F117" s="558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8">
        <f t="shared" si="20"/>
        <v>0.26451836008573354</v>
      </c>
    </row>
    <row r="118" spans="1:20">
      <c r="A118" s="116" t="str">
        <f t="shared" si="16"/>
        <v>714p</v>
      </c>
      <c r="B118" s="557" t="str">
        <f>+VLOOKUP(LEFT($A118,LEN(A118)-1)*1,Master!$D$29:$G$228,4,FALSE)</f>
        <v>Fees</v>
      </c>
      <c r="C118" s="558"/>
      <c r="D118" s="558"/>
      <c r="E118" s="558"/>
      <c r="F118" s="558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8">
        <f t="shared" si="20"/>
        <v>0.53882429835369972</v>
      </c>
    </row>
    <row r="119" spans="1:20">
      <c r="A119" s="116" t="str">
        <f t="shared" si="16"/>
        <v>715p</v>
      </c>
      <c r="B119" s="557" t="str">
        <f>+VLOOKUP(LEFT($A119,LEN(A119)-1)*1,Master!$D$29:$G$228,4,FALSE)</f>
        <v>Other revenues</v>
      </c>
      <c r="C119" s="558"/>
      <c r="D119" s="558"/>
      <c r="E119" s="558"/>
      <c r="F119" s="558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8">
        <f t="shared" si="20"/>
        <v>1.148755088100482</v>
      </c>
    </row>
    <row r="120" spans="1:20">
      <c r="A120" s="116" t="str">
        <f t="shared" si="16"/>
        <v>73p</v>
      </c>
      <c r="B120" s="557" t="str">
        <f>+VLOOKUP(LEFT($A120,LEN(A120)-1)*1,Master!$D$29:$G$228,4,FALSE)</f>
        <v>Receipts from Repayment of Loans and Funds Carried over from Previous Year</v>
      </c>
      <c r="C120" s="558"/>
      <c r="D120" s="558"/>
      <c r="E120" s="558"/>
      <c r="F120" s="558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8">
        <f t="shared" si="20"/>
        <v>0.37142952358214143</v>
      </c>
    </row>
    <row r="121" spans="1:20" ht="13.5" thickBot="1">
      <c r="A121" s="116" t="str">
        <f t="shared" si="16"/>
        <v>74p</v>
      </c>
      <c r="B121" s="553" t="str">
        <f>+VLOOKUP(LEFT($A121,LEN(A121)-1)*1,Master!$D$29:$G$228,4,FALSE)</f>
        <v>Grants and Transfers</v>
      </c>
      <c r="C121" s="554"/>
      <c r="D121" s="554"/>
      <c r="E121" s="554"/>
      <c r="F121" s="554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9">
        <f t="shared" si="20"/>
        <v>1.0852294669329108</v>
      </c>
    </row>
    <row r="122" spans="1:20" ht="13.5" thickBot="1">
      <c r="A122" s="116" t="str">
        <f t="shared" si="16"/>
        <v>4p</v>
      </c>
      <c r="B122" s="535" t="str">
        <f>+VLOOKUP(LEFT($A122,LEN(A122)-1)*1,Master!$D$29:$G$228,4,FALSE)</f>
        <v>Total Expenditures</v>
      </c>
      <c r="C122" s="536"/>
      <c r="D122" s="536"/>
      <c r="E122" s="536"/>
      <c r="F122" s="536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2">
        <f>+SUM(G122:R122)</f>
        <v>2040879206.795902</v>
      </c>
      <c r="T122" s="453">
        <f t="shared" si="20"/>
        <v>44.296642432572263</v>
      </c>
    </row>
    <row r="123" spans="1:20">
      <c r="A123" s="116" t="str">
        <f t="shared" si="16"/>
        <v>41p</v>
      </c>
      <c r="B123" s="555" t="str">
        <f>+VLOOKUP(LEFT($A123,LEN(A123)-1)*1,Master!$D$29:$G$228,4,FALSE)</f>
        <v>Current Expenditures</v>
      </c>
      <c r="C123" s="556"/>
      <c r="D123" s="556"/>
      <c r="E123" s="556"/>
      <c r="F123" s="556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6">
        <f t="shared" si="20"/>
        <v>18.234006898745513</v>
      </c>
    </row>
    <row r="124" spans="1:20">
      <c r="A124" s="116" t="str">
        <f t="shared" si="16"/>
        <v>411p</v>
      </c>
      <c r="B124" s="551" t="str">
        <f>+VLOOKUP(LEFT($A124,LEN(A124)-1)*1,Master!$D$29:$G$228,4,FALSE)</f>
        <v>Gross Salaries and Contributions</v>
      </c>
      <c r="C124" s="552"/>
      <c r="D124" s="552"/>
      <c r="E124" s="552"/>
      <c r="F124" s="552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7">
        <f t="shared" si="20"/>
        <v>10.81917370889675</v>
      </c>
    </row>
    <row r="125" spans="1:20">
      <c r="A125" s="116" t="str">
        <f t="shared" si="16"/>
        <v>412p</v>
      </c>
      <c r="B125" s="551" t="str">
        <f>+VLOOKUP(LEFT($A125,LEN(A125)-1)*1,Master!$D$29:$G$228,4,FALSE)</f>
        <v>Other Personal Income</v>
      </c>
      <c r="C125" s="552"/>
      <c r="D125" s="552"/>
      <c r="E125" s="552"/>
      <c r="F125" s="552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7">
        <f t="shared" si="20"/>
        <v>0.32417865148785635</v>
      </c>
    </row>
    <row r="126" spans="1:20">
      <c r="A126" s="116" t="str">
        <f t="shared" si="16"/>
        <v>413p</v>
      </c>
      <c r="B126" s="551" t="str">
        <f>+VLOOKUP(LEFT($A126,LEN(A126)-1)*1,Master!$D$29:$G$228,4,FALSE)</f>
        <v>Expenditures for Supplies</v>
      </c>
      <c r="C126" s="552"/>
      <c r="D126" s="552"/>
      <c r="E126" s="552"/>
      <c r="F126" s="552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7">
        <f t="shared" si="20"/>
        <v>0.77555155266429454</v>
      </c>
    </row>
    <row r="127" spans="1:20">
      <c r="A127" s="116" t="str">
        <f t="shared" si="16"/>
        <v>414p</v>
      </c>
      <c r="B127" s="551" t="str">
        <f>+VLOOKUP(LEFT($A127,LEN(A127)-1)*1,Master!$D$29:$G$228,4,FALSE)</f>
        <v>Expenditures for Services</v>
      </c>
      <c r="C127" s="552"/>
      <c r="D127" s="552"/>
      <c r="E127" s="552"/>
      <c r="F127" s="552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7">
        <f t="shared" si="20"/>
        <v>1.3413157254791312</v>
      </c>
    </row>
    <row r="128" spans="1:20">
      <c r="A128" s="116" t="str">
        <f t="shared" si="16"/>
        <v>415p</v>
      </c>
      <c r="B128" s="551" t="str">
        <f>+VLOOKUP(LEFT($A128,LEN(A128)-1)*1,Master!$D$29:$G$228,4,FALSE)</f>
        <v>Current Maintenance</v>
      </c>
      <c r="C128" s="552"/>
      <c r="D128" s="552"/>
      <c r="E128" s="552"/>
      <c r="F128" s="552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7">
        <f t="shared" si="20"/>
        <v>0.56486301651726611</v>
      </c>
    </row>
    <row r="129" spans="1:20">
      <c r="A129" s="116" t="str">
        <f t="shared" si="16"/>
        <v>416p</v>
      </c>
      <c r="B129" s="551" t="str">
        <f>+VLOOKUP(LEFT($A129,LEN(A129)-1)*1,Master!$D$29:$G$228,4,FALSE)</f>
        <v>Interests</v>
      </c>
      <c r="C129" s="552"/>
      <c r="D129" s="552"/>
      <c r="E129" s="552"/>
      <c r="F129" s="552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7">
        <f t="shared" si="20"/>
        <v>2.2430494311201787</v>
      </c>
    </row>
    <row r="130" spans="1:20">
      <c r="A130" s="116" t="str">
        <f t="shared" si="16"/>
        <v>417p</v>
      </c>
      <c r="B130" s="551" t="str">
        <f>+VLOOKUP(LEFT($A130,LEN(A130)-1)*1,Master!$D$29:$G$228,4,FALSE)</f>
        <v>Rent</v>
      </c>
      <c r="C130" s="552"/>
      <c r="D130" s="552"/>
      <c r="E130" s="552"/>
      <c r="F130" s="552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7">
        <f t="shared" si="20"/>
        <v>0.24149152996331913</v>
      </c>
    </row>
    <row r="131" spans="1:20">
      <c r="A131" s="116" t="str">
        <f t="shared" si="16"/>
        <v>418p</v>
      </c>
      <c r="B131" s="551" t="str">
        <f>+VLOOKUP(LEFT($A131,LEN(A131)-1)*1,Master!$D$29:$G$228,4,FALSE)</f>
        <v>Subsidies</v>
      </c>
      <c r="C131" s="552"/>
      <c r="D131" s="552"/>
      <c r="E131" s="552"/>
      <c r="F131" s="552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7">
        <f t="shared" si="20"/>
        <v>0.84831977448831197</v>
      </c>
    </row>
    <row r="132" spans="1:20">
      <c r="A132" s="116" t="str">
        <f t="shared" si="16"/>
        <v>419p</v>
      </c>
      <c r="B132" s="551" t="str">
        <f>+VLOOKUP(LEFT($A132,LEN(A132)-1)*1,Master!$D$29:$G$228,4,FALSE)</f>
        <v>Other expenditures</v>
      </c>
      <c r="C132" s="552"/>
      <c r="D132" s="552"/>
      <c r="E132" s="552"/>
      <c r="F132" s="552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7">
        <f t="shared" si="20"/>
        <v>1.0760635081284049</v>
      </c>
    </row>
    <row r="133" spans="1:20">
      <c r="A133" s="116" t="str">
        <f t="shared" si="16"/>
        <v>42p</v>
      </c>
      <c r="B133" s="547" t="str">
        <f>+VLOOKUP(LEFT($A133,LEN(A133)-1)*1,Master!$D$29:$G$228,4,FALSE)</f>
        <v>Social Security Transfers</v>
      </c>
      <c r="C133" s="548"/>
      <c r="D133" s="548"/>
      <c r="E133" s="548"/>
      <c r="F133" s="548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8">
        <f t="shared" si="20"/>
        <v>12.538545292470646</v>
      </c>
    </row>
    <row r="134" spans="1:20">
      <c r="A134" s="116" t="str">
        <f t="shared" si="16"/>
        <v>421p</v>
      </c>
      <c r="B134" s="551" t="str">
        <f>+VLOOKUP(LEFT($A134,LEN(A134)-1)*1,Master!$D$29:$G$228,4,FALSE)</f>
        <v>Social Security</v>
      </c>
      <c r="C134" s="552"/>
      <c r="D134" s="552"/>
      <c r="E134" s="552"/>
      <c r="F134" s="552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7">
        <f t="shared" si="20"/>
        <v>1.8346971111062882</v>
      </c>
    </row>
    <row r="135" spans="1:20">
      <c r="A135" s="116" t="str">
        <f t="shared" si="16"/>
        <v>422p</v>
      </c>
      <c r="B135" s="551" t="str">
        <f>+VLOOKUP(LEFT($A135,LEN(A135)-1)*1,Master!$D$29:$G$228,4,FALSE)</f>
        <v>Funds for redundant labor</v>
      </c>
      <c r="C135" s="552"/>
      <c r="D135" s="552"/>
      <c r="E135" s="552"/>
      <c r="F135" s="552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7">
        <f t="shared" si="20"/>
        <v>0.44186401406463649</v>
      </c>
    </row>
    <row r="136" spans="1:20">
      <c r="A136" s="116" t="str">
        <f t="shared" si="16"/>
        <v>423p</v>
      </c>
      <c r="B136" s="551" t="str">
        <f>+VLOOKUP(LEFT($A136,LEN(A136)-1)*1,Master!$D$29:$G$228,4,FALSE)</f>
        <v>Pension and Disability Insurance</v>
      </c>
      <c r="C136" s="552"/>
      <c r="D136" s="552"/>
      <c r="E136" s="552"/>
      <c r="F136" s="552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7">
        <f t="shared" si="20"/>
        <v>9.5972781138627852</v>
      </c>
    </row>
    <row r="137" spans="1:20">
      <c r="A137" s="116" t="str">
        <f t="shared" si="16"/>
        <v>424p</v>
      </c>
      <c r="B137" s="551" t="str">
        <f>+VLOOKUP(LEFT($A137,LEN(A137)-1)*1,Master!$D$29:$G$228,4,FALSE)</f>
        <v>Other Health Care Transfers</v>
      </c>
      <c r="C137" s="552"/>
      <c r="D137" s="552"/>
      <c r="E137" s="552"/>
      <c r="F137" s="552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7">
        <f t="shared" si="20"/>
        <v>0.43409374253901412</v>
      </c>
    </row>
    <row r="138" spans="1:20">
      <c r="A138" s="116" t="str">
        <f t="shared" si="16"/>
        <v>425p</v>
      </c>
      <c r="B138" s="551" t="str">
        <f>+VLOOKUP(LEFT($A138,LEN(A138)-1)*1,Master!$D$29:$G$228,4,FALSE)</f>
        <v>Other Health Care Insurance</v>
      </c>
      <c r="C138" s="552"/>
      <c r="D138" s="552"/>
      <c r="E138" s="552"/>
      <c r="F138" s="552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7">
        <f t="shared" si="20"/>
        <v>0.23061231089792286</v>
      </c>
    </row>
    <row r="139" spans="1:20">
      <c r="A139" s="116" t="str">
        <f t="shared" si="16"/>
        <v>43p</v>
      </c>
      <c r="B139" s="549" t="str">
        <f>+VLOOKUP(LEFT($A139,LEN(A139)-1)*1,Master!$D$29:$G$228,4,FALSE)</f>
        <v xml:space="preserve">Transfers to Institutions, Individuals, NGO and Public Sector </v>
      </c>
      <c r="C139" s="550"/>
      <c r="D139" s="550"/>
      <c r="E139" s="550"/>
      <c r="F139" s="550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8">
        <f t="shared" si="20"/>
        <v>6.0063028847698297</v>
      </c>
    </row>
    <row r="140" spans="1:20">
      <c r="A140" s="116" t="str">
        <f t="shared" si="16"/>
        <v>44p</v>
      </c>
      <c r="B140" s="549" t="str">
        <f>+VLOOKUP(LEFT($A140,LEN(A140)-1)*1,Master!$D$29:$G$228,4,FALSE)</f>
        <v>Capital Expenditure</v>
      </c>
      <c r="C140" s="550"/>
      <c r="D140" s="550"/>
      <c r="E140" s="550"/>
      <c r="F140" s="550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8">
        <f t="shared" si="20"/>
        <v>4.229181139713063</v>
      </c>
    </row>
    <row r="141" spans="1:20">
      <c r="A141" s="116" t="str">
        <f t="shared" si="16"/>
        <v>451p</v>
      </c>
      <c r="B141" s="541" t="str">
        <f>+VLOOKUP(LEFT($A141,LEN(A141)-1)*1,Master!$D$29:$G$228,4,FALSE)</f>
        <v>Credits and Borrowings</v>
      </c>
      <c r="C141" s="542"/>
      <c r="D141" s="542"/>
      <c r="E141" s="542"/>
      <c r="F141" s="542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7">
        <f t="shared" si="20"/>
        <v>3.4293447355283994E-2</v>
      </c>
    </row>
    <row r="142" spans="1:20">
      <c r="A142" s="116" t="str">
        <f t="shared" si="16"/>
        <v>47p</v>
      </c>
      <c r="B142" s="541" t="str">
        <f>+VLOOKUP(LEFT($A142,LEN(A142)-1)*1,Master!$D$29:$G$228,4,FALSE)</f>
        <v>Reserves</v>
      </c>
      <c r="C142" s="542"/>
      <c r="D142" s="542"/>
      <c r="E142" s="542"/>
      <c r="F142" s="542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7">
        <f t="shared" si="20"/>
        <v>2.9004080480975842</v>
      </c>
    </row>
    <row r="143" spans="1:20">
      <c r="A143" s="116" t="str">
        <f t="shared" si="16"/>
        <v>462p</v>
      </c>
      <c r="B143" s="541" t="str">
        <f>+VLOOKUP(LEFT($A143,LEN(A143)-1)*1,Master!$D$29:$G$228,4,FALSE)</f>
        <v>Repayment of Guarantees</v>
      </c>
      <c r="C143" s="542"/>
      <c r="D143" s="542"/>
      <c r="E143" s="542"/>
      <c r="F143" s="542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7">
        <f t="shared" si="20"/>
        <v>0</v>
      </c>
    </row>
    <row r="144" spans="1:20">
      <c r="A144" s="117" t="str">
        <f t="shared" si="16"/>
        <v>4630p</v>
      </c>
      <c r="B144" s="541" t="str">
        <f>+VLOOKUP(LEFT($A144,LEN(A144)-1)*1,Master!$D$29:$G$228,4,FALSE)</f>
        <v>Repayments of liabilities form the previous period</v>
      </c>
      <c r="C144" s="542"/>
      <c r="D144" s="542"/>
      <c r="E144" s="542"/>
      <c r="F144" s="542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5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41" t="str">
        <f>+VLOOKUP(LEFT($A145,LEN(A145)-1)*1,Master!$D$29:$G$228,4,FALSE)</f>
        <v>Net increase of liabilities</v>
      </c>
      <c r="C145" s="542"/>
      <c r="D145" s="542"/>
      <c r="E145" s="542"/>
      <c r="F145" s="542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2">
        <f t="shared" si="20"/>
        <v>0</v>
      </c>
    </row>
    <row r="146" spans="1:23" ht="13.5" thickBot="1">
      <c r="A146" s="117" t="str">
        <f t="shared" si="25"/>
        <v>1000p</v>
      </c>
      <c r="B146" s="543" t="str">
        <f>+VLOOKUP(LEFT($A146,LEN(A146)-1)*1,Master!$D$29:$G$225,4,FALSE)</f>
        <v>Surplus / deficit</v>
      </c>
      <c r="C146" s="544"/>
      <c r="D146" s="544"/>
      <c r="E146" s="544"/>
      <c r="F146" s="544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3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45" t="str">
        <f>+VLOOKUP(LEFT($A147,LEN(A147)-1)*1,Master!$D$29:$G$225,4,FALSE)</f>
        <v>Primary surplus/deficit</v>
      </c>
      <c r="C147" s="546"/>
      <c r="D147" s="546"/>
      <c r="E147" s="546"/>
      <c r="F147" s="546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3">
        <f t="shared" si="20"/>
        <v>-5.0473336053247726</v>
      </c>
    </row>
    <row r="148" spans="1:23">
      <c r="A148" s="117" t="str">
        <f t="shared" si="25"/>
        <v>46p</v>
      </c>
      <c r="B148" s="547" t="str">
        <f>+VLOOKUP(LEFT($A148,LEN(A148)-1)*1,Master!$D$29:$G$225,4,FALSE)</f>
        <v>Repayment of Debt</v>
      </c>
      <c r="C148" s="548"/>
      <c r="D148" s="548"/>
      <c r="E148" s="548"/>
      <c r="F148" s="548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4">
        <f t="shared" si="20"/>
        <v>11.711631541249758</v>
      </c>
    </row>
    <row r="149" spans="1:23">
      <c r="A149" s="117" t="str">
        <f t="shared" si="25"/>
        <v>4611p</v>
      </c>
      <c r="B149" s="539" t="str">
        <f>+VLOOKUP(LEFT($A149,LEN(A149)-1)*1,Master!$D$29:$G$225,4,FALSE)</f>
        <v>Repayment of Domestic Debt</v>
      </c>
      <c r="C149" s="540"/>
      <c r="D149" s="540"/>
      <c r="E149" s="540"/>
      <c r="F149" s="540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5">
        <f t="shared" si="20"/>
        <v>2.598267966053871</v>
      </c>
    </row>
    <row r="150" spans="1:23" ht="13.5" thickBot="1">
      <c r="A150" s="117" t="str">
        <f t="shared" si="25"/>
        <v>4612p</v>
      </c>
      <c r="B150" s="541" t="str">
        <f>+VLOOKUP(LEFT($A150,LEN(A150)-1)*1,Master!$D$29:$G$225,4,FALSE)</f>
        <v>Repayment of Foreign Debt</v>
      </c>
      <c r="C150" s="542"/>
      <c r="D150" s="542"/>
      <c r="E150" s="542"/>
      <c r="F150" s="542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5">
        <f t="shared" si="20"/>
        <v>9.1133635751958835</v>
      </c>
    </row>
    <row r="151" spans="1:23" ht="13.5" thickBot="1">
      <c r="A151" s="117" t="str">
        <f t="shared" si="25"/>
        <v>4418p</v>
      </c>
      <c r="B151" s="535" t="str">
        <f>+VLOOKUP(LEFT($A151,LEN(A151)-1)*1,Master!$D$29:$G$225,4,FALSE)</f>
        <v>Capital Expenditure for Securities</v>
      </c>
      <c r="C151" s="536"/>
      <c r="D151" s="536"/>
      <c r="E151" s="536"/>
      <c r="F151" s="536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50">
        <f t="shared" si="19"/>
        <v>2010000</v>
      </c>
      <c r="T151" s="451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37" t="str">
        <f>+VLOOKUP(LEFT($A152,LEN(A152)-1)*1,Master!$D$29:$G$225,4,FALSE)</f>
        <v>Financing needs</v>
      </c>
      <c r="C152" s="538"/>
      <c r="D152" s="538"/>
      <c r="E152" s="538"/>
      <c r="F152" s="538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7">
        <f t="shared" si="20"/>
        <v>-19.045640996638557</v>
      </c>
    </row>
    <row r="153" spans="1:23" ht="13.5" thickBot="1">
      <c r="A153" s="117" t="str">
        <f t="shared" si="29"/>
        <v>1003p</v>
      </c>
      <c r="B153" s="535" t="str">
        <f>+VLOOKUP(LEFT($A153,LEN(A153)-1)*1,Master!$D$29:$G$225,4,FALSE)</f>
        <v>Financing</v>
      </c>
      <c r="C153" s="536"/>
      <c r="D153" s="536"/>
      <c r="E153" s="536"/>
      <c r="F153" s="536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8">
        <f t="shared" si="20"/>
        <v>19.045640996638557</v>
      </c>
    </row>
    <row r="154" spans="1:23">
      <c r="A154" s="117" t="str">
        <f t="shared" si="29"/>
        <v>7511p</v>
      </c>
      <c r="B154" s="539" t="str">
        <f>+VLOOKUP(LEFT($A154,LEN(A154)-1)*1,Master!$D$29:$G$225,4,FALSE)</f>
        <v>Domestic Loans and Borrowings</v>
      </c>
      <c r="C154" s="540"/>
      <c r="D154" s="540"/>
      <c r="E154" s="540"/>
      <c r="F154" s="540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5">
        <f t="shared" si="20"/>
        <v>0</v>
      </c>
    </row>
    <row r="155" spans="1:23">
      <c r="A155" s="117" t="str">
        <f t="shared" si="29"/>
        <v>7512p</v>
      </c>
      <c r="B155" s="541" t="str">
        <f>+VLOOKUP(LEFT($A155,LEN(A155)-1)*1,Master!$D$29:$G$225,4,FALSE)</f>
        <v>Foreign Loans and Borrowings</v>
      </c>
      <c r="C155" s="542"/>
      <c r="D155" s="542"/>
      <c r="E155" s="542"/>
      <c r="F155" s="542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5">
        <f t="shared" si="20"/>
        <v>7.1948775823150264</v>
      </c>
    </row>
    <row r="156" spans="1:23">
      <c r="A156" s="117" t="str">
        <f t="shared" si="29"/>
        <v>72p</v>
      </c>
      <c r="B156" s="541" t="str">
        <f>+VLOOKUP(LEFT($A156,LEN(A156)-1)*1,Master!$D$29:$G$225,4,FALSE)</f>
        <v>Revenues from Selling Assets</v>
      </c>
      <c r="C156" s="542"/>
      <c r="D156" s="542"/>
      <c r="E156" s="542"/>
      <c r="F156" s="542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5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Increase / decrease of deposits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9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topLeftCell="D1" zoomScaleNormal="100" workbookViewId="0">
      <pane ySplit="1" topLeftCell="A2" activePane="bottomLeft" state="frozen"/>
      <selection pane="bottomLeft" activeCell="L15" sqref="L15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590" t="s">
        <v>554</v>
      </c>
      <c r="C7" s="490"/>
      <c r="D7" s="490"/>
      <c r="E7" s="490"/>
      <c r="F7" s="490"/>
      <c r="G7" s="498">
        <v>2019</v>
      </c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502"/>
      <c r="S7" s="235" t="s">
        <v>419</v>
      </c>
      <c r="T7" s="236">
        <v>4951000000</v>
      </c>
    </row>
    <row r="8" spans="1:20" ht="16.5" customHeight="1">
      <c r="A8" s="144"/>
      <c r="B8" s="491"/>
      <c r="C8" s="492"/>
      <c r="D8" s="492"/>
      <c r="E8" s="492"/>
      <c r="F8" s="493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498" t="s">
        <v>809</v>
      </c>
      <c r="T8" s="502"/>
    </row>
    <row r="9" spans="1:20" ht="13.5" thickBot="1">
      <c r="A9" s="144"/>
      <c r="B9" s="494"/>
      <c r="C9" s="495"/>
      <c r="D9" s="495"/>
      <c r="E9" s="495"/>
      <c r="F9" s="49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09" t="s">
        <v>681</v>
      </c>
      <c r="C10" s="510"/>
      <c r="D10" s="510"/>
      <c r="E10" s="510"/>
      <c r="F10" s="510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4">
        <f>+SUM(G10:R10)</f>
        <v>1885212618.1600001</v>
      </c>
      <c r="T10" s="369">
        <f>+S10/$T$7</f>
        <v>0.38077410990910932</v>
      </c>
    </row>
    <row r="11" spans="1:20">
      <c r="A11" s="150">
        <v>711</v>
      </c>
      <c r="B11" s="533" t="s">
        <v>21</v>
      </c>
      <c r="C11" s="534"/>
      <c r="D11" s="534"/>
      <c r="E11" s="534"/>
      <c r="F11" s="534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5">
        <f t="shared" ref="S11:S63" si="3">+SUM(G11:R11)</f>
        <v>1172748653.1199999</v>
      </c>
      <c r="T11" s="370">
        <f t="shared" ref="T11:T64" si="4">+S11/$T$7</f>
        <v>0.23687106708139768</v>
      </c>
    </row>
    <row r="12" spans="1:20">
      <c r="A12" s="150">
        <v>7111</v>
      </c>
      <c r="B12" s="519" t="s">
        <v>23</v>
      </c>
      <c r="C12" s="520"/>
      <c r="D12" s="520"/>
      <c r="E12" s="520"/>
      <c r="F12" s="520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6">
        <f t="shared" si="3"/>
        <v>125000927.16</v>
      </c>
      <c r="T12" s="371">
        <f t="shared" si="4"/>
        <v>2.5247612029892952E-2</v>
      </c>
    </row>
    <row r="13" spans="1:20">
      <c r="A13" s="150">
        <v>7112</v>
      </c>
      <c r="B13" s="519" t="s">
        <v>25</v>
      </c>
      <c r="C13" s="520"/>
      <c r="D13" s="520"/>
      <c r="E13" s="520"/>
      <c r="F13" s="520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6">
        <f t="shared" si="3"/>
        <v>72815973.079999998</v>
      </c>
      <c r="T13" s="371">
        <f t="shared" si="4"/>
        <v>1.4707326414865683E-2</v>
      </c>
    </row>
    <row r="14" spans="1:20">
      <c r="A14" s="150">
        <v>7113</v>
      </c>
      <c r="B14" s="519" t="s">
        <v>27</v>
      </c>
      <c r="C14" s="520"/>
      <c r="D14" s="520"/>
      <c r="E14" s="520"/>
      <c r="F14" s="520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6">
        <f t="shared" si="3"/>
        <v>2037253.77</v>
      </c>
      <c r="T14" s="371">
        <f t="shared" si="4"/>
        <v>4.1148329024439506E-4</v>
      </c>
    </row>
    <row r="15" spans="1:20">
      <c r="A15" s="150">
        <v>7114</v>
      </c>
      <c r="B15" s="519" t="s">
        <v>29</v>
      </c>
      <c r="C15" s="520"/>
      <c r="D15" s="520"/>
      <c r="E15" s="520"/>
      <c r="F15" s="520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6">
        <f t="shared" si="3"/>
        <v>695728953.52999997</v>
      </c>
      <c r="T15" s="371">
        <f t="shared" si="4"/>
        <v>0.14052291527570188</v>
      </c>
    </row>
    <row r="16" spans="1:20">
      <c r="A16" s="150">
        <v>7115</v>
      </c>
      <c r="B16" s="519" t="s">
        <v>31</v>
      </c>
      <c r="C16" s="520"/>
      <c r="D16" s="520"/>
      <c r="E16" s="520"/>
      <c r="F16" s="520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6">
        <f t="shared" si="3"/>
        <v>235518297.74000001</v>
      </c>
      <c r="T16" s="371">
        <f t="shared" si="4"/>
        <v>4.7569844019390024E-2</v>
      </c>
    </row>
    <row r="17" spans="1:25">
      <c r="A17" s="150">
        <v>7116</v>
      </c>
      <c r="B17" s="519" t="s">
        <v>33</v>
      </c>
      <c r="C17" s="520"/>
      <c r="D17" s="520"/>
      <c r="E17" s="520"/>
      <c r="F17" s="520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6">
        <f t="shared" si="3"/>
        <v>28526540.740000002</v>
      </c>
      <c r="T17" s="371">
        <f t="shared" si="4"/>
        <v>5.7617735285800855E-3</v>
      </c>
    </row>
    <row r="18" spans="1:25">
      <c r="A18" s="150">
        <v>7118</v>
      </c>
      <c r="B18" s="519" t="s">
        <v>722</v>
      </c>
      <c r="C18" s="520"/>
      <c r="D18" s="520"/>
      <c r="E18" s="520"/>
      <c r="F18" s="520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6">
        <f t="shared" si="3"/>
        <v>13120707.100000001</v>
      </c>
      <c r="T18" s="371">
        <f t="shared" si="4"/>
        <v>2.6501125227226825E-3</v>
      </c>
    </row>
    <row r="19" spans="1:25">
      <c r="A19" s="150">
        <v>712</v>
      </c>
      <c r="B19" s="529" t="s">
        <v>37</v>
      </c>
      <c r="C19" s="530"/>
      <c r="D19" s="530"/>
      <c r="E19" s="530"/>
      <c r="F19" s="530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7">
        <f t="shared" si="3"/>
        <v>546265768.94000006</v>
      </c>
      <c r="T19" s="372">
        <f t="shared" si="4"/>
        <v>0.11033443121389619</v>
      </c>
    </row>
    <row r="20" spans="1:25">
      <c r="A20" s="150">
        <v>7121</v>
      </c>
      <c r="B20" s="519" t="s">
        <v>39</v>
      </c>
      <c r="C20" s="520"/>
      <c r="D20" s="520"/>
      <c r="E20" s="520"/>
      <c r="F20" s="520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6">
        <f>+SUM(G20:R20)</f>
        <v>329181424.36000001</v>
      </c>
      <c r="T20" s="371">
        <f t="shared" si="4"/>
        <v>6.6487865958392248E-2</v>
      </c>
    </row>
    <row r="21" spans="1:25">
      <c r="A21" s="150">
        <v>7122</v>
      </c>
      <c r="B21" s="519" t="s">
        <v>41</v>
      </c>
      <c r="C21" s="520"/>
      <c r="D21" s="520"/>
      <c r="E21" s="520"/>
      <c r="F21" s="520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6">
        <f t="shared" si="3"/>
        <v>187748508.43000001</v>
      </c>
      <c r="T21" s="371">
        <f t="shared" si="4"/>
        <v>3.7921330727125835E-2</v>
      </c>
    </row>
    <row r="22" spans="1:25">
      <c r="A22" s="150">
        <v>7123</v>
      </c>
      <c r="B22" s="519" t="s">
        <v>43</v>
      </c>
      <c r="C22" s="520"/>
      <c r="D22" s="520"/>
      <c r="E22" s="520"/>
      <c r="F22" s="520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6">
        <f t="shared" si="3"/>
        <v>15122153.449999999</v>
      </c>
      <c r="T22" s="371">
        <f t="shared" si="4"/>
        <v>3.0543634518279132E-3</v>
      </c>
    </row>
    <row r="23" spans="1:25">
      <c r="A23" s="150">
        <v>7124</v>
      </c>
      <c r="B23" s="519" t="s">
        <v>45</v>
      </c>
      <c r="C23" s="520"/>
      <c r="D23" s="520"/>
      <c r="E23" s="520"/>
      <c r="F23" s="520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6">
        <f t="shared" si="3"/>
        <v>14213682.699999999</v>
      </c>
      <c r="T23" s="371">
        <f t="shared" si="4"/>
        <v>2.8708710765501916E-3</v>
      </c>
      <c r="Y23" s="305"/>
    </row>
    <row r="24" spans="1:25">
      <c r="A24" s="150">
        <v>713</v>
      </c>
      <c r="B24" s="521" t="s">
        <v>47</v>
      </c>
      <c r="C24" s="522"/>
      <c r="D24" s="522"/>
      <c r="E24" s="522"/>
      <c r="F24" s="522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7">
        <f t="shared" si="3"/>
        <v>15661588.439999998</v>
      </c>
      <c r="T24" s="372">
        <f t="shared" si="4"/>
        <v>3.1633182064229443E-3</v>
      </c>
      <c r="Y24" s="305"/>
    </row>
    <row r="25" spans="1:25">
      <c r="A25" s="150">
        <v>714</v>
      </c>
      <c r="B25" s="521" t="s">
        <v>61</v>
      </c>
      <c r="C25" s="522"/>
      <c r="D25" s="522"/>
      <c r="E25" s="522"/>
      <c r="F25" s="522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7">
        <f t="shared" si="3"/>
        <v>28237754.950000003</v>
      </c>
      <c r="T25" s="372">
        <f t="shared" si="4"/>
        <v>5.7034447485356504E-3</v>
      </c>
      <c r="W25" s="292"/>
    </row>
    <row r="26" spans="1:25">
      <c r="A26" s="150">
        <v>715</v>
      </c>
      <c r="B26" s="521" t="s">
        <v>81</v>
      </c>
      <c r="C26" s="522"/>
      <c r="D26" s="522"/>
      <c r="E26" s="522"/>
      <c r="F26" s="522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7">
        <f t="shared" si="3"/>
        <v>75820963.530000001</v>
      </c>
      <c r="T26" s="372">
        <f t="shared" si="4"/>
        <v>1.5314272577257121E-2</v>
      </c>
      <c r="W26" s="311"/>
    </row>
    <row r="27" spans="1:25">
      <c r="A27" s="150">
        <v>73</v>
      </c>
      <c r="B27" s="521" t="s">
        <v>99</v>
      </c>
      <c r="C27" s="522"/>
      <c r="D27" s="522"/>
      <c r="E27" s="522"/>
      <c r="F27" s="522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7">
        <f t="shared" si="3"/>
        <v>8269563.3099999996</v>
      </c>
      <c r="T27" s="372">
        <f t="shared" si="4"/>
        <v>1.6702814199151686E-3</v>
      </c>
    </row>
    <row r="28" spans="1:25" ht="13.5" thickBot="1">
      <c r="A28" s="150">
        <v>74</v>
      </c>
      <c r="B28" s="523" t="s">
        <v>105</v>
      </c>
      <c r="C28" s="524"/>
      <c r="D28" s="524"/>
      <c r="E28" s="524"/>
      <c r="F28" s="524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7">
        <f t="shared" si="3"/>
        <v>38208325.869999997</v>
      </c>
      <c r="T28" s="373">
        <f t="shared" si="4"/>
        <v>7.7172946616845079E-3</v>
      </c>
    </row>
    <row r="29" spans="1:25" ht="13.5" thickBot="1">
      <c r="A29" s="150">
        <v>4</v>
      </c>
      <c r="B29" s="509" t="s">
        <v>802</v>
      </c>
      <c r="C29" s="510"/>
      <c r="D29" s="510"/>
      <c r="E29" s="510"/>
      <c r="F29" s="510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8">
        <f t="shared" si="3"/>
        <v>2028496341.4899998</v>
      </c>
      <c r="T29" s="374">
        <f t="shared" si="4"/>
        <v>0.40971447010502926</v>
      </c>
    </row>
    <row r="30" spans="1:25" ht="13.5" thickBot="1">
      <c r="A30" s="150">
        <v>40</v>
      </c>
      <c r="B30" s="525" t="s">
        <v>120</v>
      </c>
      <c r="C30" s="526"/>
      <c r="D30" s="526"/>
      <c r="E30" s="526"/>
      <c r="F30" s="526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9">
        <f t="shared" si="3"/>
        <v>822772770.01999998</v>
      </c>
      <c r="T30" s="375">
        <f t="shared" si="4"/>
        <v>0.16618314886285598</v>
      </c>
      <c r="U30" s="242"/>
    </row>
    <row r="31" spans="1:25">
      <c r="A31" s="150">
        <v>411</v>
      </c>
      <c r="B31" s="519" t="s">
        <v>122</v>
      </c>
      <c r="C31" s="520"/>
      <c r="D31" s="520"/>
      <c r="E31" s="520"/>
      <c r="F31" s="520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6">
        <f>+SUM(G31:R31)</f>
        <v>472853876.71000004</v>
      </c>
      <c r="T31" s="371">
        <f t="shared" si="4"/>
        <v>9.5506741407796414E-2</v>
      </c>
      <c r="U31" s="458"/>
      <c r="W31" s="257"/>
    </row>
    <row r="32" spans="1:25">
      <c r="A32" s="150">
        <v>412</v>
      </c>
      <c r="B32" s="519" t="s">
        <v>133</v>
      </c>
      <c r="C32" s="520"/>
      <c r="D32" s="520"/>
      <c r="E32" s="520"/>
      <c r="F32" s="520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6">
        <f t="shared" si="3"/>
        <v>15228326.93</v>
      </c>
      <c r="T32" s="371">
        <f t="shared" si="4"/>
        <v>3.0758083074126437E-3</v>
      </c>
    </row>
    <row r="33" spans="1:23">
      <c r="A33" s="150">
        <v>413</v>
      </c>
      <c r="B33" s="519" t="s">
        <v>148</v>
      </c>
      <c r="C33" s="520"/>
      <c r="D33" s="520"/>
      <c r="E33" s="520"/>
      <c r="F33" s="520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6">
        <f t="shared" si="3"/>
        <v>33231725.990000002</v>
      </c>
      <c r="T33" s="371">
        <f t="shared" si="4"/>
        <v>6.7121240133306403E-3</v>
      </c>
      <c r="U33" s="293"/>
    </row>
    <row r="34" spans="1:23">
      <c r="A34" s="361">
        <v>414</v>
      </c>
      <c r="B34" s="519" t="s">
        <v>162</v>
      </c>
      <c r="C34" s="520"/>
      <c r="D34" s="520"/>
      <c r="E34" s="520"/>
      <c r="F34" s="520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6">
        <f t="shared" si="3"/>
        <v>77664645.890000001</v>
      </c>
      <c r="T34" s="371">
        <f t="shared" si="4"/>
        <v>1.5686658430620077E-2</v>
      </c>
      <c r="U34" s="311"/>
      <c r="V34" s="291"/>
    </row>
    <row r="35" spans="1:23" s="362" customFormat="1">
      <c r="A35" s="150">
        <v>415</v>
      </c>
      <c r="B35" s="588" t="s">
        <v>182</v>
      </c>
      <c r="C35" s="589"/>
      <c r="D35" s="589"/>
      <c r="E35" s="589"/>
      <c r="F35" s="589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6">
        <f t="shared" si="3"/>
        <v>22511706.030000001</v>
      </c>
      <c r="T35" s="371">
        <f t="shared" si="4"/>
        <v>4.5469008341749145E-3</v>
      </c>
      <c r="U35" s="311"/>
    </row>
    <row r="36" spans="1:23">
      <c r="A36" s="150">
        <v>416</v>
      </c>
      <c r="B36" s="519" t="s">
        <v>190</v>
      </c>
      <c r="C36" s="520"/>
      <c r="D36" s="520"/>
      <c r="E36" s="520"/>
      <c r="F36" s="520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6">
        <f t="shared" si="3"/>
        <v>105803340.84999999</v>
      </c>
      <c r="T36" s="371">
        <f t="shared" si="4"/>
        <v>2.1370095101999595E-2</v>
      </c>
      <c r="U36" s="311"/>
    </row>
    <row r="37" spans="1:23">
      <c r="A37" s="150">
        <v>417</v>
      </c>
      <c r="B37" s="519" t="s">
        <v>196</v>
      </c>
      <c r="C37" s="520"/>
      <c r="D37" s="520"/>
      <c r="E37" s="520"/>
      <c r="F37" s="520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6">
        <f>+SUM(G37:R37)</f>
        <v>10953661.65</v>
      </c>
      <c r="T37" s="371">
        <f t="shared" si="4"/>
        <v>2.2124139870733188E-3</v>
      </c>
      <c r="U37" s="311"/>
    </row>
    <row r="38" spans="1:23">
      <c r="A38" s="150">
        <v>418</v>
      </c>
      <c r="B38" s="519" t="s">
        <v>204</v>
      </c>
      <c r="C38" s="520"/>
      <c r="D38" s="520"/>
      <c r="E38" s="520"/>
      <c r="F38" s="520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6">
        <f t="shared" si="3"/>
        <v>34566147.960000001</v>
      </c>
      <c r="T38" s="371">
        <f t="shared" si="4"/>
        <v>6.9816497596445161E-3</v>
      </c>
      <c r="U38" s="311"/>
    </row>
    <row r="39" spans="1:23">
      <c r="A39" s="361">
        <v>419</v>
      </c>
      <c r="B39" s="519" t="s">
        <v>212</v>
      </c>
      <c r="C39" s="520"/>
      <c r="D39" s="520"/>
      <c r="E39" s="520"/>
      <c r="F39" s="520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6">
        <f t="shared" si="3"/>
        <v>49959338.009999998</v>
      </c>
      <c r="T39" s="371">
        <f t="shared" si="4"/>
        <v>1.0090757020803878E-2</v>
      </c>
      <c r="U39" s="311"/>
    </row>
    <row r="40" spans="1:23" s="362" customFormat="1">
      <c r="A40" s="150">
        <v>42</v>
      </c>
      <c r="B40" s="515" t="s">
        <v>230</v>
      </c>
      <c r="C40" s="516"/>
      <c r="D40" s="516"/>
      <c r="E40" s="516"/>
      <c r="F40" s="516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7">
        <f t="shared" si="3"/>
        <v>554348899.89999998</v>
      </c>
      <c r="T40" s="372">
        <f t="shared" si="4"/>
        <v>0.11196705713997172</v>
      </c>
      <c r="U40" s="311"/>
    </row>
    <row r="41" spans="1:23">
      <c r="A41" s="150">
        <v>421</v>
      </c>
      <c r="B41" s="519" t="s">
        <v>232</v>
      </c>
      <c r="C41" s="520"/>
      <c r="D41" s="520"/>
      <c r="E41" s="520"/>
      <c r="F41" s="520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6">
        <f t="shared" si="3"/>
        <v>79857118.899999991</v>
      </c>
      <c r="T41" s="371">
        <f t="shared" si="4"/>
        <v>1.6129492809533425E-2</v>
      </c>
      <c r="W41" s="309"/>
    </row>
    <row r="42" spans="1:23">
      <c r="A42" s="150">
        <v>422</v>
      </c>
      <c r="B42" s="519" t="s">
        <v>248</v>
      </c>
      <c r="C42" s="520"/>
      <c r="D42" s="520"/>
      <c r="E42" s="520"/>
      <c r="F42" s="520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6">
        <f t="shared" si="3"/>
        <v>20398152.109999999</v>
      </c>
      <c r="T42" s="371">
        <f t="shared" si="4"/>
        <v>4.1200064855584726E-3</v>
      </c>
    </row>
    <row r="43" spans="1:23">
      <c r="A43" s="150">
        <v>423</v>
      </c>
      <c r="B43" s="519" t="s">
        <v>259</v>
      </c>
      <c r="C43" s="520"/>
      <c r="D43" s="520"/>
      <c r="E43" s="520"/>
      <c r="F43" s="520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6">
        <f t="shared" si="3"/>
        <v>420870901.67999995</v>
      </c>
      <c r="T43" s="371">
        <f t="shared" si="4"/>
        <v>8.5007251399717224E-2</v>
      </c>
      <c r="V43" s="291"/>
    </row>
    <row r="44" spans="1:23">
      <c r="A44" s="150">
        <v>424</v>
      </c>
      <c r="B44" s="519" t="s">
        <v>274</v>
      </c>
      <c r="C44" s="520"/>
      <c r="D44" s="520"/>
      <c r="E44" s="520"/>
      <c r="F44" s="520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6">
        <f t="shared" si="3"/>
        <v>21699290.620000005</v>
      </c>
      <c r="T44" s="371">
        <f t="shared" si="4"/>
        <v>4.3828096586548178E-3</v>
      </c>
    </row>
    <row r="45" spans="1:23">
      <c r="A45" s="361">
        <v>425</v>
      </c>
      <c r="B45" s="519" t="s">
        <v>278</v>
      </c>
      <c r="C45" s="520"/>
      <c r="D45" s="520"/>
      <c r="E45" s="520"/>
      <c r="F45" s="520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6">
        <f t="shared" si="3"/>
        <v>11523436.590000002</v>
      </c>
      <c r="T45" s="371">
        <f t="shared" si="4"/>
        <v>2.3274967865077765E-3</v>
      </c>
      <c r="U45" s="354"/>
    </row>
    <row r="46" spans="1:23" s="362" customFormat="1">
      <c r="A46" s="150">
        <v>43</v>
      </c>
      <c r="B46" s="517" t="s">
        <v>286</v>
      </c>
      <c r="C46" s="518"/>
      <c r="D46" s="518"/>
      <c r="E46" s="518"/>
      <c r="F46" s="518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7">
        <f t="shared" si="3"/>
        <v>219689949.60999998</v>
      </c>
      <c r="T46" s="372">
        <f t="shared" si="4"/>
        <v>4.4372843791153298E-2</v>
      </c>
    </row>
    <row r="47" spans="1:23">
      <c r="A47" s="150">
        <v>44</v>
      </c>
      <c r="B47" s="517" t="s">
        <v>320</v>
      </c>
      <c r="C47" s="518"/>
      <c r="D47" s="518"/>
      <c r="E47" s="518"/>
      <c r="F47" s="518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7">
        <f t="shared" si="3"/>
        <v>344885621.69999993</v>
      </c>
      <c r="T47" s="372">
        <f t="shared" si="4"/>
        <v>6.965979028479094E-2</v>
      </c>
      <c r="U47" s="291"/>
    </row>
    <row r="48" spans="1:23">
      <c r="A48" s="150">
        <v>451</v>
      </c>
      <c r="B48" s="586" t="s">
        <v>113</v>
      </c>
      <c r="C48" s="587"/>
      <c r="D48" s="587"/>
      <c r="E48" s="587"/>
      <c r="F48" s="587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6">
        <f t="shared" si="3"/>
        <v>3176935.98</v>
      </c>
      <c r="T48" s="371">
        <f t="shared" si="4"/>
        <v>6.416756170470612E-4</v>
      </c>
    </row>
    <row r="49" spans="1:22" s="362" customFormat="1">
      <c r="A49" s="361">
        <v>47</v>
      </c>
      <c r="B49" s="578" t="s">
        <v>366</v>
      </c>
      <c r="C49" s="579"/>
      <c r="D49" s="579"/>
      <c r="E49" s="579"/>
      <c r="F49" s="579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6">
        <f t="shared" si="3"/>
        <v>24296455.589999996</v>
      </c>
      <c r="T49" s="371">
        <f t="shared" si="4"/>
        <v>4.9073834760654409E-3</v>
      </c>
    </row>
    <row r="50" spans="1:22" ht="13.5" thickBot="1">
      <c r="A50" s="150">
        <v>462</v>
      </c>
      <c r="B50" s="505" t="s">
        <v>359</v>
      </c>
      <c r="C50" s="506"/>
      <c r="D50" s="506"/>
      <c r="E50" s="506"/>
      <c r="F50" s="506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6">
        <f t="shared" si="3"/>
        <v>38684699.409999996</v>
      </c>
      <c r="T50" s="376">
        <f t="shared" si="4"/>
        <v>7.8135123025651378E-3</v>
      </c>
      <c r="U50" s="292"/>
      <c r="V50" s="293"/>
    </row>
    <row r="51" spans="1:22" ht="13.5" thickBot="1">
      <c r="A51" s="144">
        <v>4630</v>
      </c>
      <c r="B51" s="580" t="s">
        <v>795</v>
      </c>
      <c r="C51" s="581"/>
      <c r="D51" s="581"/>
      <c r="E51" s="581"/>
      <c r="F51" s="581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1">
        <f>+SUM(G51:R51)</f>
        <v>20641009.280000001</v>
      </c>
      <c r="T51" s="376">
        <f>+S51/$T$7</f>
        <v>4.1690586305796811E-3</v>
      </c>
    </row>
    <row r="52" spans="1:22" ht="13.5" thickBot="1">
      <c r="A52" s="70">
        <v>1005</v>
      </c>
      <c r="B52" s="582" t="s">
        <v>685</v>
      </c>
      <c r="C52" s="583"/>
      <c r="D52" s="583"/>
      <c r="E52" s="583"/>
      <c r="F52" s="583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2">
        <f>+SUM(G52:R52)</f>
        <v>0</v>
      </c>
      <c r="T52" s="377">
        <f>+S52/$T$7</f>
        <v>0</v>
      </c>
    </row>
    <row r="53" spans="1:22" ht="13.5" thickBot="1">
      <c r="A53" s="144">
        <v>1000</v>
      </c>
      <c r="B53" s="511" t="s">
        <v>545</v>
      </c>
      <c r="C53" s="512"/>
      <c r="D53" s="512"/>
      <c r="E53" s="512"/>
      <c r="F53" s="512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3">
        <f t="shared" si="3"/>
        <v>-143283723.32999992</v>
      </c>
      <c r="T53" s="378">
        <f t="shared" si="4"/>
        <v>-2.8940360195920001E-2</v>
      </c>
    </row>
    <row r="54" spans="1:22" ht="13.5" thickBot="1">
      <c r="A54" s="144">
        <v>1001</v>
      </c>
      <c r="B54" s="513" t="s">
        <v>793</v>
      </c>
      <c r="C54" s="514"/>
      <c r="D54" s="514"/>
      <c r="E54" s="514"/>
      <c r="F54" s="514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3">
        <f t="shared" si="3"/>
        <v>-37480382.479999945</v>
      </c>
      <c r="T54" s="378">
        <f t="shared" si="4"/>
        <v>-7.5702650939204093E-3</v>
      </c>
    </row>
    <row r="55" spans="1:22">
      <c r="A55" s="144">
        <v>46</v>
      </c>
      <c r="B55" s="576" t="s">
        <v>352</v>
      </c>
      <c r="C55" s="577"/>
      <c r="D55" s="577"/>
      <c r="E55" s="577"/>
      <c r="F55" s="577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4">
        <f t="shared" si="3"/>
        <v>507341253.08999997</v>
      </c>
      <c r="T55" s="379">
        <f t="shared" si="4"/>
        <v>0.10247248093112502</v>
      </c>
      <c r="V55" s="309"/>
    </row>
    <row r="56" spans="1:22">
      <c r="A56" s="144">
        <v>4611</v>
      </c>
      <c r="B56" s="503" t="s">
        <v>355</v>
      </c>
      <c r="C56" s="504"/>
      <c r="D56" s="504"/>
      <c r="E56" s="504"/>
      <c r="F56" s="504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5">
        <f t="shared" si="3"/>
        <v>178415558.27999997</v>
      </c>
      <c r="T56" s="380">
        <f t="shared" si="4"/>
        <v>3.6036267073318515E-2</v>
      </c>
      <c r="V56" s="354"/>
    </row>
    <row r="57" spans="1:22" ht="13.5" thickBot="1">
      <c r="A57" s="144">
        <v>4612</v>
      </c>
      <c r="B57" s="487" t="s">
        <v>357</v>
      </c>
      <c r="C57" s="488"/>
      <c r="D57" s="488"/>
      <c r="E57" s="488"/>
      <c r="F57" s="488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5">
        <f t="shared" si="3"/>
        <v>328925694.81</v>
      </c>
      <c r="T57" s="380">
        <f t="shared" si="4"/>
        <v>6.64362138578065E-2</v>
      </c>
      <c r="V57" s="319"/>
    </row>
    <row r="58" spans="1:22" ht="13.5" thickBot="1">
      <c r="A58" s="144">
        <v>4418</v>
      </c>
      <c r="B58" s="595" t="s">
        <v>336</v>
      </c>
      <c r="C58" s="596"/>
      <c r="D58" s="596"/>
      <c r="E58" s="596"/>
      <c r="F58" s="596"/>
      <c r="G58" s="193">
        <f>DataEx!FF167</f>
        <v>0</v>
      </c>
      <c r="H58" s="193">
        <f>DataEx!FG167</f>
        <v>35272.089999999997</v>
      </c>
      <c r="I58" s="193">
        <f>DataEx!FH167</f>
        <v>0</v>
      </c>
      <c r="J58" s="193">
        <f>DataEx!FI167</f>
        <v>39948396.369999997</v>
      </c>
      <c r="K58" s="193">
        <f>DataEx!FJ167</f>
        <v>0</v>
      </c>
      <c r="L58" s="193">
        <f>DataEx!FK167</f>
        <v>0</v>
      </c>
      <c r="M58" s="193">
        <f>DataEx!FL167</f>
        <v>0</v>
      </c>
      <c r="N58" s="193">
        <f>DataEx!FM167</f>
        <v>0</v>
      </c>
      <c r="O58" s="193">
        <f>DataEx!FN167</f>
        <v>0</v>
      </c>
      <c r="P58" s="193">
        <f>DataEx!FO167</f>
        <v>0</v>
      </c>
      <c r="Q58" s="193">
        <f>DataEx!FP167</f>
        <v>14495201.140000001</v>
      </c>
      <c r="R58" s="193">
        <f>DataEx!FQ167</f>
        <v>2849828.78</v>
      </c>
      <c r="S58" s="394">
        <f>SUM(G58:R58)</f>
        <v>57328698.380000003</v>
      </c>
      <c r="T58" s="379">
        <f>+S58/$T$7</f>
        <v>1.1579215992728742E-2</v>
      </c>
      <c r="V58" s="319"/>
    </row>
    <row r="59" spans="1:22" ht="13.5" thickBot="1">
      <c r="A59" s="144">
        <v>1002</v>
      </c>
      <c r="B59" s="507" t="s">
        <v>543</v>
      </c>
      <c r="C59" s="508"/>
      <c r="D59" s="508"/>
      <c r="E59" s="508"/>
      <c r="F59" s="508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6">
        <f t="shared" si="3"/>
        <v>-707953674.79999995</v>
      </c>
      <c r="T59" s="381">
        <f t="shared" si="4"/>
        <v>-0.14299205711977378</v>
      </c>
    </row>
    <row r="60" spans="1:22" ht="13.5" thickBot="1">
      <c r="A60" s="144">
        <v>1003</v>
      </c>
      <c r="B60" s="509" t="s">
        <v>544</v>
      </c>
      <c r="C60" s="510"/>
      <c r="D60" s="510"/>
      <c r="E60" s="510"/>
      <c r="F60" s="510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7">
        <f t="shared" si="3"/>
        <v>707953674.79999995</v>
      </c>
      <c r="T60" s="382">
        <f t="shared" si="4"/>
        <v>0.14299205711977378</v>
      </c>
    </row>
    <row r="61" spans="1:22">
      <c r="A61" s="144">
        <v>7511</v>
      </c>
      <c r="B61" s="503" t="s">
        <v>114</v>
      </c>
      <c r="C61" s="504"/>
      <c r="D61" s="504"/>
      <c r="E61" s="504"/>
      <c r="F61" s="504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5">
        <f t="shared" si="3"/>
        <v>363438000</v>
      </c>
      <c r="T61" s="380">
        <f t="shared" si="4"/>
        <v>7.3406988487174307E-2</v>
      </c>
    </row>
    <row r="62" spans="1:22">
      <c r="A62" s="144">
        <v>7512</v>
      </c>
      <c r="B62" s="487" t="s">
        <v>116</v>
      </c>
      <c r="C62" s="488"/>
      <c r="D62" s="488"/>
      <c r="E62" s="488"/>
      <c r="F62" s="488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5">
        <f t="shared" si="3"/>
        <v>651580293.42999995</v>
      </c>
      <c r="T62" s="380">
        <f t="shared" si="4"/>
        <v>0.13160579548172086</v>
      </c>
    </row>
    <row r="63" spans="1:22">
      <c r="A63" s="144">
        <v>72</v>
      </c>
      <c r="B63" s="487" t="s">
        <v>93</v>
      </c>
      <c r="C63" s="488"/>
      <c r="D63" s="488"/>
      <c r="E63" s="488"/>
      <c r="F63" s="488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5">
        <f t="shared" si="3"/>
        <v>4278082.92</v>
      </c>
      <c r="T63" s="380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8">
        <f>+SUM(G64:R64)</f>
        <v>-311342701.55000001</v>
      </c>
      <c r="T64" s="383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65" t="s">
        <v>552</v>
      </c>
      <c r="C100" s="566"/>
      <c r="D100" s="566"/>
      <c r="E100" s="566"/>
      <c r="F100" s="566"/>
      <c r="G100" s="573">
        <v>2019</v>
      </c>
      <c r="H100" s="574"/>
      <c r="I100" s="574"/>
      <c r="J100" s="574"/>
      <c r="K100" s="574"/>
      <c r="L100" s="574"/>
      <c r="M100" s="574"/>
      <c r="N100" s="574"/>
      <c r="O100" s="574"/>
      <c r="P100" s="574"/>
      <c r="Q100" s="574"/>
      <c r="R100" s="575"/>
      <c r="S100" s="107" t="str">
        <f>+S7</f>
        <v>BDP</v>
      </c>
      <c r="T100" s="108">
        <f>+T7</f>
        <v>4951000000</v>
      </c>
    </row>
    <row r="101" spans="1:21" ht="15.75" customHeight="1">
      <c r="B101" s="567"/>
      <c r="C101" s="568"/>
      <c r="D101" s="568"/>
      <c r="E101" s="568"/>
      <c r="F101" s="569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73" t="s">
        <v>809</v>
      </c>
      <c r="T101" s="575">
        <f>+T8</f>
        <v>0</v>
      </c>
    </row>
    <row r="102" spans="1:21" ht="13.5" thickBot="1">
      <c r="B102" s="570"/>
      <c r="C102" s="571"/>
      <c r="D102" s="571"/>
      <c r="E102" s="571"/>
      <c r="F102" s="572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61" t="s">
        <v>681</v>
      </c>
      <c r="C103" s="562"/>
      <c r="D103" s="562"/>
      <c r="E103" s="562"/>
      <c r="F103" s="562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9">
        <f>+SUM(G103:R103)</f>
        <v>1834032913.7635608</v>
      </c>
      <c r="T103" s="412">
        <f>+S103/$T$7</f>
        <v>0.37043686402010922</v>
      </c>
    </row>
    <row r="104" spans="1:21">
      <c r="A104" s="116" t="str">
        <f t="shared" si="16"/>
        <v>711p</v>
      </c>
      <c r="B104" s="563" t="s">
        <v>21</v>
      </c>
      <c r="C104" s="564"/>
      <c r="D104" s="564"/>
      <c r="E104" s="564"/>
      <c r="F104" s="564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400">
        <f t="shared" ref="S104:S159" si="19">+SUM(G104:R104)</f>
        <v>1122669950.9867301</v>
      </c>
      <c r="T104" s="413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51" t="s">
        <v>23</v>
      </c>
      <c r="C105" s="552"/>
      <c r="D105" s="552"/>
      <c r="E105" s="552"/>
      <c r="F105" s="552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1">
        <f t="shared" si="19"/>
        <v>120237518.04497004</v>
      </c>
      <c r="T105" s="414">
        <f t="shared" si="20"/>
        <v>2.4285501523928506E-2</v>
      </c>
    </row>
    <row r="106" spans="1:21">
      <c r="A106" s="116" t="str">
        <f t="shared" si="16"/>
        <v>7112p</v>
      </c>
      <c r="B106" s="551" t="s">
        <v>25</v>
      </c>
      <c r="C106" s="552"/>
      <c r="D106" s="552"/>
      <c r="E106" s="552"/>
      <c r="F106" s="552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1">
        <f t="shared" si="19"/>
        <v>71194860.131909981</v>
      </c>
      <c r="T106" s="414">
        <f t="shared" si="20"/>
        <v>1.4379894997356086E-2</v>
      </c>
    </row>
    <row r="107" spans="1:21">
      <c r="A107" s="116" t="str">
        <f t="shared" si="16"/>
        <v>7113p</v>
      </c>
      <c r="B107" s="551" t="s">
        <v>27</v>
      </c>
      <c r="C107" s="552"/>
      <c r="D107" s="552"/>
      <c r="E107" s="552"/>
      <c r="F107" s="552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1">
        <f t="shared" si="19"/>
        <v>1862816.4104000002</v>
      </c>
      <c r="T107" s="414">
        <f t="shared" si="20"/>
        <v>3.7625053734599074E-4</v>
      </c>
    </row>
    <row r="108" spans="1:21">
      <c r="A108" s="116" t="str">
        <f t="shared" si="16"/>
        <v>7114p</v>
      </c>
      <c r="B108" s="551" t="s">
        <v>29</v>
      </c>
      <c r="C108" s="552"/>
      <c r="D108" s="552"/>
      <c r="E108" s="552"/>
      <c r="F108" s="552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1">
        <f t="shared" si="19"/>
        <v>657905657.67184997</v>
      </c>
      <c r="T108" s="414">
        <f t="shared" si="20"/>
        <v>0.1328833887440618</v>
      </c>
    </row>
    <row r="109" spans="1:21">
      <c r="A109" s="116" t="str">
        <f t="shared" si="16"/>
        <v>7115p</v>
      </c>
      <c r="B109" s="551" t="s">
        <v>31</v>
      </c>
      <c r="C109" s="552"/>
      <c r="D109" s="552"/>
      <c r="E109" s="552"/>
      <c r="F109" s="552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1">
        <f t="shared" si="19"/>
        <v>234801605.29820004</v>
      </c>
      <c r="T109" s="414">
        <f t="shared" si="20"/>
        <v>4.7425086911371449E-2</v>
      </c>
    </row>
    <row r="110" spans="1:21">
      <c r="A110" s="116" t="str">
        <f t="shared" si="16"/>
        <v>7116p</v>
      </c>
      <c r="B110" s="551" t="s">
        <v>33</v>
      </c>
      <c r="C110" s="552"/>
      <c r="D110" s="552"/>
      <c r="E110" s="552"/>
      <c r="F110" s="552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1">
        <f t="shared" si="19"/>
        <v>27167589.829800002</v>
      </c>
      <c r="T110" s="414">
        <f t="shared" si="20"/>
        <v>5.4872934416885484E-3</v>
      </c>
    </row>
    <row r="111" spans="1:21">
      <c r="A111" s="116" t="str">
        <f t="shared" si="16"/>
        <v>7118p</v>
      </c>
      <c r="B111" s="551" t="s">
        <v>722</v>
      </c>
      <c r="C111" s="552"/>
      <c r="D111" s="552"/>
      <c r="E111" s="552"/>
      <c r="F111" s="552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1">
        <f t="shared" si="19"/>
        <v>9499903.5996000003</v>
      </c>
      <c r="T111" s="414">
        <f t="shared" si="20"/>
        <v>1.918784811068471E-3</v>
      </c>
    </row>
    <row r="112" spans="1:21">
      <c r="A112" s="116" t="str">
        <f t="shared" si="16"/>
        <v>712p</v>
      </c>
      <c r="B112" s="559" t="s">
        <v>37</v>
      </c>
      <c r="C112" s="560"/>
      <c r="D112" s="560"/>
      <c r="E112" s="560"/>
      <c r="F112" s="560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2">
        <f t="shared" si="19"/>
        <v>534213514.07533062</v>
      </c>
      <c r="T112" s="415">
        <f t="shared" si="20"/>
        <v>0.10790012403056566</v>
      </c>
    </row>
    <row r="113" spans="1:20">
      <c r="A113" s="116" t="str">
        <f t="shared" si="16"/>
        <v>7121p</v>
      </c>
      <c r="B113" s="551" t="s">
        <v>39</v>
      </c>
      <c r="C113" s="552"/>
      <c r="D113" s="552"/>
      <c r="E113" s="552"/>
      <c r="F113" s="552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1">
        <f t="shared" si="19"/>
        <v>327876749.17454183</v>
      </c>
      <c r="T113" s="414">
        <f t="shared" si="20"/>
        <v>6.6224348449715573E-2</v>
      </c>
    </row>
    <row r="114" spans="1:20">
      <c r="A114" s="116" t="str">
        <f t="shared" si="16"/>
        <v>7122p</v>
      </c>
      <c r="B114" s="551" t="s">
        <v>41</v>
      </c>
      <c r="C114" s="552"/>
      <c r="D114" s="552"/>
      <c r="E114" s="552"/>
      <c r="F114" s="552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1">
        <f t="shared" si="19"/>
        <v>178851341.72447601</v>
      </c>
      <c r="T114" s="414">
        <f t="shared" si="20"/>
        <v>3.6124286351136341E-2</v>
      </c>
    </row>
    <row r="115" spans="1:20">
      <c r="A115" s="116" t="str">
        <f t="shared" si="16"/>
        <v>7123p</v>
      </c>
      <c r="B115" s="551" t="s">
        <v>43</v>
      </c>
      <c r="C115" s="552"/>
      <c r="D115" s="552"/>
      <c r="E115" s="552"/>
      <c r="F115" s="552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1">
        <f t="shared" si="19"/>
        <v>14950709.439620741</v>
      </c>
      <c r="T115" s="414">
        <f t="shared" si="20"/>
        <v>3.0197352938034216E-3</v>
      </c>
    </row>
    <row r="116" spans="1:20">
      <c r="A116" s="116" t="str">
        <f t="shared" si="16"/>
        <v>7124p</v>
      </c>
      <c r="B116" s="551" t="s">
        <v>45</v>
      </c>
      <c r="C116" s="552"/>
      <c r="D116" s="552"/>
      <c r="E116" s="552"/>
      <c r="F116" s="552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1">
        <f t="shared" si="19"/>
        <v>12534713.736692008</v>
      </c>
      <c r="T116" s="414">
        <f t="shared" si="20"/>
        <v>2.5317539359103226E-3</v>
      </c>
    </row>
    <row r="117" spans="1:20">
      <c r="A117" s="116" t="str">
        <f t="shared" si="16"/>
        <v>713p</v>
      </c>
      <c r="B117" s="557" t="s">
        <v>47</v>
      </c>
      <c r="C117" s="558"/>
      <c r="D117" s="558"/>
      <c r="E117" s="558"/>
      <c r="F117" s="558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2">
        <f t="shared" si="19"/>
        <v>15318488.925500004</v>
      </c>
      <c r="T117" s="415">
        <f t="shared" si="20"/>
        <v>3.0940191729953554E-3</v>
      </c>
    </row>
    <row r="118" spans="1:20">
      <c r="A118" s="116" t="str">
        <f t="shared" si="16"/>
        <v>714p</v>
      </c>
      <c r="B118" s="557" t="s">
        <v>61</v>
      </c>
      <c r="C118" s="558"/>
      <c r="D118" s="558"/>
      <c r="E118" s="558"/>
      <c r="F118" s="558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2">
        <f t="shared" si="19"/>
        <v>31390844.861600004</v>
      </c>
      <c r="T118" s="415">
        <f t="shared" si="20"/>
        <v>6.3403039510401948E-3</v>
      </c>
    </row>
    <row r="119" spans="1:20">
      <c r="A119" s="116" t="str">
        <f t="shared" si="16"/>
        <v>715p</v>
      </c>
      <c r="B119" s="557" t="s">
        <v>81</v>
      </c>
      <c r="C119" s="558"/>
      <c r="D119" s="558"/>
      <c r="E119" s="558"/>
      <c r="F119" s="558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2">
        <f t="shared" si="19"/>
        <v>77448450.912399963</v>
      </c>
      <c r="T119" s="415">
        <f t="shared" si="20"/>
        <v>1.5642991499171876E-2</v>
      </c>
    </row>
    <row r="120" spans="1:20">
      <c r="A120" s="116" t="str">
        <f t="shared" si="16"/>
        <v>73p</v>
      </c>
      <c r="B120" s="557" t="s">
        <v>99</v>
      </c>
      <c r="C120" s="558"/>
      <c r="D120" s="558"/>
      <c r="E120" s="558"/>
      <c r="F120" s="558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2">
        <f t="shared" si="19"/>
        <v>8511664.0019999985</v>
      </c>
      <c r="T120" s="415">
        <f t="shared" si="20"/>
        <v>1.7191807719652591E-3</v>
      </c>
    </row>
    <row r="121" spans="1:20" ht="13.5" thickBot="1">
      <c r="A121" s="116" t="str">
        <f t="shared" si="16"/>
        <v>74p</v>
      </c>
      <c r="B121" s="553" t="s">
        <v>105</v>
      </c>
      <c r="C121" s="554"/>
      <c r="D121" s="554"/>
      <c r="E121" s="554"/>
      <c r="F121" s="554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3">
        <f t="shared" si="19"/>
        <v>44480000</v>
      </c>
      <c r="T121" s="416">
        <f t="shared" si="20"/>
        <v>8.98404362754999E-3</v>
      </c>
    </row>
    <row r="122" spans="1:20" ht="13.5" thickBot="1">
      <c r="A122" s="116" t="str">
        <f t="shared" si="16"/>
        <v>4p</v>
      </c>
      <c r="B122" s="535" t="s">
        <v>811</v>
      </c>
      <c r="C122" s="536"/>
      <c r="D122" s="536"/>
      <c r="E122" s="536"/>
      <c r="F122" s="536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4">
        <f>+SUM(G122:R122)</f>
        <v>1976630978.4000001</v>
      </c>
      <c r="T122" s="417">
        <f t="shared" si="20"/>
        <v>0.39923873528580089</v>
      </c>
    </row>
    <row r="123" spans="1:20" ht="13.5" thickBot="1">
      <c r="A123" s="116" t="str">
        <f t="shared" si="16"/>
        <v>40p</v>
      </c>
      <c r="B123" s="593" t="s">
        <v>774</v>
      </c>
      <c r="C123" s="594"/>
      <c r="D123" s="594"/>
      <c r="E123" s="594"/>
      <c r="F123" s="594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5">
        <f t="shared" si="19"/>
        <v>1680705978.4000001</v>
      </c>
      <c r="T123" s="418">
        <f t="shared" si="20"/>
        <v>0.33946798190264593</v>
      </c>
    </row>
    <row r="124" spans="1:20">
      <c r="A124" s="116" t="e">
        <f>+CONCATENATE(#REF!,"p")</f>
        <v>#REF!</v>
      </c>
      <c r="B124" s="555" t="e">
        <v>#REF!</v>
      </c>
      <c r="C124" s="556"/>
      <c r="D124" s="556"/>
      <c r="E124" s="556"/>
      <c r="F124" s="556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400">
        <f t="shared" si="19"/>
        <v>846670934.61000013</v>
      </c>
      <c r="T124" s="413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51" t="s">
        <v>122</v>
      </c>
      <c r="C125" s="552"/>
      <c r="D125" s="552"/>
      <c r="E125" s="552"/>
      <c r="F125" s="552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1">
        <f t="shared" si="19"/>
        <v>472054247.1500001</v>
      </c>
      <c r="T125" s="414">
        <f t="shared" si="20"/>
        <v>9.5345232710563541E-2</v>
      </c>
    </row>
    <row r="126" spans="1:20">
      <c r="A126" s="116" t="str">
        <f t="shared" si="25"/>
        <v>412p</v>
      </c>
      <c r="B126" s="551" t="s">
        <v>133</v>
      </c>
      <c r="C126" s="552"/>
      <c r="D126" s="552"/>
      <c r="E126" s="552"/>
      <c r="F126" s="552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1">
        <f t="shared" si="19"/>
        <v>15077125.449999996</v>
      </c>
      <c r="T126" s="414">
        <f t="shared" si="20"/>
        <v>3.0452687234902029E-3</v>
      </c>
    </row>
    <row r="127" spans="1:20">
      <c r="A127" s="116" t="str">
        <f t="shared" si="25"/>
        <v>413p</v>
      </c>
      <c r="B127" s="551" t="s">
        <v>148</v>
      </c>
      <c r="C127" s="552"/>
      <c r="D127" s="552"/>
      <c r="E127" s="552"/>
      <c r="F127" s="552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1">
        <f t="shared" si="19"/>
        <v>36652827.660000004</v>
      </c>
      <c r="T127" s="414">
        <f t="shared" si="20"/>
        <v>7.4031160694809136E-3</v>
      </c>
    </row>
    <row r="128" spans="1:20">
      <c r="A128" s="116" t="str">
        <f t="shared" si="25"/>
        <v>414p</v>
      </c>
      <c r="B128" s="551" t="s">
        <v>162</v>
      </c>
      <c r="C128" s="552"/>
      <c r="D128" s="552"/>
      <c r="E128" s="552"/>
      <c r="F128" s="552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1">
        <f t="shared" si="19"/>
        <v>63127045.969999991</v>
      </c>
      <c r="T128" s="414">
        <f t="shared" si="20"/>
        <v>1.2750362748939606E-2</v>
      </c>
    </row>
    <row r="129" spans="1:20">
      <c r="A129" s="116" t="str">
        <f t="shared" si="25"/>
        <v>415p</v>
      </c>
      <c r="B129" s="551" t="s">
        <v>182</v>
      </c>
      <c r="C129" s="552"/>
      <c r="D129" s="552"/>
      <c r="E129" s="552"/>
      <c r="F129" s="552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1">
        <f t="shared" si="19"/>
        <v>23117903.600000001</v>
      </c>
      <c r="T129" s="414">
        <f t="shared" si="20"/>
        <v>4.6693402544940423E-3</v>
      </c>
    </row>
    <row r="130" spans="1:20">
      <c r="A130" s="116" t="str">
        <f t="shared" si="25"/>
        <v>416p</v>
      </c>
      <c r="B130" s="551" t="s">
        <v>190</v>
      </c>
      <c r="C130" s="552"/>
      <c r="D130" s="552"/>
      <c r="E130" s="552"/>
      <c r="F130" s="552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1">
        <f t="shared" si="19"/>
        <v>95752699.999999985</v>
      </c>
      <c r="T130" s="414">
        <f t="shared" si="20"/>
        <v>1.9340072712583315E-2</v>
      </c>
    </row>
    <row r="131" spans="1:20">
      <c r="A131" s="116" t="str">
        <f t="shared" si="25"/>
        <v>417p</v>
      </c>
      <c r="B131" s="551" t="s">
        <v>196</v>
      </c>
      <c r="C131" s="552"/>
      <c r="D131" s="552"/>
      <c r="E131" s="552"/>
      <c r="F131" s="552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1">
        <f t="shared" si="19"/>
        <v>9821101.7599999998</v>
      </c>
      <c r="T131" s="414">
        <f t="shared" si="20"/>
        <v>1.9836602221773377E-3</v>
      </c>
    </row>
    <row r="132" spans="1:20">
      <c r="A132" s="116" t="str">
        <f t="shared" si="25"/>
        <v>418p</v>
      </c>
      <c r="B132" s="551" t="s">
        <v>204</v>
      </c>
      <c r="C132" s="552"/>
      <c r="D132" s="552"/>
      <c r="E132" s="552"/>
      <c r="F132" s="552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1">
        <f t="shared" si="19"/>
        <v>30814599.999999993</v>
      </c>
      <c r="T132" s="414">
        <f t="shared" si="20"/>
        <v>6.2239143607352035E-3</v>
      </c>
    </row>
    <row r="133" spans="1:20">
      <c r="A133" s="116" t="str">
        <f t="shared" si="25"/>
        <v>419p</v>
      </c>
      <c r="B133" s="551" t="s">
        <v>212</v>
      </c>
      <c r="C133" s="552"/>
      <c r="D133" s="552"/>
      <c r="E133" s="552"/>
      <c r="F133" s="552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1">
        <f t="shared" si="19"/>
        <v>41196323.400000006</v>
      </c>
      <c r="T133" s="414">
        <f t="shared" si="20"/>
        <v>8.3208086043223602E-3</v>
      </c>
    </row>
    <row r="134" spans="1:20">
      <c r="A134" s="116" t="e">
        <f>+CONCATENATE(#REF!,"p")</f>
        <v>#REF!</v>
      </c>
      <c r="B134" s="551" t="e">
        <v>#REF!</v>
      </c>
      <c r="C134" s="552"/>
      <c r="D134" s="552"/>
      <c r="E134" s="552"/>
      <c r="F134" s="552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1">
        <f t="shared" si="19"/>
        <v>59057059.620000012</v>
      </c>
      <c r="T134" s="414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47" t="s">
        <v>230</v>
      </c>
      <c r="C135" s="548"/>
      <c r="D135" s="548"/>
      <c r="E135" s="548"/>
      <c r="F135" s="548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2">
        <f t="shared" si="19"/>
        <v>557842584.41999996</v>
      </c>
      <c r="T135" s="415">
        <f t="shared" si="20"/>
        <v>0.11267270943647748</v>
      </c>
    </row>
    <row r="136" spans="1:20">
      <c r="A136" s="116" t="str">
        <f t="shared" si="26"/>
        <v>421p</v>
      </c>
      <c r="B136" s="551" t="s">
        <v>232</v>
      </c>
      <c r="C136" s="552"/>
      <c r="D136" s="552"/>
      <c r="E136" s="552"/>
      <c r="F136" s="552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1">
        <f t="shared" si="19"/>
        <v>80990000.000000015</v>
      </c>
      <c r="T136" s="414">
        <f t="shared" si="20"/>
        <v>1.6358311452231874E-2</v>
      </c>
    </row>
    <row r="137" spans="1:20">
      <c r="A137" s="116" t="str">
        <f t="shared" si="26"/>
        <v>422p</v>
      </c>
      <c r="B137" s="551" t="s">
        <v>248</v>
      </c>
      <c r="C137" s="552"/>
      <c r="D137" s="552"/>
      <c r="E137" s="552"/>
      <c r="F137" s="552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1">
        <f t="shared" si="19"/>
        <v>18202468.969999999</v>
      </c>
      <c r="T137" s="414">
        <f t="shared" si="20"/>
        <v>3.6765237265198947E-3</v>
      </c>
    </row>
    <row r="138" spans="1:20">
      <c r="A138" s="116" t="str">
        <f t="shared" si="26"/>
        <v>423p</v>
      </c>
      <c r="B138" s="551" t="s">
        <v>259</v>
      </c>
      <c r="C138" s="552"/>
      <c r="D138" s="552"/>
      <c r="E138" s="552"/>
      <c r="F138" s="552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1">
        <f t="shared" si="19"/>
        <v>429025014.44999993</v>
      </c>
      <c r="T138" s="414">
        <f t="shared" si="20"/>
        <v>8.6654214189052697E-2</v>
      </c>
    </row>
    <row r="139" spans="1:20">
      <c r="A139" s="116" t="str">
        <f t="shared" si="26"/>
        <v>424p</v>
      </c>
      <c r="B139" s="551" t="s">
        <v>274</v>
      </c>
      <c r="C139" s="552"/>
      <c r="D139" s="552"/>
      <c r="E139" s="552"/>
      <c r="F139" s="552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1">
        <f t="shared" si="19"/>
        <v>19000100</v>
      </c>
      <c r="T139" s="414">
        <f t="shared" si="20"/>
        <v>3.8376287618662897E-3</v>
      </c>
    </row>
    <row r="140" spans="1:20">
      <c r="A140" s="116" t="str">
        <f t="shared" si="26"/>
        <v>425p</v>
      </c>
      <c r="B140" s="551" t="s">
        <v>278</v>
      </c>
      <c r="C140" s="552"/>
      <c r="D140" s="552"/>
      <c r="E140" s="552"/>
      <c r="F140" s="552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1">
        <f t="shared" si="19"/>
        <v>10625001</v>
      </c>
      <c r="T140" s="414">
        <f t="shared" si="20"/>
        <v>2.1460313068067055E-3</v>
      </c>
    </row>
    <row r="141" spans="1:20">
      <c r="A141" s="116" t="str">
        <f t="shared" si="26"/>
        <v>43p</v>
      </c>
      <c r="B141" s="549" t="s">
        <v>286</v>
      </c>
      <c r="C141" s="550"/>
      <c r="D141" s="550"/>
      <c r="E141" s="550"/>
      <c r="F141" s="550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2">
        <f>+SUM(G141:R141)</f>
        <v>220947786.96000001</v>
      </c>
      <c r="T141" s="415">
        <f t="shared" si="20"/>
        <v>4.4626901022015754E-2</v>
      </c>
    </row>
    <row r="142" spans="1:20">
      <c r="A142" s="116" t="str">
        <f t="shared" si="26"/>
        <v>44p</v>
      </c>
      <c r="B142" s="549" t="s">
        <v>812</v>
      </c>
      <c r="C142" s="550"/>
      <c r="D142" s="550"/>
      <c r="E142" s="550"/>
      <c r="F142" s="550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2">
        <f t="shared" si="19"/>
        <v>295925000</v>
      </c>
      <c r="T142" s="415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41" t="s">
        <v>113</v>
      </c>
      <c r="C143" s="542"/>
      <c r="D143" s="542"/>
      <c r="E143" s="542"/>
      <c r="F143" s="542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1">
        <f t="shared" si="19"/>
        <v>2280000.9999999995</v>
      </c>
      <c r="T143" s="414">
        <f t="shared" si="20"/>
        <v>4.6051322965057553E-4</v>
      </c>
    </row>
    <row r="144" spans="1:20">
      <c r="A144" s="116" t="str">
        <f t="shared" si="28"/>
        <v>47p</v>
      </c>
      <c r="B144" s="541" t="s">
        <v>366</v>
      </c>
      <c r="C144" s="542"/>
      <c r="D144" s="542"/>
      <c r="E144" s="542"/>
      <c r="F144" s="542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1">
        <f t="shared" si="19"/>
        <v>24999999.999999996</v>
      </c>
      <c r="T144" s="414">
        <f t="shared" si="20"/>
        <v>5.0494849525348409E-3</v>
      </c>
    </row>
    <row r="145" spans="1:20">
      <c r="A145" s="116" t="str">
        <f t="shared" si="28"/>
        <v>462p</v>
      </c>
      <c r="B145" s="541" t="s">
        <v>359</v>
      </c>
      <c r="C145" s="542"/>
      <c r="D145" s="542"/>
      <c r="E145" s="542"/>
      <c r="F145" s="542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1">
        <f t="shared" si="19"/>
        <v>9434672.4100000001</v>
      </c>
      <c r="T145" s="414">
        <f t="shared" si="20"/>
        <v>1.9056094546556252E-3</v>
      </c>
    </row>
    <row r="146" spans="1:20">
      <c r="A146" s="117" t="str">
        <f>+CONCATENATE(A51,"p")</f>
        <v>4630p</v>
      </c>
      <c r="B146" s="541" t="s">
        <v>365</v>
      </c>
      <c r="C146" s="542"/>
      <c r="D146" s="542"/>
      <c r="E146" s="542"/>
      <c r="F146" s="542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6">
        <f>+SUM(G146:R146)</f>
        <v>18529999</v>
      </c>
      <c r="T146" s="419">
        <f>+S146/$T$7</f>
        <v>3.7426780448394266E-3</v>
      </c>
    </row>
    <row r="147" spans="1:20" ht="13.5" thickBot="1">
      <c r="A147" s="116"/>
      <c r="B147" s="591" t="s">
        <v>686</v>
      </c>
      <c r="C147" s="592"/>
      <c r="D147" s="592"/>
      <c r="E147" s="592"/>
      <c r="F147" s="592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2">
        <f>SUM(G147:R147)</f>
        <v>0</v>
      </c>
      <c r="T147" s="377">
        <f t="shared" si="20"/>
        <v>0</v>
      </c>
    </row>
    <row r="148" spans="1:20" ht="13.5" thickBot="1">
      <c r="A148" s="117" t="str">
        <f>+CONCATENATE(A53,"p")</f>
        <v>1000p</v>
      </c>
      <c r="B148" s="543" t="s">
        <v>545</v>
      </c>
      <c r="C148" s="544"/>
      <c r="D148" s="544"/>
      <c r="E148" s="544"/>
      <c r="F148" s="544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7">
        <f t="shared" si="19"/>
        <v>-142598064.63643947</v>
      </c>
      <c r="T148" s="420">
        <f t="shared" si="20"/>
        <v>-2.8801871265691673E-2</v>
      </c>
    </row>
    <row r="149" spans="1:20" ht="13.5" thickBot="1">
      <c r="A149" s="117" t="str">
        <f>+CONCATENATE(A54,"p")</f>
        <v>1001p</v>
      </c>
      <c r="B149" s="545" t="s">
        <v>813</v>
      </c>
      <c r="C149" s="546"/>
      <c r="D149" s="546"/>
      <c r="E149" s="546"/>
      <c r="F149" s="546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7">
        <f t="shared" si="19"/>
        <v>-46845364.63643948</v>
      </c>
      <c r="T149" s="420">
        <f t="shared" si="20"/>
        <v>-9.4617985531083582E-3</v>
      </c>
    </row>
    <row r="150" spans="1:20">
      <c r="A150" s="117" t="str">
        <f>+CONCATENATE(A55,"p")</f>
        <v>46p</v>
      </c>
      <c r="B150" s="547" t="s">
        <v>352</v>
      </c>
      <c r="C150" s="548"/>
      <c r="D150" s="548"/>
      <c r="E150" s="548"/>
      <c r="F150" s="548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8">
        <f t="shared" si="19"/>
        <v>373600000</v>
      </c>
      <c r="T150" s="421">
        <f t="shared" si="20"/>
        <v>7.5459503130680672E-2</v>
      </c>
    </row>
    <row r="151" spans="1:20">
      <c r="A151" s="117" t="str">
        <f>+CONCATENATE(A56,"p")</f>
        <v>4611p</v>
      </c>
      <c r="B151" s="539" t="s">
        <v>355</v>
      </c>
      <c r="C151" s="540"/>
      <c r="D151" s="540"/>
      <c r="E151" s="540"/>
      <c r="F151" s="540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6">
        <f t="shared" si="19"/>
        <v>44100000.039999999</v>
      </c>
      <c r="T151" s="419">
        <f t="shared" si="20"/>
        <v>8.9072914643506355E-3</v>
      </c>
    </row>
    <row r="152" spans="1:20" ht="13.5" thickBot="1">
      <c r="A152" s="117" t="str">
        <f>+CONCATENATE(A57,"p")</f>
        <v>4612p</v>
      </c>
      <c r="B152" s="541" t="s">
        <v>357</v>
      </c>
      <c r="C152" s="542"/>
      <c r="D152" s="542"/>
      <c r="E152" s="542"/>
      <c r="F152" s="542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6">
        <f t="shared" si="19"/>
        <v>329499999.95999998</v>
      </c>
      <c r="T152" s="419">
        <f t="shared" si="20"/>
        <v>6.6552211666330033E-2</v>
      </c>
    </row>
    <row r="153" spans="1:20" ht="13.5" thickBot="1">
      <c r="A153" s="117"/>
      <c r="B153" s="523" t="s">
        <v>770</v>
      </c>
      <c r="C153" s="524"/>
      <c r="D153" s="524"/>
      <c r="E153" s="524"/>
      <c r="F153" s="524"/>
      <c r="G153" s="94">
        <v>26666.67</v>
      </c>
      <c r="H153" s="94">
        <v>26666.67</v>
      </c>
      <c r="I153" s="94">
        <v>26666.67</v>
      </c>
      <c r="J153" s="94">
        <v>39926666.670000002</v>
      </c>
      <c r="K153" s="94">
        <v>26666.67</v>
      </c>
      <c r="L153" s="94">
        <v>26666.67</v>
      </c>
      <c r="M153" s="94">
        <v>26666.67</v>
      </c>
      <c r="N153" s="94">
        <v>26666.67</v>
      </c>
      <c r="O153" s="94">
        <v>26666.67</v>
      </c>
      <c r="P153" s="94">
        <v>26666.67</v>
      </c>
      <c r="Q153" s="94">
        <v>26666.67</v>
      </c>
      <c r="R153" s="94">
        <v>26666.63</v>
      </c>
      <c r="S153" s="407">
        <f t="shared" si="19"/>
        <v>40220000.000000015</v>
      </c>
      <c r="T153" s="420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537" t="s">
        <v>543</v>
      </c>
      <c r="C154" s="538"/>
      <c r="D154" s="538"/>
      <c r="E154" s="538"/>
      <c r="F154" s="538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9">
        <f t="shared" si="19"/>
        <v>-556418064.63643956</v>
      </c>
      <c r="T154" s="422">
        <f t="shared" si="20"/>
        <v>-0.11238498578801041</v>
      </c>
    </row>
    <row r="155" spans="1:20" ht="13.5" thickBot="1">
      <c r="A155" s="117" t="str">
        <f t="shared" si="32"/>
        <v>1003p</v>
      </c>
      <c r="B155" s="535" t="s">
        <v>544</v>
      </c>
      <c r="C155" s="536"/>
      <c r="D155" s="536"/>
      <c r="E155" s="536"/>
      <c r="F155" s="536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10">
        <f t="shared" si="19"/>
        <v>556418064.63643956</v>
      </c>
      <c r="T155" s="423">
        <f t="shared" si="20"/>
        <v>0.11238498578801041</v>
      </c>
    </row>
    <row r="156" spans="1:20">
      <c r="A156" s="117" t="str">
        <f t="shared" si="32"/>
        <v>7511p</v>
      </c>
      <c r="B156" s="539" t="s">
        <v>114</v>
      </c>
      <c r="C156" s="540"/>
      <c r="D156" s="540"/>
      <c r="E156" s="540"/>
      <c r="F156" s="540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6">
        <f t="shared" si="19"/>
        <v>190000000</v>
      </c>
      <c r="T156" s="419">
        <f t="shared" si="20"/>
        <v>3.8376085639264798E-2</v>
      </c>
    </row>
    <row r="157" spans="1:20">
      <c r="A157" s="117" t="str">
        <f t="shared" si="32"/>
        <v>7512p</v>
      </c>
      <c r="B157" s="541" t="s">
        <v>116</v>
      </c>
      <c r="C157" s="542"/>
      <c r="D157" s="542"/>
      <c r="E157" s="542"/>
      <c r="F157" s="542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6">
        <f t="shared" si="19"/>
        <v>180405268.74155378</v>
      </c>
      <c r="T157" s="419">
        <f t="shared" si="20"/>
        <v>3.6438147594739199E-2</v>
      </c>
    </row>
    <row r="158" spans="1:20">
      <c r="A158" s="117" t="str">
        <f t="shared" si="32"/>
        <v>72p</v>
      </c>
      <c r="B158" s="541" t="s">
        <v>93</v>
      </c>
      <c r="C158" s="542"/>
      <c r="D158" s="542"/>
      <c r="E158" s="542"/>
      <c r="F158" s="542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6">
        <f t="shared" si="19"/>
        <v>6000000</v>
      </c>
      <c r="T158" s="419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1">
        <f t="shared" si="19"/>
        <v>180012795.89488566</v>
      </c>
      <c r="T159" s="424">
        <f t="shared" si="20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62"/>
  <sheetViews>
    <sheetView zoomScaleNormal="100" workbookViewId="0">
      <pane ySplit="1" topLeftCell="A8" activePane="bottomLeft" state="frozen"/>
      <selection pane="bottomLeft" activeCell="R32" sqref="R32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590" t="s">
        <v>554</v>
      </c>
      <c r="C7" s="490"/>
      <c r="D7" s="490"/>
      <c r="E7" s="490"/>
      <c r="F7" s="490"/>
      <c r="G7" s="498">
        <v>2018</v>
      </c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502"/>
      <c r="S7" s="235" t="s">
        <v>419</v>
      </c>
      <c r="T7" s="236">
        <v>4663130000</v>
      </c>
    </row>
    <row r="8" spans="1:20" ht="16.5" customHeight="1">
      <c r="A8" s="144"/>
      <c r="B8" s="491"/>
      <c r="C8" s="492"/>
      <c r="D8" s="492"/>
      <c r="E8" s="492"/>
      <c r="F8" s="493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498" t="s">
        <v>809</v>
      </c>
      <c r="T8" s="502"/>
    </row>
    <row r="9" spans="1:20" ht="13.5" thickBot="1">
      <c r="A9" s="144"/>
      <c r="B9" s="494"/>
      <c r="C9" s="495"/>
      <c r="D9" s="495"/>
      <c r="E9" s="495"/>
      <c r="F9" s="49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31" t="s">
        <v>681</v>
      </c>
      <c r="C10" s="532"/>
      <c r="D10" s="532"/>
      <c r="E10" s="532"/>
      <c r="F10" s="532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4">
        <f>+SUM(G10:R10)</f>
        <v>1746018287.1400003</v>
      </c>
      <c r="T10" s="369">
        <f>+S10/$T$7</f>
        <v>0.3744305406754691</v>
      </c>
    </row>
    <row r="11" spans="1:20">
      <c r="A11" s="150">
        <v>711</v>
      </c>
      <c r="B11" s="533" t="s">
        <v>21</v>
      </c>
      <c r="C11" s="534"/>
      <c r="D11" s="534"/>
      <c r="E11" s="534"/>
      <c r="F11" s="534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5">
        <f t="shared" ref="S11:S66" si="3">+SUM(G11:R11)</f>
        <v>1068947201.3</v>
      </c>
      <c r="T11" s="370">
        <f t="shared" ref="T11:T67" si="4">+S11/$T$7</f>
        <v>0.22923384106812375</v>
      </c>
    </row>
    <row r="12" spans="1:20">
      <c r="A12" s="150">
        <v>7111</v>
      </c>
      <c r="B12" s="519" t="s">
        <v>23</v>
      </c>
      <c r="C12" s="520"/>
      <c r="D12" s="520"/>
      <c r="E12" s="520"/>
      <c r="F12" s="520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6">
        <f t="shared" si="3"/>
        <v>124898382.06000002</v>
      </c>
      <c r="T12" s="371">
        <f t="shared" si="4"/>
        <v>2.6784237638667593E-2</v>
      </c>
    </row>
    <row r="13" spans="1:20">
      <c r="A13" s="150">
        <v>7112</v>
      </c>
      <c r="B13" s="519" t="s">
        <v>25</v>
      </c>
      <c r="C13" s="520"/>
      <c r="D13" s="520"/>
      <c r="E13" s="520"/>
      <c r="F13" s="520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6">
        <f t="shared" si="3"/>
        <v>68172478.429999992</v>
      </c>
      <c r="T13" s="371">
        <f t="shared" si="4"/>
        <v>1.4619467703023505E-2</v>
      </c>
    </row>
    <row r="14" spans="1:20">
      <c r="A14" s="150">
        <v>7113</v>
      </c>
      <c r="B14" s="519" t="s">
        <v>27</v>
      </c>
      <c r="C14" s="520"/>
      <c r="D14" s="520"/>
      <c r="E14" s="520"/>
      <c r="F14" s="520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6">
        <f t="shared" si="3"/>
        <v>1836094.52</v>
      </c>
      <c r="T14" s="371">
        <f t="shared" si="4"/>
        <v>3.9374722986491905E-4</v>
      </c>
    </row>
    <row r="15" spans="1:20">
      <c r="A15" s="150">
        <v>7114</v>
      </c>
      <c r="B15" s="519" t="s">
        <v>29</v>
      </c>
      <c r="C15" s="520"/>
      <c r="D15" s="520"/>
      <c r="E15" s="520"/>
      <c r="F15" s="520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6">
        <f t="shared" si="3"/>
        <v>616913678.91000009</v>
      </c>
      <c r="T15" s="371">
        <f t="shared" si="4"/>
        <v>0.13229604984420337</v>
      </c>
    </row>
    <row r="16" spans="1:20">
      <c r="A16" s="150">
        <v>7115</v>
      </c>
      <c r="B16" s="519" t="s">
        <v>31</v>
      </c>
      <c r="C16" s="520"/>
      <c r="D16" s="520"/>
      <c r="E16" s="520"/>
      <c r="F16" s="520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6">
        <f t="shared" si="3"/>
        <v>221178044.41</v>
      </c>
      <c r="T16" s="371">
        <f t="shared" si="4"/>
        <v>4.7431241335755166E-2</v>
      </c>
    </row>
    <row r="17" spans="1:25">
      <c r="A17" s="150">
        <v>7116</v>
      </c>
      <c r="B17" s="519" t="s">
        <v>33</v>
      </c>
      <c r="C17" s="520"/>
      <c r="D17" s="520"/>
      <c r="E17" s="520"/>
      <c r="F17" s="520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6">
        <f t="shared" si="3"/>
        <v>26634891.989999998</v>
      </c>
      <c r="T17" s="371">
        <f t="shared" si="4"/>
        <v>5.7118055876632214E-3</v>
      </c>
    </row>
    <row r="18" spans="1:25">
      <c r="A18" s="150">
        <v>7118</v>
      </c>
      <c r="B18" s="519" t="s">
        <v>722</v>
      </c>
      <c r="C18" s="520"/>
      <c r="D18" s="520"/>
      <c r="E18" s="520"/>
      <c r="F18" s="520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6">
        <f t="shared" si="3"/>
        <v>9313630.9799999986</v>
      </c>
      <c r="T18" s="371">
        <f t="shared" si="4"/>
        <v>1.9972917289460082E-3</v>
      </c>
    </row>
    <row r="19" spans="1:25">
      <c r="A19" s="150">
        <v>712</v>
      </c>
      <c r="B19" s="529" t="s">
        <v>37</v>
      </c>
      <c r="C19" s="530"/>
      <c r="D19" s="530"/>
      <c r="E19" s="530"/>
      <c r="F19" s="530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7">
        <f t="shared" si="3"/>
        <v>524440114.39999998</v>
      </c>
      <c r="T19" s="372">
        <f t="shared" si="4"/>
        <v>0.11246525711271184</v>
      </c>
    </row>
    <row r="20" spans="1:25">
      <c r="A20" s="150">
        <v>7121</v>
      </c>
      <c r="B20" s="519" t="s">
        <v>39</v>
      </c>
      <c r="C20" s="520"/>
      <c r="D20" s="520"/>
      <c r="E20" s="520"/>
      <c r="F20" s="520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6">
        <f t="shared" si="3"/>
        <v>316982958.28000003</v>
      </c>
      <c r="T20" s="371">
        <f t="shared" si="4"/>
        <v>6.7976436059041898E-2</v>
      </c>
    </row>
    <row r="21" spans="1:25">
      <c r="A21" s="150">
        <v>7122</v>
      </c>
      <c r="B21" s="519" t="s">
        <v>41</v>
      </c>
      <c r="C21" s="520"/>
      <c r="D21" s="520"/>
      <c r="E21" s="520"/>
      <c r="F21" s="520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6">
        <f t="shared" si="3"/>
        <v>182045765.34999999</v>
      </c>
      <c r="T21" s="371">
        <f t="shared" si="4"/>
        <v>3.9039393143661019E-2</v>
      </c>
    </row>
    <row r="22" spans="1:25">
      <c r="A22" s="150">
        <v>7123</v>
      </c>
      <c r="B22" s="519" t="s">
        <v>43</v>
      </c>
      <c r="C22" s="520"/>
      <c r="D22" s="520"/>
      <c r="E22" s="520"/>
      <c r="F22" s="520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6">
        <f t="shared" si="3"/>
        <v>13590597.370000001</v>
      </c>
      <c r="T22" s="371">
        <f t="shared" si="4"/>
        <v>2.9144796242009125E-3</v>
      </c>
    </row>
    <row r="23" spans="1:25">
      <c r="A23" s="150">
        <v>7124</v>
      </c>
      <c r="B23" s="519" t="s">
        <v>45</v>
      </c>
      <c r="C23" s="520"/>
      <c r="D23" s="520"/>
      <c r="E23" s="520"/>
      <c r="F23" s="520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6">
        <f t="shared" si="3"/>
        <v>11820793.4</v>
      </c>
      <c r="T23" s="371">
        <f t="shared" si="4"/>
        <v>2.5349482858080304E-3</v>
      </c>
      <c r="Y23" s="305"/>
    </row>
    <row r="24" spans="1:25">
      <c r="A24" s="150">
        <v>713</v>
      </c>
      <c r="B24" s="521" t="s">
        <v>47</v>
      </c>
      <c r="C24" s="522"/>
      <c r="D24" s="522"/>
      <c r="E24" s="522"/>
      <c r="F24" s="522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7">
        <f t="shared" si="3"/>
        <v>16901007.650000002</v>
      </c>
      <c r="T24" s="372">
        <f t="shared" si="4"/>
        <v>3.6243912672389582E-3</v>
      </c>
      <c r="Y24" s="305"/>
    </row>
    <row r="25" spans="1:25">
      <c r="A25" s="150">
        <v>714</v>
      </c>
      <c r="B25" s="521" t="s">
        <v>61</v>
      </c>
      <c r="C25" s="522"/>
      <c r="D25" s="522"/>
      <c r="E25" s="522"/>
      <c r="F25" s="522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7">
        <f t="shared" si="3"/>
        <v>26419539.080000002</v>
      </c>
      <c r="T25" s="372">
        <f t="shared" si="4"/>
        <v>5.6656235361227337E-3</v>
      </c>
      <c r="W25" s="292"/>
    </row>
    <row r="26" spans="1:25">
      <c r="A26" s="150">
        <v>715</v>
      </c>
      <c r="B26" s="521" t="s">
        <v>81</v>
      </c>
      <c r="C26" s="522"/>
      <c r="D26" s="522"/>
      <c r="E26" s="522"/>
      <c r="F26" s="522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7">
        <f t="shared" si="3"/>
        <v>71315064.620000005</v>
      </c>
      <c r="T26" s="372">
        <f t="shared" si="4"/>
        <v>1.529338976610131E-2</v>
      </c>
    </row>
    <row r="27" spans="1:25">
      <c r="A27" s="150">
        <v>73</v>
      </c>
      <c r="B27" s="521" t="s">
        <v>99</v>
      </c>
      <c r="C27" s="522"/>
      <c r="D27" s="522"/>
      <c r="E27" s="522"/>
      <c r="F27" s="522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7">
        <f t="shared" si="3"/>
        <v>11285945.1</v>
      </c>
      <c r="T27" s="372">
        <f t="shared" si="4"/>
        <v>2.4202510116595505E-3</v>
      </c>
    </row>
    <row r="28" spans="1:25" ht="13.5" thickBot="1">
      <c r="A28" s="150">
        <v>74</v>
      </c>
      <c r="B28" s="523" t="s">
        <v>105</v>
      </c>
      <c r="C28" s="524"/>
      <c r="D28" s="524"/>
      <c r="E28" s="524"/>
      <c r="F28" s="524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7">
        <f t="shared" si="3"/>
        <v>26709414.990000006</v>
      </c>
      <c r="T28" s="373">
        <f t="shared" si="4"/>
        <v>5.7277869135108836E-3</v>
      </c>
    </row>
    <row r="29" spans="1:25" ht="13.5" thickBot="1">
      <c r="A29" s="150">
        <v>4</v>
      </c>
      <c r="B29" s="509" t="s">
        <v>802</v>
      </c>
      <c r="C29" s="510"/>
      <c r="D29" s="510"/>
      <c r="E29" s="510"/>
      <c r="F29" s="510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8">
        <f t="shared" si="3"/>
        <v>1914918461.6599998</v>
      </c>
      <c r="T29" s="374">
        <f t="shared" si="4"/>
        <v>0.41065088506217923</v>
      </c>
    </row>
    <row r="30" spans="1:25" ht="13.5" thickBot="1">
      <c r="A30" s="150">
        <v>40</v>
      </c>
      <c r="B30" s="525" t="s">
        <v>774</v>
      </c>
      <c r="C30" s="526"/>
      <c r="D30" s="526"/>
      <c r="E30" s="526"/>
      <c r="F30" s="526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9">
        <f t="shared" si="3"/>
        <v>1671556011.4800003</v>
      </c>
      <c r="T30" s="375">
        <f t="shared" si="4"/>
        <v>0.35846223705536845</v>
      </c>
    </row>
    <row r="31" spans="1:25">
      <c r="A31" s="150">
        <v>41</v>
      </c>
      <c r="B31" s="527" t="s">
        <v>120</v>
      </c>
      <c r="C31" s="528"/>
      <c r="D31" s="528"/>
      <c r="E31" s="528"/>
      <c r="F31" s="528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90">
        <f t="shared" si="3"/>
        <v>866631492.57999992</v>
      </c>
      <c r="T31" s="370">
        <f t="shared" si="4"/>
        <v>0.185847594336851</v>
      </c>
    </row>
    <row r="32" spans="1:25">
      <c r="A32" s="150">
        <v>411</v>
      </c>
      <c r="B32" s="519" t="s">
        <v>122</v>
      </c>
      <c r="C32" s="520"/>
      <c r="D32" s="520"/>
      <c r="E32" s="520"/>
      <c r="F32" s="520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6">
        <f t="shared" si="3"/>
        <v>459796234.55000001</v>
      </c>
      <c r="T32" s="371">
        <f t="shared" si="4"/>
        <v>9.860249114864908E-2</v>
      </c>
    </row>
    <row r="33" spans="1:22">
      <c r="A33" s="150">
        <v>412</v>
      </c>
      <c r="B33" s="519" t="s">
        <v>133</v>
      </c>
      <c r="C33" s="520"/>
      <c r="D33" s="520"/>
      <c r="E33" s="520"/>
      <c r="F33" s="520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6">
        <f t="shared" si="3"/>
        <v>13212940.209999999</v>
      </c>
      <c r="T33" s="371">
        <f t="shared" si="4"/>
        <v>2.8334917126479424E-3</v>
      </c>
      <c r="U33" s="293"/>
    </row>
    <row r="34" spans="1:22">
      <c r="A34" s="150">
        <v>413</v>
      </c>
      <c r="B34" s="519" t="s">
        <v>148</v>
      </c>
      <c r="C34" s="520"/>
      <c r="D34" s="520"/>
      <c r="E34" s="520"/>
      <c r="F34" s="520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6">
        <f t="shared" si="3"/>
        <v>36731134.720000006</v>
      </c>
      <c r="T34" s="371">
        <f t="shared" si="4"/>
        <v>7.8769270254099733E-3</v>
      </c>
      <c r="U34" s="311"/>
      <c r="V34" s="291"/>
    </row>
    <row r="35" spans="1:22">
      <c r="A35" s="150">
        <v>414</v>
      </c>
      <c r="B35" s="519" t="s">
        <v>162</v>
      </c>
      <c r="C35" s="520"/>
      <c r="D35" s="520"/>
      <c r="E35" s="520"/>
      <c r="F35" s="520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6">
        <f t="shared" si="3"/>
        <v>75138922.689999998</v>
      </c>
      <c r="T35" s="371">
        <f t="shared" si="4"/>
        <v>1.6113409381681404E-2</v>
      </c>
    </row>
    <row r="36" spans="1:22">
      <c r="A36" s="150">
        <v>415</v>
      </c>
      <c r="B36" s="519" t="s">
        <v>182</v>
      </c>
      <c r="C36" s="520"/>
      <c r="D36" s="520"/>
      <c r="E36" s="520"/>
      <c r="F36" s="520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6">
        <f t="shared" si="3"/>
        <v>20973232.77</v>
      </c>
      <c r="T36" s="371">
        <f t="shared" si="4"/>
        <v>4.4976727584262076E-3</v>
      </c>
    </row>
    <row r="37" spans="1:22">
      <c r="A37" s="150">
        <v>416</v>
      </c>
      <c r="B37" s="519" t="s">
        <v>190</v>
      </c>
      <c r="C37" s="520"/>
      <c r="D37" s="520"/>
      <c r="E37" s="520"/>
      <c r="F37" s="520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6">
        <f>+SUM(G37:R37)</f>
        <v>97597309.48999998</v>
      </c>
      <c r="T37" s="371">
        <f t="shared" si="4"/>
        <v>2.0929570801157159E-2</v>
      </c>
    </row>
    <row r="38" spans="1:22">
      <c r="A38" s="150">
        <v>417</v>
      </c>
      <c r="B38" s="519" t="s">
        <v>196</v>
      </c>
      <c r="C38" s="520"/>
      <c r="D38" s="520"/>
      <c r="E38" s="520"/>
      <c r="F38" s="520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6">
        <f t="shared" si="3"/>
        <v>10693128.550000001</v>
      </c>
      <c r="T38" s="371">
        <f t="shared" si="4"/>
        <v>2.2931225485886093E-3</v>
      </c>
    </row>
    <row r="39" spans="1:22">
      <c r="A39" s="150">
        <v>418</v>
      </c>
      <c r="B39" s="519" t="s">
        <v>204</v>
      </c>
      <c r="C39" s="520"/>
      <c r="D39" s="520"/>
      <c r="E39" s="520"/>
      <c r="F39" s="520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6">
        <f t="shared" si="3"/>
        <v>30560884.969999999</v>
      </c>
      <c r="T39" s="371">
        <f t="shared" si="4"/>
        <v>6.5537278544668493E-3</v>
      </c>
    </row>
    <row r="40" spans="1:22">
      <c r="A40" s="150">
        <v>419</v>
      </c>
      <c r="B40" s="519" t="s">
        <v>212</v>
      </c>
      <c r="C40" s="520"/>
      <c r="D40" s="520"/>
      <c r="E40" s="520"/>
      <c r="F40" s="520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6">
        <f t="shared" si="3"/>
        <v>43556427.669999994</v>
      </c>
      <c r="T40" s="371">
        <f t="shared" si="4"/>
        <v>9.3405990547121773E-3</v>
      </c>
    </row>
    <row r="41" spans="1:22">
      <c r="A41" s="150">
        <v>440</v>
      </c>
      <c r="B41" s="519" t="s">
        <v>803</v>
      </c>
      <c r="C41" s="520"/>
      <c r="D41" s="520"/>
      <c r="E41" s="520"/>
      <c r="F41" s="520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6">
        <f t="shared" si="3"/>
        <v>78371276.960000008</v>
      </c>
      <c r="T41" s="371">
        <f t="shared" si="4"/>
        <v>1.6806582051111595E-2</v>
      </c>
    </row>
    <row r="42" spans="1:22">
      <c r="A42" s="150">
        <v>42</v>
      </c>
      <c r="B42" s="515" t="s">
        <v>230</v>
      </c>
      <c r="C42" s="516"/>
      <c r="D42" s="516"/>
      <c r="E42" s="516"/>
      <c r="F42" s="516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7">
        <f t="shared" si="3"/>
        <v>544485571.48000002</v>
      </c>
      <c r="T42" s="372">
        <f t="shared" si="4"/>
        <v>0.11676397001155876</v>
      </c>
    </row>
    <row r="43" spans="1:22">
      <c r="A43" s="150">
        <v>421</v>
      </c>
      <c r="B43" s="519" t="s">
        <v>232</v>
      </c>
      <c r="C43" s="520"/>
      <c r="D43" s="520"/>
      <c r="E43" s="520"/>
      <c r="F43" s="520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6">
        <f t="shared" si="3"/>
        <v>82294784.480000004</v>
      </c>
      <c r="T43" s="371">
        <f t="shared" si="4"/>
        <v>1.7647971315404031E-2</v>
      </c>
    </row>
    <row r="44" spans="1:22">
      <c r="A44" s="150">
        <v>422</v>
      </c>
      <c r="B44" s="519" t="s">
        <v>248</v>
      </c>
      <c r="C44" s="520"/>
      <c r="D44" s="520"/>
      <c r="E44" s="520"/>
      <c r="F44" s="520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6">
        <f t="shared" si="3"/>
        <v>14196791.939999998</v>
      </c>
      <c r="T44" s="371">
        <f t="shared" si="4"/>
        <v>3.0444769800541693E-3</v>
      </c>
    </row>
    <row r="45" spans="1:22">
      <c r="A45" s="150">
        <v>423</v>
      </c>
      <c r="B45" s="519" t="s">
        <v>259</v>
      </c>
      <c r="C45" s="520"/>
      <c r="D45" s="520"/>
      <c r="E45" s="520"/>
      <c r="F45" s="520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6">
        <f t="shared" si="3"/>
        <v>414750265.80000001</v>
      </c>
      <c r="T45" s="371">
        <f t="shared" si="4"/>
        <v>8.8942462637756181E-2</v>
      </c>
    </row>
    <row r="46" spans="1:22">
      <c r="A46" s="150">
        <v>424</v>
      </c>
      <c r="B46" s="519" t="s">
        <v>274</v>
      </c>
      <c r="C46" s="520"/>
      <c r="D46" s="520"/>
      <c r="E46" s="520"/>
      <c r="F46" s="520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6">
        <f t="shared" si="3"/>
        <v>20004829.280000001</v>
      </c>
      <c r="T46" s="371">
        <f t="shared" si="4"/>
        <v>4.2900003388282124E-3</v>
      </c>
    </row>
    <row r="47" spans="1:22">
      <c r="A47" s="150">
        <v>425</v>
      </c>
      <c r="B47" s="597" t="s">
        <v>278</v>
      </c>
      <c r="C47" s="598"/>
      <c r="D47" s="598"/>
      <c r="E47" s="598"/>
      <c r="F47" s="598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6">
        <f t="shared" si="3"/>
        <v>13238899.98</v>
      </c>
      <c r="T47" s="371">
        <f t="shared" si="4"/>
        <v>2.8390587395161621E-3</v>
      </c>
    </row>
    <row r="48" spans="1:22">
      <c r="A48" s="150">
        <v>43</v>
      </c>
      <c r="B48" s="517" t="s">
        <v>286</v>
      </c>
      <c r="C48" s="518"/>
      <c r="D48" s="518"/>
      <c r="E48" s="518"/>
      <c r="F48" s="518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7">
        <f t="shared" si="3"/>
        <v>208726710.33999997</v>
      </c>
      <c r="T48" s="372">
        <f t="shared" si="4"/>
        <v>4.4761074715909697E-2</v>
      </c>
    </row>
    <row r="49" spans="1:22">
      <c r="A49" s="150">
        <v>44</v>
      </c>
      <c r="B49" s="517" t="s">
        <v>320</v>
      </c>
      <c r="C49" s="518"/>
      <c r="D49" s="518"/>
      <c r="E49" s="518"/>
      <c r="F49" s="518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7">
        <f t="shared" si="3"/>
        <v>243362450.18000001</v>
      </c>
      <c r="T49" s="372">
        <f t="shared" si="4"/>
        <v>5.2188648006810875E-2</v>
      </c>
    </row>
    <row r="50" spans="1:22">
      <c r="A50" s="150">
        <v>451</v>
      </c>
      <c r="B50" s="586" t="s">
        <v>113</v>
      </c>
      <c r="C50" s="587"/>
      <c r="D50" s="587"/>
      <c r="E50" s="587"/>
      <c r="F50" s="587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6">
        <f t="shared" si="3"/>
        <v>4596369</v>
      </c>
      <c r="T50" s="371">
        <f t="shared" si="4"/>
        <v>9.8568322135561309E-4</v>
      </c>
    </row>
    <row r="51" spans="1:22">
      <c r="A51" s="150">
        <v>47</v>
      </c>
      <c r="B51" s="487" t="s">
        <v>366</v>
      </c>
      <c r="C51" s="488"/>
      <c r="D51" s="488"/>
      <c r="E51" s="488"/>
      <c r="F51" s="488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6">
        <f t="shared" si="3"/>
        <v>23887500.050000001</v>
      </c>
      <c r="T51" s="371">
        <f t="shared" si="4"/>
        <v>5.1226322341431617E-3</v>
      </c>
      <c r="U51" s="354"/>
    </row>
    <row r="52" spans="1:22" ht="13.5" thickBot="1">
      <c r="A52" s="150">
        <v>462</v>
      </c>
      <c r="B52" s="505" t="s">
        <v>359</v>
      </c>
      <c r="C52" s="506"/>
      <c r="D52" s="506"/>
      <c r="E52" s="506"/>
      <c r="F52" s="506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6">
        <f t="shared" si="3"/>
        <v>0</v>
      </c>
      <c r="T52" s="376">
        <f t="shared" si="4"/>
        <v>0</v>
      </c>
      <c r="U52" s="292"/>
    </row>
    <row r="53" spans="1:22" ht="13.5" thickBot="1">
      <c r="A53" s="144">
        <v>4630</v>
      </c>
      <c r="B53" s="580" t="s">
        <v>795</v>
      </c>
      <c r="C53" s="581"/>
      <c r="D53" s="581"/>
      <c r="E53" s="581"/>
      <c r="F53" s="581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1">
        <f>+SUM(G53:R53)</f>
        <v>23228368.030000001</v>
      </c>
      <c r="T53" s="376">
        <f>+S53/$T$7</f>
        <v>4.9812825355501564E-3</v>
      </c>
    </row>
    <row r="54" spans="1:22" ht="13.5" thickBot="1">
      <c r="A54" s="70">
        <v>1005</v>
      </c>
      <c r="B54" s="582" t="s">
        <v>685</v>
      </c>
      <c r="C54" s="583"/>
      <c r="D54" s="583"/>
      <c r="E54" s="583"/>
      <c r="F54" s="583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2">
        <f>+SUM(G54:R54)</f>
        <v>28097590.27</v>
      </c>
      <c r="T54" s="377">
        <f>+S54/$T$7</f>
        <v>6.0254786527504057E-3</v>
      </c>
    </row>
    <row r="55" spans="1:22" ht="13.5" thickBot="1">
      <c r="A55" s="144">
        <v>1000</v>
      </c>
      <c r="B55" s="511" t="s">
        <v>545</v>
      </c>
      <c r="C55" s="512"/>
      <c r="D55" s="512"/>
      <c r="E55" s="512"/>
      <c r="F55" s="512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3">
        <f t="shared" si="3"/>
        <v>-168900174.51999998</v>
      </c>
      <c r="T55" s="378">
        <f t="shared" si="4"/>
        <v>-3.6220344386710207E-2</v>
      </c>
    </row>
    <row r="56" spans="1:22" ht="13.5" thickBot="1">
      <c r="A56" s="144"/>
      <c r="B56" s="365" t="s">
        <v>804</v>
      </c>
      <c r="C56" s="366"/>
      <c r="D56" s="366"/>
      <c r="E56" s="366"/>
      <c r="F56" s="366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3">
        <f t="shared" si="3"/>
        <v>-196997764.78999999</v>
      </c>
      <c r="T56" s="378">
        <f t="shared" si="4"/>
        <v>-4.2245823039460617E-2</v>
      </c>
    </row>
    <row r="57" spans="1:22" ht="13.5" thickBot="1">
      <c r="A57" s="144">
        <v>1001</v>
      </c>
      <c r="B57" s="513" t="s">
        <v>794</v>
      </c>
      <c r="C57" s="514"/>
      <c r="D57" s="514"/>
      <c r="E57" s="514"/>
      <c r="F57" s="514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3">
        <f t="shared" si="3"/>
        <v>-99400455.299999982</v>
      </c>
      <c r="T57" s="378">
        <f t="shared" si="4"/>
        <v>-2.1316252238303454E-2</v>
      </c>
    </row>
    <row r="58" spans="1:22">
      <c r="A58" s="144">
        <v>46</v>
      </c>
      <c r="B58" s="576" t="s">
        <v>352</v>
      </c>
      <c r="C58" s="577"/>
      <c r="D58" s="577"/>
      <c r="E58" s="577"/>
      <c r="F58" s="577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4">
        <f t="shared" si="3"/>
        <v>696281459.90999997</v>
      </c>
      <c r="T58" s="379">
        <f t="shared" si="4"/>
        <v>0.14931633042827455</v>
      </c>
      <c r="V58" s="309"/>
    </row>
    <row r="59" spans="1:22">
      <c r="A59" s="144">
        <v>4611</v>
      </c>
      <c r="B59" s="503" t="s">
        <v>355</v>
      </c>
      <c r="C59" s="504"/>
      <c r="D59" s="504"/>
      <c r="E59" s="504"/>
      <c r="F59" s="504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5">
        <f t="shared" si="3"/>
        <v>234823593.10000002</v>
      </c>
      <c r="T59" s="380">
        <f t="shared" si="4"/>
        <v>5.0357505173563681E-2</v>
      </c>
    </row>
    <row r="60" spans="1:22" ht="13.5" thickBot="1">
      <c r="A60" s="144">
        <v>4612</v>
      </c>
      <c r="B60" s="487" t="s">
        <v>357</v>
      </c>
      <c r="C60" s="488"/>
      <c r="D60" s="488"/>
      <c r="E60" s="488"/>
      <c r="F60" s="488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5">
        <f t="shared" si="3"/>
        <v>461457866.81</v>
      </c>
      <c r="T60" s="380">
        <f t="shared" si="4"/>
        <v>9.8958825254710892E-2</v>
      </c>
      <c r="V60" s="319"/>
    </row>
    <row r="61" spans="1:22" ht="13.5" thickBot="1">
      <c r="A61" s="144">
        <v>4418</v>
      </c>
      <c r="B61" s="595" t="s">
        <v>336</v>
      </c>
      <c r="C61" s="596"/>
      <c r="D61" s="596"/>
      <c r="E61" s="596"/>
      <c r="F61" s="596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4">
        <f>SUM(G61:R61)</f>
        <v>69245296.659999996</v>
      </c>
      <c r="T61" s="379">
        <f>+S61/$T$7</f>
        <v>1.4849531679365575E-2</v>
      </c>
      <c r="V61" s="319"/>
    </row>
    <row r="62" spans="1:22" ht="13.5" thickBot="1">
      <c r="A62" s="144">
        <v>1002</v>
      </c>
      <c r="B62" s="507" t="s">
        <v>543</v>
      </c>
      <c r="C62" s="508"/>
      <c r="D62" s="508"/>
      <c r="E62" s="508"/>
      <c r="F62" s="508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6">
        <f t="shared" si="3"/>
        <v>-962524521.35999966</v>
      </c>
      <c r="T62" s="381">
        <f t="shared" si="4"/>
        <v>-0.2064116851471007</v>
      </c>
    </row>
    <row r="63" spans="1:22" ht="13.5" thickBot="1">
      <c r="A63" s="144">
        <v>1003</v>
      </c>
      <c r="B63" s="509" t="s">
        <v>544</v>
      </c>
      <c r="C63" s="510"/>
      <c r="D63" s="510"/>
      <c r="E63" s="510"/>
      <c r="F63" s="510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7">
        <f t="shared" si="3"/>
        <v>962524521.35999966</v>
      </c>
      <c r="T63" s="382">
        <f t="shared" si="4"/>
        <v>0.2064116851471007</v>
      </c>
    </row>
    <row r="64" spans="1:22">
      <c r="A64" s="144">
        <v>7511</v>
      </c>
      <c r="B64" s="503" t="s">
        <v>114</v>
      </c>
      <c r="C64" s="504"/>
      <c r="D64" s="504"/>
      <c r="E64" s="504"/>
      <c r="F64" s="504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5">
        <f t="shared" si="3"/>
        <v>213600000</v>
      </c>
      <c r="T64" s="380">
        <f t="shared" si="4"/>
        <v>4.5806143084151631E-2</v>
      </c>
    </row>
    <row r="65" spans="1:20">
      <c r="A65" s="144">
        <v>7512</v>
      </c>
      <c r="B65" s="487" t="s">
        <v>116</v>
      </c>
      <c r="C65" s="488"/>
      <c r="D65" s="488"/>
      <c r="E65" s="488"/>
      <c r="F65" s="488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5">
        <f t="shared" si="3"/>
        <v>909773438.82000017</v>
      </c>
      <c r="T65" s="380">
        <f t="shared" si="4"/>
        <v>0.19509930858028837</v>
      </c>
    </row>
    <row r="66" spans="1:20">
      <c r="A66" s="144">
        <v>72</v>
      </c>
      <c r="B66" s="487" t="s">
        <v>93</v>
      </c>
      <c r="C66" s="488"/>
      <c r="D66" s="488"/>
      <c r="E66" s="488"/>
      <c r="F66" s="488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5">
        <f t="shared" si="3"/>
        <v>15749081.709999999</v>
      </c>
      <c r="T66" s="380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8">
        <f>+SUM(G67:R67)</f>
        <v>-176597999.17000002</v>
      </c>
      <c r="T67" s="383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65" t="s">
        <v>552</v>
      </c>
      <c r="C103" s="566"/>
      <c r="D103" s="566"/>
      <c r="E103" s="566"/>
      <c r="F103" s="566"/>
      <c r="G103" s="573">
        <v>2018</v>
      </c>
      <c r="H103" s="574"/>
      <c r="I103" s="574"/>
      <c r="J103" s="574"/>
      <c r="K103" s="574"/>
      <c r="L103" s="574"/>
      <c r="M103" s="574"/>
      <c r="N103" s="574"/>
      <c r="O103" s="574"/>
      <c r="P103" s="574"/>
      <c r="Q103" s="574"/>
      <c r="R103" s="575"/>
      <c r="S103" s="107" t="str">
        <f>+S7</f>
        <v>BDP</v>
      </c>
      <c r="T103" s="108">
        <f>+T7</f>
        <v>4663130000</v>
      </c>
    </row>
    <row r="104" spans="1:21" ht="15.75" customHeight="1">
      <c r="B104" s="567"/>
      <c r="C104" s="568"/>
      <c r="D104" s="568"/>
      <c r="E104" s="568"/>
      <c r="F104" s="569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73" t="s">
        <v>809</v>
      </c>
      <c r="T104" s="575">
        <f>+T8</f>
        <v>0</v>
      </c>
    </row>
    <row r="105" spans="1:21" ht="13.5" thickBot="1">
      <c r="B105" s="570"/>
      <c r="C105" s="571"/>
      <c r="D105" s="571"/>
      <c r="E105" s="571"/>
      <c r="F105" s="572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61" t="s">
        <v>681</v>
      </c>
      <c r="C106" s="562"/>
      <c r="D106" s="562"/>
      <c r="E106" s="562"/>
      <c r="F106" s="562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9">
        <f>+SUM(G106:R106)</f>
        <v>1757003221.1342125</v>
      </c>
      <c r="T106" s="412">
        <f>+S106/$T$7</f>
        <v>0.37678624038665287</v>
      </c>
    </row>
    <row r="107" spans="1:21">
      <c r="A107" s="116" t="str">
        <f t="shared" si="18"/>
        <v>711p</v>
      </c>
      <c r="B107" s="563" t="s">
        <v>21</v>
      </c>
      <c r="C107" s="564"/>
      <c r="D107" s="564"/>
      <c r="E107" s="564"/>
      <c r="F107" s="564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400">
        <f t="shared" ref="S107:S162" si="21">+SUM(G107:R107)</f>
        <v>1078397189.3971882</v>
      </c>
      <c r="T107" s="413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51" t="s">
        <v>23</v>
      </c>
      <c r="C108" s="552"/>
      <c r="D108" s="552"/>
      <c r="E108" s="552"/>
      <c r="F108" s="552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1">
        <f t="shared" si="21"/>
        <v>121359662.16838756</v>
      </c>
      <c r="T108" s="414">
        <f t="shared" si="22"/>
        <v>2.60253654022915E-2</v>
      </c>
    </row>
    <row r="109" spans="1:21">
      <c r="A109" s="116" t="str">
        <f t="shared" si="18"/>
        <v>7112p</v>
      </c>
      <c r="B109" s="551" t="s">
        <v>25</v>
      </c>
      <c r="C109" s="552"/>
      <c r="D109" s="552"/>
      <c r="E109" s="552"/>
      <c r="F109" s="552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1">
        <f t="shared" si="21"/>
        <v>61678365.370406665</v>
      </c>
      <c r="T109" s="414">
        <f t="shared" si="22"/>
        <v>1.3226816616823178E-2</v>
      </c>
    </row>
    <row r="110" spans="1:21">
      <c r="A110" s="116" t="str">
        <f t="shared" si="18"/>
        <v>7113p</v>
      </c>
      <c r="B110" s="551" t="s">
        <v>27</v>
      </c>
      <c r="C110" s="552"/>
      <c r="D110" s="552"/>
      <c r="E110" s="552"/>
      <c r="F110" s="552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1">
        <f t="shared" si="21"/>
        <v>1854898.1305385595</v>
      </c>
      <c r="T110" s="414">
        <f t="shared" si="22"/>
        <v>3.9777963096430068E-4</v>
      </c>
    </row>
    <row r="111" spans="1:21">
      <c r="A111" s="116" t="str">
        <f t="shared" si="18"/>
        <v>7114p</v>
      </c>
      <c r="B111" s="551" t="s">
        <v>29</v>
      </c>
      <c r="C111" s="552"/>
      <c r="D111" s="552"/>
      <c r="E111" s="552"/>
      <c r="F111" s="552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1">
        <f t="shared" si="21"/>
        <v>624391782.02119482</v>
      </c>
      <c r="T111" s="414">
        <f t="shared" si="22"/>
        <v>0.13389971586063326</v>
      </c>
    </row>
    <row r="112" spans="1:21">
      <c r="A112" s="116" t="str">
        <f t="shared" si="18"/>
        <v>7115p</v>
      </c>
      <c r="B112" s="551" t="s">
        <v>31</v>
      </c>
      <c r="C112" s="552"/>
      <c r="D112" s="552"/>
      <c r="E112" s="552"/>
      <c r="F112" s="552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1">
        <f t="shared" si="21"/>
        <v>232697830.94442701</v>
      </c>
      <c r="T112" s="414">
        <f t="shared" si="22"/>
        <v>4.9901639230393965E-2</v>
      </c>
    </row>
    <row r="113" spans="1:20">
      <c r="A113" s="116" t="str">
        <f t="shared" si="18"/>
        <v>7116p</v>
      </c>
      <c r="B113" s="551" t="s">
        <v>33</v>
      </c>
      <c r="C113" s="552"/>
      <c r="D113" s="552"/>
      <c r="E113" s="552"/>
      <c r="F113" s="552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1">
        <f t="shared" si="21"/>
        <v>26860004.877748117</v>
      </c>
      <c r="T113" s="414">
        <f t="shared" si="22"/>
        <v>5.7600806492094613E-3</v>
      </c>
    </row>
    <row r="114" spans="1:20">
      <c r="A114" s="116" t="str">
        <f t="shared" si="18"/>
        <v>7118p</v>
      </c>
      <c r="B114" s="551" t="s">
        <v>722</v>
      </c>
      <c r="C114" s="552"/>
      <c r="D114" s="552"/>
      <c r="E114" s="552"/>
      <c r="F114" s="552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1">
        <f t="shared" si="21"/>
        <v>9554645.8844855782</v>
      </c>
      <c r="T114" s="414">
        <f t="shared" si="22"/>
        <v>2.0489769499210998E-3</v>
      </c>
    </row>
    <row r="115" spans="1:20">
      <c r="A115" s="116" t="str">
        <f t="shared" si="18"/>
        <v>712p</v>
      </c>
      <c r="B115" s="559" t="s">
        <v>37</v>
      </c>
      <c r="C115" s="560"/>
      <c r="D115" s="560"/>
      <c r="E115" s="560"/>
      <c r="F115" s="560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2">
        <f t="shared" si="21"/>
        <v>522253828.92039472</v>
      </c>
      <c r="T115" s="415">
        <f t="shared" si="22"/>
        <v>0.1119964120495021</v>
      </c>
    </row>
    <row r="116" spans="1:20">
      <c r="A116" s="116" t="str">
        <f t="shared" si="18"/>
        <v>7121p</v>
      </c>
      <c r="B116" s="551" t="s">
        <v>39</v>
      </c>
      <c r="C116" s="552"/>
      <c r="D116" s="552"/>
      <c r="E116" s="552"/>
      <c r="F116" s="552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1">
        <f t="shared" si="21"/>
        <v>314496114.9625507</v>
      </c>
      <c r="T116" s="414">
        <f t="shared" si="22"/>
        <v>6.7443136897867031E-2</v>
      </c>
    </row>
    <row r="117" spans="1:20">
      <c r="A117" s="116" t="str">
        <f t="shared" si="18"/>
        <v>7122p</v>
      </c>
      <c r="B117" s="551" t="s">
        <v>41</v>
      </c>
      <c r="C117" s="552"/>
      <c r="D117" s="552"/>
      <c r="E117" s="552"/>
      <c r="F117" s="552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1">
        <f t="shared" si="21"/>
        <v>180896074.44659218</v>
      </c>
      <c r="T117" s="414">
        <f t="shared" si="22"/>
        <v>3.8792843958155181E-2</v>
      </c>
    </row>
    <row r="118" spans="1:20">
      <c r="A118" s="116" t="str">
        <f t="shared" si="18"/>
        <v>7123p</v>
      </c>
      <c r="B118" s="551" t="s">
        <v>43</v>
      </c>
      <c r="C118" s="552"/>
      <c r="D118" s="552"/>
      <c r="E118" s="552"/>
      <c r="F118" s="552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1">
        <f t="shared" si="21"/>
        <v>14149151.623339836</v>
      </c>
      <c r="T118" s="414">
        <f t="shared" si="22"/>
        <v>3.0342605982118954E-3</v>
      </c>
    </row>
    <row r="119" spans="1:20">
      <c r="A119" s="116" t="str">
        <f t="shared" si="18"/>
        <v>7124p</v>
      </c>
      <c r="B119" s="551" t="s">
        <v>45</v>
      </c>
      <c r="C119" s="552"/>
      <c r="D119" s="552"/>
      <c r="E119" s="552"/>
      <c r="F119" s="552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1">
        <f t="shared" si="21"/>
        <v>12712487.887912013</v>
      </c>
      <c r="T119" s="414">
        <f t="shared" si="22"/>
        <v>2.7261705952679881E-3</v>
      </c>
    </row>
    <row r="120" spans="1:20">
      <c r="A120" s="116" t="str">
        <f t="shared" si="18"/>
        <v>713p</v>
      </c>
      <c r="B120" s="557" t="s">
        <v>47</v>
      </c>
      <c r="C120" s="558"/>
      <c r="D120" s="558"/>
      <c r="E120" s="558"/>
      <c r="F120" s="558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2">
        <f t="shared" si="21"/>
        <v>17700468.388223864</v>
      </c>
      <c r="T120" s="415">
        <f t="shared" si="22"/>
        <v>3.7958342118327958E-3</v>
      </c>
    </row>
    <row r="121" spans="1:20">
      <c r="A121" s="116" t="str">
        <f t="shared" si="18"/>
        <v>714p</v>
      </c>
      <c r="B121" s="557" t="s">
        <v>61</v>
      </c>
      <c r="C121" s="558"/>
      <c r="D121" s="558"/>
      <c r="E121" s="558"/>
      <c r="F121" s="558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2">
        <f t="shared" si="21"/>
        <v>28128126.097135291</v>
      </c>
      <c r="T121" s="415">
        <f t="shared" si="22"/>
        <v>6.0320270069964361E-3</v>
      </c>
    </row>
    <row r="122" spans="1:20">
      <c r="A122" s="116" t="str">
        <f t="shared" si="18"/>
        <v>715p</v>
      </c>
      <c r="B122" s="557" t="s">
        <v>81</v>
      </c>
      <c r="C122" s="558"/>
      <c r="D122" s="558"/>
      <c r="E122" s="558"/>
      <c r="F122" s="558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2">
        <f t="shared" si="21"/>
        <v>71732904.669780642</v>
      </c>
      <c r="T122" s="415">
        <f t="shared" si="22"/>
        <v>1.5382994827461522E-2</v>
      </c>
    </row>
    <row r="123" spans="1:20">
      <c r="A123" s="116" t="str">
        <f t="shared" si="18"/>
        <v>73p</v>
      </c>
      <c r="B123" s="557" t="s">
        <v>99</v>
      </c>
      <c r="C123" s="558"/>
      <c r="D123" s="558"/>
      <c r="E123" s="558"/>
      <c r="F123" s="558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2">
        <f t="shared" si="21"/>
        <v>7262314.2406375092</v>
      </c>
      <c r="T123" s="415">
        <f t="shared" si="22"/>
        <v>1.5573904739171992E-3</v>
      </c>
    </row>
    <row r="124" spans="1:20" ht="13.5" thickBot="1">
      <c r="A124" s="116" t="str">
        <f t="shared" si="18"/>
        <v>74p</v>
      </c>
      <c r="B124" s="553" t="s">
        <v>105</v>
      </c>
      <c r="C124" s="554"/>
      <c r="D124" s="554"/>
      <c r="E124" s="554"/>
      <c r="F124" s="554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3">
        <f t="shared" si="21"/>
        <v>31528389.420852099</v>
      </c>
      <c r="T124" s="416">
        <f t="shared" si="22"/>
        <v>6.7612074767060106E-3</v>
      </c>
    </row>
    <row r="125" spans="1:20" ht="13.5" thickBot="1">
      <c r="A125" s="116" t="str">
        <f t="shared" si="18"/>
        <v>4p</v>
      </c>
      <c r="B125" s="535" t="s">
        <v>811</v>
      </c>
      <c r="C125" s="536"/>
      <c r="D125" s="536"/>
      <c r="E125" s="536"/>
      <c r="F125" s="536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4">
        <f>+SUM(G125:R125)</f>
        <v>1899843074.6966665</v>
      </c>
      <c r="T125" s="417">
        <f t="shared" si="22"/>
        <v>0.40741799492972885</v>
      </c>
    </row>
    <row r="126" spans="1:20" ht="13.5" thickBot="1">
      <c r="A126" s="116" t="str">
        <f t="shared" si="18"/>
        <v>40p</v>
      </c>
      <c r="B126" s="593" t="s">
        <v>774</v>
      </c>
      <c r="C126" s="594"/>
      <c r="D126" s="594"/>
      <c r="E126" s="594"/>
      <c r="F126" s="594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5">
        <f t="shared" si="21"/>
        <v>1610768074.6999998</v>
      </c>
      <c r="T126" s="418">
        <f t="shared" si="22"/>
        <v>0.34542637127851888</v>
      </c>
    </row>
    <row r="127" spans="1:20">
      <c r="A127" s="116" t="str">
        <f t="shared" si="18"/>
        <v>41p</v>
      </c>
      <c r="B127" s="555" t="s">
        <v>120</v>
      </c>
      <c r="C127" s="556"/>
      <c r="D127" s="556"/>
      <c r="E127" s="556"/>
      <c r="F127" s="556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400">
        <f t="shared" si="21"/>
        <v>812630572.90999997</v>
      </c>
      <c r="T127" s="413">
        <f t="shared" si="22"/>
        <v>0.17426719240295679</v>
      </c>
    </row>
    <row r="128" spans="1:20">
      <c r="A128" s="116" t="str">
        <f t="shared" si="18"/>
        <v>411p</v>
      </c>
      <c r="B128" s="551" t="s">
        <v>122</v>
      </c>
      <c r="C128" s="552"/>
      <c r="D128" s="552"/>
      <c r="E128" s="552"/>
      <c r="F128" s="552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1">
        <f t="shared" si="21"/>
        <v>461973796.46999985</v>
      </c>
      <c r="T128" s="414">
        <f t="shared" si="22"/>
        <v>9.9069465459894937E-2</v>
      </c>
    </row>
    <row r="129" spans="1:20">
      <c r="A129" s="116" t="str">
        <f t="shared" si="18"/>
        <v>412p</v>
      </c>
      <c r="B129" s="551" t="s">
        <v>133</v>
      </c>
      <c r="C129" s="552"/>
      <c r="D129" s="552"/>
      <c r="E129" s="552"/>
      <c r="F129" s="552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1">
        <f t="shared" si="21"/>
        <v>13262623.179999996</v>
      </c>
      <c r="T129" s="414">
        <f t="shared" si="22"/>
        <v>2.8441461378945036E-3</v>
      </c>
    </row>
    <row r="130" spans="1:20">
      <c r="A130" s="116" t="str">
        <f t="shared" si="18"/>
        <v>413p</v>
      </c>
      <c r="B130" s="551" t="s">
        <v>148</v>
      </c>
      <c r="C130" s="552"/>
      <c r="D130" s="552"/>
      <c r="E130" s="552"/>
      <c r="F130" s="552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1">
        <f t="shared" si="21"/>
        <v>39682213.5</v>
      </c>
      <c r="T130" s="414">
        <f t="shared" si="22"/>
        <v>8.5097806623448194E-3</v>
      </c>
    </row>
    <row r="131" spans="1:20">
      <c r="A131" s="116" t="str">
        <f t="shared" si="18"/>
        <v>414p</v>
      </c>
      <c r="B131" s="551" t="s">
        <v>162</v>
      </c>
      <c r="C131" s="552"/>
      <c r="D131" s="552"/>
      <c r="E131" s="552"/>
      <c r="F131" s="552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1">
        <f t="shared" si="21"/>
        <v>58741932.939999998</v>
      </c>
      <c r="T131" s="414">
        <f t="shared" si="22"/>
        <v>1.2597103863713857E-2</v>
      </c>
    </row>
    <row r="132" spans="1:20">
      <c r="A132" s="116" t="str">
        <f t="shared" si="18"/>
        <v>415p</v>
      </c>
      <c r="B132" s="551" t="s">
        <v>182</v>
      </c>
      <c r="C132" s="552"/>
      <c r="D132" s="552"/>
      <c r="E132" s="552"/>
      <c r="F132" s="552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1">
        <f t="shared" si="21"/>
        <v>22285486.810000002</v>
      </c>
      <c r="T132" s="414">
        <f t="shared" si="22"/>
        <v>4.7790833217173879E-3</v>
      </c>
    </row>
    <row r="133" spans="1:20">
      <c r="A133" s="116" t="str">
        <f t="shared" si="18"/>
        <v>416p</v>
      </c>
      <c r="B133" s="551" t="s">
        <v>190</v>
      </c>
      <c r="C133" s="552"/>
      <c r="D133" s="552"/>
      <c r="E133" s="552"/>
      <c r="F133" s="552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1">
        <f t="shared" si="21"/>
        <v>87442700</v>
      </c>
      <c r="T133" s="414">
        <f t="shared" si="22"/>
        <v>1.8751932714721656E-2</v>
      </c>
    </row>
    <row r="134" spans="1:20">
      <c r="A134" s="116" t="str">
        <f t="shared" si="18"/>
        <v>417p</v>
      </c>
      <c r="B134" s="551" t="s">
        <v>196</v>
      </c>
      <c r="C134" s="552"/>
      <c r="D134" s="552"/>
      <c r="E134" s="552"/>
      <c r="F134" s="552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1">
        <f t="shared" si="21"/>
        <v>10344524.66</v>
      </c>
      <c r="T134" s="414">
        <f t="shared" si="22"/>
        <v>2.2183650595201079E-3</v>
      </c>
    </row>
    <row r="135" spans="1:20">
      <c r="A135" s="116" t="str">
        <f t="shared" si="18"/>
        <v>418p</v>
      </c>
      <c r="B135" s="551" t="s">
        <v>204</v>
      </c>
      <c r="C135" s="552"/>
      <c r="D135" s="552"/>
      <c r="E135" s="552"/>
      <c r="F135" s="552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1">
        <f t="shared" si="21"/>
        <v>26731800.000000011</v>
      </c>
      <c r="T135" s="414">
        <f t="shared" si="22"/>
        <v>5.7325873394050804E-3</v>
      </c>
    </row>
    <row r="136" spans="1:20">
      <c r="A136" s="116" t="str">
        <f t="shared" si="18"/>
        <v>419p</v>
      </c>
      <c r="B136" s="551" t="s">
        <v>212</v>
      </c>
      <c r="C136" s="552"/>
      <c r="D136" s="552"/>
      <c r="E136" s="552"/>
      <c r="F136" s="552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1">
        <f t="shared" si="21"/>
        <v>39317929.93</v>
      </c>
      <c r="T136" s="414">
        <f t="shared" si="22"/>
        <v>8.4316606935684827E-3</v>
      </c>
    </row>
    <row r="137" spans="1:20">
      <c r="A137" s="116" t="str">
        <f t="shared" si="18"/>
        <v>440p</v>
      </c>
      <c r="B137" s="551" t="s">
        <v>803</v>
      </c>
      <c r="C137" s="552"/>
      <c r="D137" s="552"/>
      <c r="E137" s="552"/>
      <c r="F137" s="552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1">
        <f t="shared" si="21"/>
        <v>52847565.419999987</v>
      </c>
      <c r="T137" s="414">
        <f t="shared" si="22"/>
        <v>1.1333067150175952E-2</v>
      </c>
    </row>
    <row r="138" spans="1:20">
      <c r="A138" s="116" t="str">
        <f t="shared" si="18"/>
        <v>42p</v>
      </c>
      <c r="B138" s="547" t="s">
        <v>230</v>
      </c>
      <c r="C138" s="548"/>
      <c r="D138" s="548"/>
      <c r="E138" s="548"/>
      <c r="F138" s="548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2">
        <f t="shared" si="21"/>
        <v>558932773.86000013</v>
      </c>
      <c r="T138" s="415">
        <f t="shared" si="22"/>
        <v>0.11986214706859988</v>
      </c>
    </row>
    <row r="139" spans="1:20">
      <c r="A139" s="116" t="str">
        <f t="shared" si="18"/>
        <v>421p</v>
      </c>
      <c r="B139" s="551" t="s">
        <v>232</v>
      </c>
      <c r="C139" s="552"/>
      <c r="D139" s="552"/>
      <c r="E139" s="552"/>
      <c r="F139" s="552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1">
        <f t="shared" si="21"/>
        <v>82786083.909999996</v>
      </c>
      <c r="T139" s="414">
        <f t="shared" si="22"/>
        <v>1.7753329611226793E-2</v>
      </c>
    </row>
    <row r="140" spans="1:20">
      <c r="A140" s="116" t="str">
        <f t="shared" si="18"/>
        <v>422p</v>
      </c>
      <c r="B140" s="551" t="s">
        <v>248</v>
      </c>
      <c r="C140" s="552"/>
      <c r="D140" s="552"/>
      <c r="E140" s="552"/>
      <c r="F140" s="552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1">
        <f t="shared" si="21"/>
        <v>17298799.519999992</v>
      </c>
      <c r="T140" s="414">
        <f t="shared" si="22"/>
        <v>3.7096970318219718E-3</v>
      </c>
    </row>
    <row r="141" spans="1:20">
      <c r="A141" s="116" t="str">
        <f t="shared" si="18"/>
        <v>423p</v>
      </c>
      <c r="B141" s="551" t="s">
        <v>259</v>
      </c>
      <c r="C141" s="552"/>
      <c r="D141" s="552"/>
      <c r="E141" s="552"/>
      <c r="F141" s="552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1">
        <f t="shared" si="21"/>
        <v>425672790.43000013</v>
      </c>
      <c r="T141" s="414">
        <f t="shared" si="22"/>
        <v>9.1284778770911415E-2</v>
      </c>
    </row>
    <row r="142" spans="1:20">
      <c r="A142" s="116" t="str">
        <f t="shared" si="18"/>
        <v>424p</v>
      </c>
      <c r="B142" s="551" t="s">
        <v>274</v>
      </c>
      <c r="C142" s="552"/>
      <c r="D142" s="552"/>
      <c r="E142" s="552"/>
      <c r="F142" s="552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1">
        <f t="shared" si="21"/>
        <v>19000099.999999996</v>
      </c>
      <c r="T142" s="414">
        <f t="shared" si="22"/>
        <v>4.0745379176647433E-3</v>
      </c>
    </row>
    <row r="143" spans="1:20">
      <c r="A143" s="116" t="str">
        <f t="shared" si="18"/>
        <v>425p</v>
      </c>
      <c r="B143" s="551" t="s">
        <v>278</v>
      </c>
      <c r="C143" s="552"/>
      <c r="D143" s="552"/>
      <c r="E143" s="552"/>
      <c r="F143" s="552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1">
        <f t="shared" si="21"/>
        <v>14175000.000000002</v>
      </c>
      <c r="T143" s="414">
        <f t="shared" si="22"/>
        <v>3.0398037369749509E-3</v>
      </c>
    </row>
    <row r="144" spans="1:20">
      <c r="A144" s="116" t="str">
        <f t="shared" si="18"/>
        <v>43p</v>
      </c>
      <c r="B144" s="549" t="s">
        <v>286</v>
      </c>
      <c r="C144" s="550"/>
      <c r="D144" s="550"/>
      <c r="E144" s="550"/>
      <c r="F144" s="550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2">
        <f>+SUM(G144:R144)</f>
        <v>206684238.69</v>
      </c>
      <c r="T144" s="415">
        <f t="shared" si="22"/>
        <v>4.4323070274686745E-2</v>
      </c>
    </row>
    <row r="145" spans="1:20">
      <c r="A145" s="116" t="str">
        <f t="shared" si="18"/>
        <v>44p</v>
      </c>
      <c r="B145" s="549" t="s">
        <v>812</v>
      </c>
      <c r="C145" s="550"/>
      <c r="D145" s="550"/>
      <c r="E145" s="550"/>
      <c r="F145" s="550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2">
        <f t="shared" si="21"/>
        <v>289074999.99666673</v>
      </c>
      <c r="T145" s="415">
        <f t="shared" si="22"/>
        <v>6.1991623651209964E-2</v>
      </c>
    </row>
    <row r="146" spans="1:20">
      <c r="A146" s="116" t="str">
        <f t="shared" si="18"/>
        <v>451p</v>
      </c>
      <c r="B146" s="541" t="s">
        <v>113</v>
      </c>
      <c r="C146" s="542"/>
      <c r="D146" s="542"/>
      <c r="E146" s="542"/>
      <c r="F146" s="542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1">
        <f t="shared" si="21"/>
        <v>2875000.9999999995</v>
      </c>
      <c r="T146" s="414">
        <f t="shared" si="22"/>
        <v>6.1653889125973314E-4</v>
      </c>
    </row>
    <row r="147" spans="1:20">
      <c r="A147" s="116" t="str">
        <f t="shared" si="18"/>
        <v>47p</v>
      </c>
      <c r="B147" s="541" t="s">
        <v>366</v>
      </c>
      <c r="C147" s="542"/>
      <c r="D147" s="542"/>
      <c r="E147" s="542"/>
      <c r="F147" s="542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1">
        <f t="shared" si="21"/>
        <v>29645488.240000002</v>
      </c>
      <c r="T147" s="414">
        <f t="shared" si="22"/>
        <v>6.3574226410157992E-3</v>
      </c>
    </row>
    <row r="148" spans="1:20">
      <c r="A148" s="116" t="str">
        <f t="shared" si="18"/>
        <v>462p</v>
      </c>
      <c r="B148" s="541" t="s">
        <v>359</v>
      </c>
      <c r="C148" s="542"/>
      <c r="D148" s="542"/>
      <c r="E148" s="542"/>
      <c r="F148" s="542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1">
        <f t="shared" si="21"/>
        <v>0</v>
      </c>
      <c r="T148" s="414">
        <f t="shared" si="22"/>
        <v>0</v>
      </c>
    </row>
    <row r="149" spans="1:20" ht="13.5" thickBot="1">
      <c r="A149" s="116"/>
      <c r="B149" s="367" t="s">
        <v>686</v>
      </c>
      <c r="C149" s="368"/>
      <c r="D149" s="368"/>
      <c r="E149" s="368"/>
      <c r="F149" s="368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2">
        <f>SUM(G149:R149)</f>
        <v>0</v>
      </c>
      <c r="T149" s="377">
        <f t="shared" si="22"/>
        <v>0</v>
      </c>
    </row>
    <row r="150" spans="1:20" ht="13.5" thickBot="1">
      <c r="A150" s="117" t="str">
        <f>+CONCATENATE(A55,"p")</f>
        <v>1000p</v>
      </c>
      <c r="B150" s="543" t="s">
        <v>545</v>
      </c>
      <c r="C150" s="544"/>
      <c r="D150" s="544"/>
      <c r="E150" s="544"/>
      <c r="F150" s="544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7">
        <f t="shared" si="21"/>
        <v>-142839853.56245428</v>
      </c>
      <c r="T150" s="420">
        <f t="shared" si="22"/>
        <v>-3.0631754543076064E-2</v>
      </c>
    </row>
    <row r="151" spans="1:20" ht="13.5" thickBot="1">
      <c r="A151" s="117" t="str">
        <f>+CONCATENATE(A57,"p")</f>
        <v>1001p</v>
      </c>
      <c r="B151" s="545" t="s">
        <v>813</v>
      </c>
      <c r="C151" s="546"/>
      <c r="D151" s="546"/>
      <c r="E151" s="546"/>
      <c r="F151" s="546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7">
        <f t="shared" si="21"/>
        <v>-55397153.562454268</v>
      </c>
      <c r="T151" s="420">
        <f t="shared" si="22"/>
        <v>-1.1879821828354403E-2</v>
      </c>
    </row>
    <row r="152" spans="1:20">
      <c r="A152" s="117" t="str">
        <f>+CONCATENATE(A58,"p")</f>
        <v>46p</v>
      </c>
      <c r="B152" s="547" t="s">
        <v>352</v>
      </c>
      <c r="C152" s="548"/>
      <c r="D152" s="548"/>
      <c r="E152" s="548"/>
      <c r="F152" s="548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8">
        <f t="shared" si="21"/>
        <v>542432774.80999994</v>
      </c>
      <c r="T152" s="421">
        <f t="shared" si="22"/>
        <v>0.11632375138801619</v>
      </c>
    </row>
    <row r="153" spans="1:20">
      <c r="A153" s="117" t="str">
        <f>+CONCATENATE(A59,"p")</f>
        <v>4611p</v>
      </c>
      <c r="B153" s="539" t="s">
        <v>355</v>
      </c>
      <c r="C153" s="540"/>
      <c r="D153" s="540"/>
      <c r="E153" s="540"/>
      <c r="F153" s="540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6">
        <f t="shared" si="21"/>
        <v>50688279.809999995</v>
      </c>
      <c r="T153" s="419">
        <f t="shared" si="22"/>
        <v>1.0870012161359429E-2</v>
      </c>
    </row>
    <row r="154" spans="1:20">
      <c r="A154" s="117" t="str">
        <f>+CONCATENATE(A60,"p")</f>
        <v>4612p</v>
      </c>
      <c r="B154" s="541" t="s">
        <v>357</v>
      </c>
      <c r="C154" s="542"/>
      <c r="D154" s="542"/>
      <c r="E154" s="542"/>
      <c r="F154" s="542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6">
        <f t="shared" si="21"/>
        <v>461500000</v>
      </c>
      <c r="T154" s="419">
        <f t="shared" si="22"/>
        <v>9.8967860642958705E-2</v>
      </c>
    </row>
    <row r="155" spans="1:20">
      <c r="A155" s="117" t="str">
        <f>+CONCATENATE(A53,"p")</f>
        <v>4630p</v>
      </c>
      <c r="B155" s="541" t="s">
        <v>365</v>
      </c>
      <c r="C155" s="542"/>
      <c r="D155" s="542"/>
      <c r="E155" s="542"/>
      <c r="F155" s="542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6">
        <f t="shared" si="21"/>
        <v>30244495.000000015</v>
      </c>
      <c r="T155" s="419">
        <f t="shared" si="22"/>
        <v>6.4858785836980773E-3</v>
      </c>
    </row>
    <row r="156" spans="1:20" ht="13.5" thickBot="1">
      <c r="A156" s="117"/>
      <c r="B156" s="367" t="s">
        <v>770</v>
      </c>
      <c r="C156" s="368"/>
      <c r="D156" s="368"/>
      <c r="E156" s="368"/>
      <c r="F156" s="368"/>
      <c r="G156" s="339">
        <v>0</v>
      </c>
      <c r="H156" s="339">
        <v>0</v>
      </c>
      <c r="I156" s="339">
        <v>0</v>
      </c>
      <c r="J156" s="339">
        <v>0</v>
      </c>
      <c r="K156" s="339">
        <v>70000000</v>
      </c>
      <c r="L156" s="339">
        <v>0</v>
      </c>
      <c r="M156" s="339">
        <v>0</v>
      </c>
      <c r="N156" s="339">
        <v>0</v>
      </c>
      <c r="O156" s="339">
        <v>0</v>
      </c>
      <c r="P156" s="339">
        <v>0</v>
      </c>
      <c r="Q156" s="339">
        <v>0</v>
      </c>
      <c r="R156" s="339">
        <v>0</v>
      </c>
      <c r="S156" s="406">
        <f t="shared" si="21"/>
        <v>70000000</v>
      </c>
      <c r="T156" s="419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37" t="s">
        <v>543</v>
      </c>
      <c r="C157" s="538"/>
      <c r="D157" s="538"/>
      <c r="E157" s="538"/>
      <c r="F157" s="538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9">
        <f t="shared" si="21"/>
        <v>-755272628.37245417</v>
      </c>
      <c r="T157" s="422">
        <f t="shared" si="22"/>
        <v>-0.16196688240998089</v>
      </c>
    </row>
    <row r="158" spans="1:20" ht="13.5" thickBot="1">
      <c r="A158" s="117" t="str">
        <f t="shared" si="31"/>
        <v>1003p</v>
      </c>
      <c r="B158" s="535" t="s">
        <v>544</v>
      </c>
      <c r="C158" s="536"/>
      <c r="D158" s="536"/>
      <c r="E158" s="536"/>
      <c r="F158" s="536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10">
        <f t="shared" si="21"/>
        <v>755272628.37245417</v>
      </c>
      <c r="T158" s="423">
        <f t="shared" si="22"/>
        <v>0.16196688240998089</v>
      </c>
    </row>
    <row r="159" spans="1:20">
      <c r="A159" s="117" t="str">
        <f t="shared" si="31"/>
        <v>7511p</v>
      </c>
      <c r="B159" s="539" t="s">
        <v>114</v>
      </c>
      <c r="C159" s="540"/>
      <c r="D159" s="540"/>
      <c r="E159" s="540"/>
      <c r="F159" s="540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6">
        <f t="shared" si="21"/>
        <v>0</v>
      </c>
      <c r="T159" s="419">
        <f t="shared" si="22"/>
        <v>0</v>
      </c>
    </row>
    <row r="160" spans="1:20">
      <c r="A160" s="117" t="str">
        <f t="shared" si="31"/>
        <v>7512p</v>
      </c>
      <c r="B160" s="541" t="s">
        <v>116</v>
      </c>
      <c r="C160" s="542"/>
      <c r="D160" s="542"/>
      <c r="E160" s="542"/>
      <c r="F160" s="542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6">
        <f t="shared" si="21"/>
        <v>739264348.56578732</v>
      </c>
      <c r="T160" s="419">
        <f t="shared" si="22"/>
        <v>0.15853393505344851</v>
      </c>
    </row>
    <row r="161" spans="1:20">
      <c r="A161" s="117" t="str">
        <f t="shared" si="31"/>
        <v>72p</v>
      </c>
      <c r="B161" s="541" t="s">
        <v>93</v>
      </c>
      <c r="C161" s="542"/>
      <c r="D161" s="542"/>
      <c r="E161" s="542"/>
      <c r="F161" s="542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6">
        <f t="shared" si="21"/>
        <v>16000000</v>
      </c>
      <c r="T161" s="419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1">
        <f t="shared" si="21"/>
        <v>8279.8066668957472</v>
      </c>
      <c r="T162" s="424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Z51" activePane="bottomRight" state="frozen"/>
      <selection pane="topRight" activeCell="F1" sqref="F1"/>
      <selection pane="bottomLeft" activeCell="A8" sqref="A8"/>
      <selection pane="bottomRight" activeCell="GA58" sqref="GA58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2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02" t="s">
        <v>555</v>
      </c>
      <c r="F6" s="599">
        <v>2006</v>
      </c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1"/>
      <c r="R6" s="599">
        <v>2007</v>
      </c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1"/>
      <c r="AD6" s="599">
        <v>2008</v>
      </c>
      <c r="AE6" s="600"/>
      <c r="AF6" s="600"/>
      <c r="AG6" s="600"/>
      <c r="AH6" s="600"/>
      <c r="AI6" s="600"/>
      <c r="AJ6" s="600"/>
      <c r="AK6" s="600"/>
      <c r="AL6" s="600"/>
      <c r="AM6" s="600"/>
      <c r="AN6" s="600"/>
      <c r="AO6" s="601"/>
      <c r="AP6" s="599">
        <v>2009</v>
      </c>
      <c r="AQ6" s="600"/>
      <c r="AR6" s="600"/>
      <c r="AS6" s="600"/>
      <c r="AT6" s="600"/>
      <c r="AU6" s="600"/>
      <c r="AV6" s="600"/>
      <c r="AW6" s="600"/>
      <c r="AX6" s="600"/>
      <c r="AY6" s="600"/>
      <c r="AZ6" s="600"/>
      <c r="BA6" s="601"/>
      <c r="BB6" s="599">
        <v>2010</v>
      </c>
      <c r="BC6" s="600"/>
      <c r="BD6" s="600"/>
      <c r="BE6" s="600"/>
      <c r="BF6" s="600"/>
      <c r="BG6" s="600"/>
      <c r="BH6" s="600"/>
      <c r="BI6" s="600"/>
      <c r="BJ6" s="600"/>
      <c r="BK6" s="600"/>
      <c r="BL6" s="600"/>
      <c r="BM6" s="601"/>
      <c r="BN6" s="599">
        <v>2011</v>
      </c>
      <c r="BO6" s="600"/>
      <c r="BP6" s="600"/>
      <c r="BQ6" s="600"/>
      <c r="BR6" s="600"/>
      <c r="BS6" s="600"/>
      <c r="BT6" s="600"/>
      <c r="BU6" s="600"/>
      <c r="BV6" s="600"/>
      <c r="BW6" s="600"/>
      <c r="BX6" s="600"/>
      <c r="BY6" s="601"/>
      <c r="BZ6" s="600">
        <v>2012</v>
      </c>
      <c r="CA6" s="600"/>
      <c r="CB6" s="600"/>
      <c r="CC6" s="600"/>
      <c r="CD6" s="600"/>
      <c r="CE6" s="600"/>
      <c r="CF6" s="600"/>
      <c r="CG6" s="600"/>
      <c r="CH6" s="600"/>
      <c r="CI6" s="600"/>
      <c r="CJ6" s="600"/>
      <c r="CK6" s="600"/>
      <c r="CL6" s="599">
        <v>2013</v>
      </c>
      <c r="CM6" s="600"/>
      <c r="CN6" s="600"/>
      <c r="CO6" s="600"/>
      <c r="CP6" s="600"/>
      <c r="CQ6" s="600"/>
      <c r="CR6" s="600"/>
      <c r="CS6" s="600"/>
      <c r="CT6" s="600"/>
      <c r="CU6" s="600"/>
      <c r="CV6" s="600"/>
      <c r="CW6" s="601"/>
      <c r="CX6" s="599">
        <v>2014</v>
      </c>
      <c r="CY6" s="600"/>
      <c r="CZ6" s="600"/>
      <c r="DA6" s="600"/>
      <c r="DB6" s="600"/>
      <c r="DC6" s="600"/>
      <c r="DD6" s="600"/>
      <c r="DE6" s="600"/>
      <c r="DF6" s="600"/>
      <c r="DG6" s="600"/>
      <c r="DH6" s="600"/>
      <c r="DI6" s="601"/>
      <c r="DJ6" s="599">
        <v>2015</v>
      </c>
      <c r="DK6" s="600"/>
      <c r="DL6" s="600"/>
      <c r="DM6" s="600"/>
      <c r="DN6" s="600"/>
      <c r="DO6" s="600"/>
      <c r="DP6" s="600"/>
      <c r="DQ6" s="600"/>
      <c r="DR6" s="600"/>
      <c r="DS6" s="600"/>
      <c r="DT6" s="600"/>
      <c r="DU6" s="601"/>
    </row>
    <row r="7" spans="1:321">
      <c r="E7" s="602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7" t="s">
        <v>742</v>
      </c>
      <c r="EU7" s="317" t="s">
        <v>743</v>
      </c>
      <c r="EV7" s="317" t="s">
        <v>744</v>
      </c>
      <c r="EW7" s="317" t="s">
        <v>745</v>
      </c>
      <c r="EX7" s="317" t="s">
        <v>746</v>
      </c>
      <c r="EY7" s="317" t="s">
        <v>747</v>
      </c>
      <c r="EZ7" s="317" t="s">
        <v>748</v>
      </c>
      <c r="FA7" s="317" t="s">
        <v>749</v>
      </c>
      <c r="FB7" s="317" t="s">
        <v>750</v>
      </c>
      <c r="FC7" s="317" t="s">
        <v>751</v>
      </c>
      <c r="FD7" s="317" t="s">
        <v>752</v>
      </c>
      <c r="FE7" s="317" t="s">
        <v>753</v>
      </c>
      <c r="FF7" s="317" t="s">
        <v>758</v>
      </c>
      <c r="FG7" s="317" t="s">
        <v>759</v>
      </c>
      <c r="FH7" s="317" t="s">
        <v>760</v>
      </c>
      <c r="FI7" s="317" t="s">
        <v>761</v>
      </c>
      <c r="FJ7" s="317" t="s">
        <v>762</v>
      </c>
      <c r="FK7" s="317" t="s">
        <v>763</v>
      </c>
      <c r="FL7" s="317" t="s">
        <v>764</v>
      </c>
      <c r="FM7" s="317" t="s">
        <v>765</v>
      </c>
      <c r="FN7" s="317" t="s">
        <v>766</v>
      </c>
      <c r="FO7" s="317" t="s">
        <v>767</v>
      </c>
      <c r="FP7" s="317" t="s">
        <v>768</v>
      </c>
      <c r="FQ7" s="317" t="s">
        <v>769</v>
      </c>
      <c r="FR7" s="317" t="s">
        <v>777</v>
      </c>
      <c r="FS7" s="317" t="s">
        <v>778</v>
      </c>
      <c r="FT7" s="317" t="s">
        <v>779</v>
      </c>
      <c r="FU7" s="317" t="s">
        <v>780</v>
      </c>
      <c r="FV7" s="317" t="s">
        <v>781</v>
      </c>
      <c r="FW7" s="317" t="s">
        <v>782</v>
      </c>
      <c r="FX7" s="317" t="s">
        <v>783</v>
      </c>
      <c r="FY7" s="317" t="s">
        <v>784</v>
      </c>
      <c r="FZ7" s="317" t="s">
        <v>785</v>
      </c>
      <c r="GA7" s="317" t="s">
        <v>786</v>
      </c>
      <c r="GB7" s="317" t="s">
        <v>787</v>
      </c>
      <c r="GC7" s="317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2">
        <v>79855347.849999994</v>
      </c>
      <c r="EU9" s="352">
        <v>106190042</v>
      </c>
      <c r="EV9" s="352">
        <v>137417391.37</v>
      </c>
      <c r="EW9" s="352">
        <v>147833434.00999999</v>
      </c>
      <c r="EX9" s="352">
        <v>135934065.38</v>
      </c>
      <c r="EY9" s="335"/>
      <c r="EZ9" s="335"/>
      <c r="FA9" s="335"/>
      <c r="FB9" s="335"/>
      <c r="FC9" s="335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3">
        <v>60295851.509999998</v>
      </c>
      <c r="EU10" s="353">
        <v>64797597.329999998</v>
      </c>
      <c r="EV10" s="353">
        <v>89261850.609999999</v>
      </c>
      <c r="EW10" s="353">
        <v>97799793.079999998</v>
      </c>
      <c r="EX10" s="353">
        <v>90553351.069999993</v>
      </c>
      <c r="EY10" s="353">
        <v>87503254.430000007</v>
      </c>
      <c r="EZ10" s="353">
        <v>105015545.47</v>
      </c>
      <c r="FA10" s="353">
        <v>107951400.73999999</v>
      </c>
      <c r="FB10" s="353">
        <v>102839740.52</v>
      </c>
      <c r="FC10" s="353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3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3">
        <f t="shared" ref="FR10:GC10" si="2">SUM(FR11:FR17)</f>
        <v>73320205.209999993</v>
      </c>
      <c r="FS10" s="353">
        <f t="shared" si="2"/>
        <v>69683087.399999991</v>
      </c>
      <c r="FT10" s="353">
        <f t="shared" si="2"/>
        <v>105613736.66000001</v>
      </c>
      <c r="FU10" s="353">
        <f t="shared" si="2"/>
        <v>83521974.920000002</v>
      </c>
      <c r="FV10" s="353">
        <f t="shared" si="2"/>
        <v>69752758.120000005</v>
      </c>
      <c r="FW10" s="353">
        <f t="shared" si="2"/>
        <v>79960950.920000002</v>
      </c>
      <c r="FX10" s="353">
        <f t="shared" si="2"/>
        <v>80621752.299999997</v>
      </c>
      <c r="FY10" s="353">
        <f t="shared" si="2"/>
        <v>79984790.799999997</v>
      </c>
      <c r="FZ10" s="304">
        <f t="shared" si="2"/>
        <v>80764606.50999999</v>
      </c>
      <c r="GA10" s="353">
        <f t="shared" si="2"/>
        <v>81734836.820000008</v>
      </c>
      <c r="GB10" s="353">
        <f t="shared" si="2"/>
        <v>72792310.129999995</v>
      </c>
      <c r="GC10" s="353">
        <f t="shared" si="2"/>
        <v>88352824.489999995</v>
      </c>
      <c r="GD10" s="304"/>
      <c r="GE10" s="353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2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2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2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2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2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2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2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2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2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2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2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2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2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2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3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3">
        <f t="shared" ref="FR18:GC18" si="3">SUM(FR19:FR22)</f>
        <v>15749286.220000001</v>
      </c>
      <c r="FS18" s="353">
        <f t="shared" si="3"/>
        <v>42574769.890000001</v>
      </c>
      <c r="FT18" s="353">
        <f t="shared" si="3"/>
        <v>44888756.57</v>
      </c>
      <c r="FU18" s="353">
        <f t="shared" si="3"/>
        <v>33882602.5</v>
      </c>
      <c r="FV18" s="353">
        <f t="shared" si="3"/>
        <v>40418289.450000003</v>
      </c>
      <c r="FW18" s="353">
        <f t="shared" si="3"/>
        <v>42892419.090000004</v>
      </c>
      <c r="FX18" s="353">
        <f t="shared" si="3"/>
        <v>45009811.700000003</v>
      </c>
      <c r="FY18" s="353">
        <f t="shared" si="3"/>
        <v>51984938.960000001</v>
      </c>
      <c r="FZ18" s="304">
        <f t="shared" si="3"/>
        <v>42439853.439999998</v>
      </c>
      <c r="GA18" s="353">
        <f t="shared" si="3"/>
        <v>46766265.019999996</v>
      </c>
      <c r="GB18" s="353">
        <f t="shared" si="3"/>
        <v>43869251.589999996</v>
      </c>
      <c r="GC18" s="353">
        <f t="shared" si="3"/>
        <v>80544326.960000008</v>
      </c>
      <c r="GD18" s="304"/>
      <c r="GE18" s="353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2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2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2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2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2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2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2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2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3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3">
        <f t="shared" ref="FR23:GC23" si="5">SUM(FR24:FR27)</f>
        <v>711811.51</v>
      </c>
      <c r="FS23" s="353">
        <f t="shared" si="5"/>
        <v>845756.92</v>
      </c>
      <c r="FT23" s="353">
        <f t="shared" si="5"/>
        <v>815406.19</v>
      </c>
      <c r="FU23" s="353">
        <f t="shared" si="5"/>
        <v>318936.3</v>
      </c>
      <c r="FV23" s="353">
        <f t="shared" si="5"/>
        <v>469045.42</v>
      </c>
      <c r="FW23" s="353">
        <f t="shared" si="5"/>
        <v>1094710.17</v>
      </c>
      <c r="FX23" s="353">
        <f t="shared" si="5"/>
        <v>962946.75000000012</v>
      </c>
      <c r="FY23" s="353">
        <f t="shared" si="5"/>
        <v>1016910.3699999999</v>
      </c>
      <c r="FZ23" s="304">
        <f t="shared" si="5"/>
        <v>1210136.0899999999</v>
      </c>
      <c r="GA23" s="353">
        <f t="shared" si="5"/>
        <v>1020237.03</v>
      </c>
      <c r="GB23" s="353">
        <f t="shared" si="5"/>
        <v>955177.11</v>
      </c>
      <c r="GC23" s="353">
        <f t="shared" si="5"/>
        <v>1215368.99</v>
      </c>
      <c r="GD23" s="304"/>
      <c r="GE23" s="353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2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2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2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2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2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2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2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2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3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3">
        <f t="shared" ref="FR28:GC28" si="7">SUM(FR29:FR34)</f>
        <v>2226726.9299999997</v>
      </c>
      <c r="FS28" s="353">
        <f t="shared" si="7"/>
        <v>2200614.79</v>
      </c>
      <c r="FT28" s="353">
        <f t="shared" si="7"/>
        <v>1317967.9100000001</v>
      </c>
      <c r="FU28" s="353">
        <f t="shared" si="7"/>
        <v>1597851.3599999999</v>
      </c>
      <c r="FV28" s="353">
        <f t="shared" si="7"/>
        <v>1673853.74</v>
      </c>
      <c r="FW28" s="353">
        <f t="shared" si="7"/>
        <v>2752546.6799999997</v>
      </c>
      <c r="FX28" s="353">
        <f t="shared" si="7"/>
        <v>2600399.9099999997</v>
      </c>
      <c r="FY28" s="353">
        <f t="shared" si="7"/>
        <v>2411610.62</v>
      </c>
      <c r="FZ28" s="304">
        <f t="shared" si="7"/>
        <v>2242559.5</v>
      </c>
      <c r="GA28" s="353">
        <f t="shared" si="7"/>
        <v>3223177.49</v>
      </c>
      <c r="GB28" s="353">
        <f t="shared" si="7"/>
        <v>2393815.35</v>
      </c>
      <c r="GC28" s="353">
        <f t="shared" si="7"/>
        <v>3177660.7800000003</v>
      </c>
      <c r="GD28" s="304"/>
      <c r="GE28" s="353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2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2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2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2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2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2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2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2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2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2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2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2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3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3">
        <f t="shared" ref="FR35:GC35" si="9">SUM(FR36:FR39)</f>
        <v>1483663.6700000002</v>
      </c>
      <c r="FS35" s="353">
        <f t="shared" si="9"/>
        <v>2100277.88</v>
      </c>
      <c r="FT35" s="353">
        <f t="shared" si="9"/>
        <v>4243202.3499999996</v>
      </c>
      <c r="FU35" s="353">
        <f t="shared" si="9"/>
        <v>2093585.81</v>
      </c>
      <c r="FV35" s="353">
        <f t="shared" si="9"/>
        <v>1279434.9099999999</v>
      </c>
      <c r="FW35" s="353">
        <f t="shared" si="9"/>
        <v>1931121.2500000002</v>
      </c>
      <c r="FX35" s="353">
        <f t="shared" si="9"/>
        <v>2459062.7400000002</v>
      </c>
      <c r="FY35" s="353">
        <f t="shared" si="9"/>
        <v>3216715.11</v>
      </c>
      <c r="FZ35" s="304">
        <f t="shared" si="9"/>
        <v>11550447.479999999</v>
      </c>
      <c r="GA35" s="353">
        <f t="shared" si="9"/>
        <v>2887676.87</v>
      </c>
      <c r="GB35" s="353">
        <f t="shared" si="9"/>
        <v>1756272.85</v>
      </c>
      <c r="GC35" s="353">
        <f t="shared" si="9"/>
        <v>2614148.87</v>
      </c>
      <c r="GD35" s="304"/>
      <c r="GE35" s="353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2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2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2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2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2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2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2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2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3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3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3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5"/>
      <c r="EU41" s="335"/>
      <c r="EV41" s="335"/>
      <c r="EW41" s="335"/>
      <c r="EX41" s="335"/>
      <c r="EY41" s="335"/>
      <c r="EZ41" s="335"/>
      <c r="FA41" s="335"/>
      <c r="FB41" s="335"/>
      <c r="FC41" s="335"/>
      <c r="FD41" s="302"/>
      <c r="FE41" s="302"/>
      <c r="FF41" s="302"/>
      <c r="FG41" s="302"/>
      <c r="FH41" s="302"/>
      <c r="FI41" s="302"/>
      <c r="FJ41" s="302"/>
      <c r="FK41" s="302"/>
      <c r="FL41" s="352"/>
      <c r="FM41" s="302"/>
      <c r="FN41" s="302"/>
      <c r="FO41" s="302"/>
      <c r="FP41" s="302"/>
      <c r="FQ41" s="302"/>
      <c r="FR41" s="302"/>
      <c r="FS41" s="352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5"/>
      <c r="EU42" s="335"/>
      <c r="EV42" s="335"/>
      <c r="EW42" s="335"/>
      <c r="EX42" s="335"/>
      <c r="EY42" s="335"/>
      <c r="EZ42" s="335"/>
      <c r="FA42" s="335"/>
      <c r="FB42" s="335"/>
      <c r="FC42" s="335"/>
      <c r="FD42" s="302"/>
      <c r="FE42" s="302"/>
      <c r="FF42" s="302"/>
      <c r="FG42" s="302"/>
      <c r="FH42" s="302"/>
      <c r="FI42" s="302"/>
      <c r="FJ42" s="302"/>
      <c r="FK42" s="302"/>
      <c r="FL42" s="352"/>
      <c r="FM42" s="302"/>
      <c r="FN42" s="302"/>
      <c r="FO42" s="302"/>
      <c r="FP42" s="302"/>
      <c r="FQ42" s="302"/>
      <c r="FR42" s="302"/>
      <c r="FS42" s="352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3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3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3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5"/>
      <c r="EU44" s="335"/>
      <c r="EV44" s="335"/>
      <c r="EW44" s="335"/>
      <c r="EX44" s="335"/>
      <c r="EY44" s="335"/>
      <c r="EZ44" s="335"/>
      <c r="FA44" s="335"/>
      <c r="FB44" s="335"/>
      <c r="FC44" s="335"/>
      <c r="FD44" s="302"/>
      <c r="FE44" s="302"/>
      <c r="FF44" s="302"/>
      <c r="FG44" s="302"/>
      <c r="FH44" s="302"/>
      <c r="FI44" s="302"/>
      <c r="FJ44" s="302"/>
      <c r="FK44" s="302"/>
      <c r="FL44" s="352"/>
      <c r="FM44" s="302"/>
      <c r="FN44" s="302"/>
      <c r="FO44" s="302"/>
      <c r="FP44" s="302"/>
      <c r="FQ44" s="302"/>
      <c r="FR44" s="302"/>
      <c r="FS44" s="352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5"/>
      <c r="EU45" s="335"/>
      <c r="EV45" s="335"/>
      <c r="EW45" s="335"/>
      <c r="EX45" s="335"/>
      <c r="EY45" s="335"/>
      <c r="EZ45" s="335"/>
      <c r="FA45" s="335"/>
      <c r="FB45" s="335"/>
      <c r="FC45" s="335"/>
      <c r="FD45" s="302"/>
      <c r="FE45" s="302"/>
      <c r="FF45" s="302"/>
      <c r="FG45" s="302"/>
      <c r="FH45" s="302"/>
      <c r="FI45" s="302"/>
      <c r="FJ45" s="302"/>
      <c r="FK45" s="302"/>
      <c r="FL45" s="352"/>
      <c r="FM45" s="302"/>
      <c r="FN45" s="302"/>
      <c r="FO45" s="302"/>
      <c r="FP45" s="302"/>
      <c r="FQ45" s="302"/>
      <c r="FR45" s="302"/>
      <c r="FS45" s="352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3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3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3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5"/>
      <c r="EU47" s="335"/>
      <c r="EV47" s="335"/>
      <c r="EW47" s="335"/>
      <c r="EX47" s="335"/>
      <c r="EY47" s="335"/>
      <c r="EZ47" s="335"/>
      <c r="FA47" s="335"/>
      <c r="FB47" s="335"/>
      <c r="FC47" s="335"/>
      <c r="FD47" s="302"/>
      <c r="FE47" s="302"/>
      <c r="FF47" s="302"/>
      <c r="FG47" s="302"/>
      <c r="FH47" s="302"/>
      <c r="FI47" s="302"/>
      <c r="FJ47" s="302"/>
      <c r="FK47" s="302"/>
      <c r="FL47" s="352"/>
      <c r="FM47" s="302"/>
      <c r="FN47" s="302"/>
      <c r="FO47" s="302"/>
      <c r="FP47" s="302"/>
      <c r="FQ47" s="302"/>
      <c r="FR47" s="302"/>
      <c r="FS47" s="352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5"/>
      <c r="EU48" s="335"/>
      <c r="EV48" s="335"/>
      <c r="EW48" s="335"/>
      <c r="EX48" s="335"/>
      <c r="EY48" s="335"/>
      <c r="EZ48" s="335"/>
      <c r="FA48" s="335"/>
      <c r="FB48" s="335"/>
      <c r="FC48" s="335"/>
      <c r="FD48" s="302"/>
      <c r="FE48" s="302"/>
      <c r="FF48" s="302"/>
      <c r="FG48" s="302"/>
      <c r="FH48" s="302"/>
      <c r="FI48" s="302"/>
      <c r="FJ48" s="302"/>
      <c r="FK48" s="302"/>
      <c r="FL48" s="352"/>
      <c r="FM48" s="302"/>
      <c r="FN48" s="302"/>
      <c r="FO48" s="302"/>
      <c r="FP48" s="302"/>
      <c r="FQ48" s="302"/>
      <c r="FR48" s="302"/>
      <c r="FS48" s="352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3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3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3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5"/>
      <c r="EU50" s="335"/>
      <c r="EV50" s="335"/>
      <c r="EW50" s="335"/>
      <c r="EX50" s="335"/>
      <c r="EY50" s="335"/>
      <c r="EZ50" s="335"/>
      <c r="FA50" s="335"/>
      <c r="FB50" s="335"/>
      <c r="FC50" s="335"/>
      <c r="FD50" s="302"/>
      <c r="FE50" s="302"/>
      <c r="FF50" s="302"/>
      <c r="FG50" s="302"/>
      <c r="FH50" s="302"/>
      <c r="FI50" s="302"/>
      <c r="FJ50" s="302"/>
      <c r="FK50" s="302"/>
      <c r="FL50" s="352"/>
      <c r="FM50" s="302"/>
      <c r="FN50" s="302"/>
      <c r="FO50" s="302"/>
      <c r="FP50" s="302"/>
      <c r="FQ50" s="302"/>
      <c r="FR50" s="302"/>
      <c r="FS50" s="352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2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2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2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2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2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2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2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2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2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2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2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2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2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1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2">
        <v>3987318.08</v>
      </c>
      <c r="FR61" s="352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5"/>
      <c r="EU62" s="335"/>
      <c r="EV62" s="335"/>
      <c r="EW62" s="335"/>
      <c r="EX62" s="335"/>
      <c r="EY62" s="335"/>
      <c r="EZ62" s="335"/>
      <c r="FA62" s="335"/>
      <c r="FB62" s="335"/>
      <c r="FC62" s="335"/>
      <c r="FD62" s="302"/>
      <c r="FE62" s="302"/>
      <c r="FF62" s="302"/>
      <c r="FG62" s="302"/>
      <c r="FH62" s="302"/>
      <c r="FI62" s="302"/>
      <c r="FJ62" s="302"/>
      <c r="FK62" s="302"/>
      <c r="FL62" s="352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5"/>
      <c r="EU63" s="335"/>
      <c r="EV63" s="335"/>
      <c r="EW63" s="335"/>
      <c r="EX63" s="335"/>
      <c r="EY63" s="335"/>
      <c r="EZ63" s="335"/>
      <c r="FA63" s="335"/>
      <c r="FB63" s="335"/>
      <c r="FC63" s="335"/>
      <c r="FD63" s="302"/>
      <c r="FE63" s="302"/>
      <c r="FF63" s="302"/>
      <c r="FG63" s="302"/>
      <c r="FH63" s="302"/>
      <c r="FI63" s="302"/>
      <c r="FJ63" s="302"/>
      <c r="FK63" s="302"/>
      <c r="FL63" s="352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5"/>
      <c r="EU64" s="335"/>
      <c r="EV64" s="335"/>
      <c r="EW64" s="335"/>
      <c r="EX64" s="335"/>
      <c r="EY64" s="335"/>
      <c r="EZ64" s="335"/>
      <c r="FA64" s="335"/>
      <c r="FB64" s="335"/>
      <c r="FC64" s="335"/>
      <c r="FD64" s="302"/>
      <c r="FE64" s="302"/>
      <c r="FF64" s="302"/>
      <c r="FG64" s="302"/>
      <c r="FH64" s="302"/>
      <c r="FI64" s="302"/>
      <c r="FJ64" s="302"/>
      <c r="FK64" s="302"/>
      <c r="FL64" s="352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5"/>
      <c r="EU65" s="335"/>
      <c r="EV65" s="335"/>
      <c r="EW65" s="335"/>
      <c r="EX65" s="335"/>
      <c r="EY65" s="335"/>
      <c r="EZ65" s="335"/>
      <c r="FA65" s="335"/>
      <c r="FB65" s="335"/>
      <c r="FC65" s="335"/>
      <c r="FD65" s="302"/>
      <c r="FE65" s="302"/>
      <c r="FF65" s="302"/>
      <c r="FG65" s="302"/>
      <c r="FH65" s="302"/>
      <c r="FI65" s="302"/>
      <c r="FJ65" s="302"/>
      <c r="FK65" s="302"/>
      <c r="FL65" s="352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5"/>
      <c r="EU66" s="335"/>
      <c r="EV66" s="335"/>
      <c r="EW66" s="335"/>
      <c r="EX66" s="335"/>
      <c r="EY66" s="335"/>
      <c r="EZ66" s="335"/>
      <c r="FA66" s="335"/>
      <c r="FB66" s="335"/>
      <c r="FC66" s="335"/>
      <c r="FD66" s="302"/>
      <c r="FE66" s="302"/>
      <c r="FF66" s="302"/>
      <c r="FG66" s="302"/>
      <c r="FH66" s="302"/>
      <c r="FI66" s="302"/>
      <c r="FJ66" s="302"/>
      <c r="FK66" s="302"/>
      <c r="FL66" s="352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5"/>
      <c r="EU67" s="335"/>
      <c r="EV67" s="335"/>
      <c r="EW67" s="335"/>
      <c r="EX67" s="335"/>
      <c r="EY67" s="335"/>
      <c r="EZ67" s="335"/>
      <c r="FA67" s="335"/>
      <c r="FB67" s="335"/>
      <c r="FC67" s="335"/>
      <c r="FD67" s="302"/>
      <c r="FE67" s="302"/>
      <c r="FF67" s="302"/>
      <c r="FG67" s="302"/>
      <c r="FH67" s="302"/>
      <c r="FI67" s="302"/>
      <c r="FJ67" s="302"/>
      <c r="FK67" s="302"/>
      <c r="FL67" s="352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5"/>
      <c r="EU68" s="335"/>
      <c r="EV68" s="335"/>
      <c r="EW68" s="335"/>
      <c r="EX68" s="335"/>
      <c r="EY68" s="335"/>
      <c r="EZ68" s="335"/>
      <c r="FA68" s="335"/>
      <c r="FB68" s="335"/>
      <c r="FC68" s="335"/>
      <c r="FD68" s="302"/>
      <c r="FE68" s="302"/>
      <c r="FF68" s="302"/>
      <c r="FG68" s="302"/>
      <c r="FH68" s="302"/>
      <c r="FI68" s="302"/>
      <c r="FJ68" s="302"/>
      <c r="FK68" s="302"/>
      <c r="FL68" s="352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1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2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2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2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2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2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2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1">
        <v>8566117.3599999994</v>
      </c>
      <c r="FM76" s="302">
        <v>3294436.46</v>
      </c>
      <c r="FN76" s="302">
        <v>5819051.2000000002</v>
      </c>
      <c r="FO76" s="302">
        <v>7942946.5700000003</v>
      </c>
      <c r="FP76" s="352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2"/>
      <c r="FM77" s="302"/>
      <c r="FN77" s="302"/>
      <c r="FO77" s="302"/>
      <c r="FP77" s="302"/>
      <c r="FQ77" s="352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2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2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2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2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2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2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2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2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1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2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2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2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1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2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2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1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2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2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2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1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2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2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2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1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2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2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2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2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2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2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2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2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2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2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1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2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5"/>
      <c r="EU114" s="335"/>
      <c r="EV114" s="335"/>
      <c r="EW114" s="335"/>
      <c r="EX114" s="335"/>
      <c r="EY114" s="335"/>
      <c r="EZ114" s="335"/>
      <c r="FA114" s="335"/>
      <c r="FB114" s="335"/>
      <c r="FC114" s="335"/>
      <c r="FD114" s="302"/>
      <c r="FE114" s="302"/>
      <c r="FF114" s="302"/>
      <c r="FG114" s="302"/>
      <c r="FH114" s="302"/>
      <c r="FI114" s="302"/>
      <c r="FJ114" s="302"/>
      <c r="FK114" s="302"/>
      <c r="FL114" s="352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5"/>
      <c r="EU115" s="335"/>
      <c r="EV115" s="335"/>
      <c r="EW115" s="335"/>
      <c r="EX115" s="335"/>
      <c r="EY115" s="335"/>
      <c r="EZ115" s="335"/>
      <c r="FA115" s="335"/>
      <c r="FB115" s="335"/>
      <c r="FC115" s="335"/>
      <c r="FD115" s="302"/>
      <c r="FE115" s="302"/>
      <c r="FF115" s="302"/>
      <c r="FG115" s="302"/>
      <c r="FH115" s="302"/>
      <c r="FI115" s="302"/>
      <c r="FJ115" s="302"/>
      <c r="FK115" s="302"/>
      <c r="FL115" s="352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5"/>
      <c r="EU116" s="335"/>
      <c r="EV116" s="335"/>
      <c r="EW116" s="335"/>
      <c r="EX116" s="335"/>
      <c r="EY116" s="335"/>
      <c r="EZ116" s="335"/>
      <c r="FA116" s="335"/>
      <c r="FB116" s="335"/>
      <c r="FC116" s="335"/>
      <c r="FD116" s="302"/>
      <c r="FE116" s="302"/>
      <c r="FF116" s="302"/>
      <c r="FG116" s="302"/>
      <c r="FH116" s="302"/>
      <c r="FI116" s="302"/>
      <c r="FJ116" s="302"/>
      <c r="FK116" s="302"/>
      <c r="FL116" s="352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5"/>
      <c r="EU117" s="335"/>
      <c r="EV117" s="335"/>
      <c r="EW117" s="335"/>
      <c r="EX117" s="335"/>
      <c r="EY117" s="335"/>
      <c r="EZ117" s="335"/>
      <c r="FA117" s="335"/>
      <c r="FB117" s="335"/>
      <c r="FC117" s="335"/>
      <c r="FD117" s="302"/>
      <c r="FE117" s="302"/>
      <c r="FF117" s="302"/>
      <c r="FG117" s="302"/>
      <c r="FH117" s="302"/>
      <c r="FI117" s="302"/>
      <c r="FJ117" s="302"/>
      <c r="FK117" s="302"/>
      <c r="FL117" s="352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5"/>
      <c r="EU118" s="335"/>
      <c r="EV118" s="335"/>
      <c r="EW118" s="335"/>
      <c r="EX118" s="335"/>
      <c r="EY118" s="335"/>
      <c r="EZ118" s="335"/>
      <c r="FA118" s="335"/>
      <c r="FB118" s="335"/>
      <c r="FC118" s="335"/>
      <c r="FD118" s="302"/>
      <c r="FE118" s="302"/>
      <c r="FF118" s="302"/>
      <c r="FG118" s="302"/>
      <c r="FH118" s="302"/>
      <c r="FI118" s="302"/>
      <c r="FJ118" s="302"/>
      <c r="FK118" s="302"/>
      <c r="FL118" s="352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5"/>
      <c r="EU119" s="335"/>
      <c r="EV119" s="335"/>
      <c r="EW119" s="335"/>
      <c r="EX119" s="335"/>
      <c r="EY119" s="335"/>
      <c r="EZ119" s="335"/>
      <c r="FA119" s="335"/>
      <c r="FB119" s="335"/>
      <c r="FC119" s="335"/>
      <c r="FD119" s="302"/>
      <c r="FE119" s="302"/>
      <c r="FF119" s="302"/>
      <c r="FG119" s="302"/>
      <c r="FH119" s="302"/>
      <c r="FI119" s="302"/>
      <c r="FJ119" s="302"/>
      <c r="FK119" s="302"/>
      <c r="FL119" s="352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5"/>
      <c r="EU120" s="335"/>
      <c r="EV120" s="335"/>
      <c r="EW120" s="335"/>
      <c r="EX120" s="335"/>
      <c r="EY120" s="335"/>
      <c r="EZ120" s="335"/>
      <c r="FA120" s="335"/>
      <c r="FB120" s="335"/>
      <c r="FC120" s="335"/>
      <c r="FD120" s="302"/>
      <c r="FE120" s="302"/>
      <c r="FF120" s="302"/>
      <c r="FG120" s="302"/>
      <c r="FH120" s="302"/>
      <c r="FI120" s="302"/>
      <c r="FJ120" s="302"/>
      <c r="FK120" s="302"/>
      <c r="FL120" s="352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1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2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2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2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2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2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2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2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2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2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2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2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2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2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2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1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2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1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2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2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2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1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2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2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2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2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2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2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2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2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2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2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2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2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2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2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2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2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2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2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2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1"/>
      <c r="FF160" s="302"/>
      <c r="FG160" s="302"/>
      <c r="FH160" s="302"/>
      <c r="FI160" s="302"/>
      <c r="FJ160" s="302"/>
      <c r="FK160" s="302"/>
      <c r="FL160" s="352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2"/>
      <c r="FM161" s="302"/>
      <c r="FN161" s="302"/>
      <c r="FO161" s="302"/>
      <c r="FP161" s="302"/>
      <c r="FQ161" s="341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5"/>
      <c r="FE162" s="302"/>
      <c r="FF162" s="302"/>
      <c r="FG162" s="302"/>
      <c r="FH162" s="352"/>
      <c r="FI162" s="302"/>
      <c r="FJ162" s="302"/>
      <c r="FK162" s="302"/>
      <c r="FL162" s="352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2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2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2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2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2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2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2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1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2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2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2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2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2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2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2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1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1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2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2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2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1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1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40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5"/>
      <c r="EZ188" s="302"/>
      <c r="FA188" s="302"/>
      <c r="FB188" s="302"/>
      <c r="FC188" s="302"/>
      <c r="FD188" s="302"/>
      <c r="FE188" s="352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Total Revenues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Total Expenditures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Surplus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1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2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02" t="s">
        <v>676</v>
      </c>
      <c r="F214" s="599">
        <v>2006</v>
      </c>
      <c r="G214" s="600"/>
      <c r="H214" s="600"/>
      <c r="I214" s="600"/>
      <c r="J214" s="600"/>
      <c r="K214" s="600"/>
      <c r="L214" s="600"/>
      <c r="M214" s="600"/>
      <c r="N214" s="600"/>
      <c r="O214" s="600"/>
      <c r="P214" s="600"/>
      <c r="Q214" s="601"/>
      <c r="R214" s="599">
        <v>2007</v>
      </c>
      <c r="S214" s="600"/>
      <c r="T214" s="600"/>
      <c r="U214" s="600"/>
      <c r="V214" s="600"/>
      <c r="W214" s="600"/>
      <c r="X214" s="600"/>
      <c r="Y214" s="600"/>
      <c r="Z214" s="600"/>
      <c r="AA214" s="600"/>
      <c r="AB214" s="600"/>
      <c r="AC214" s="601"/>
      <c r="AD214" s="599">
        <v>2008</v>
      </c>
      <c r="AE214" s="600"/>
      <c r="AF214" s="600"/>
      <c r="AG214" s="600"/>
      <c r="AH214" s="600"/>
      <c r="AI214" s="600"/>
      <c r="AJ214" s="600"/>
      <c r="AK214" s="600"/>
      <c r="AL214" s="600"/>
      <c r="AM214" s="600"/>
      <c r="AN214" s="600"/>
      <c r="AO214" s="601"/>
      <c r="AP214" s="599">
        <v>2009</v>
      </c>
      <c r="AQ214" s="600"/>
      <c r="AR214" s="600"/>
      <c r="AS214" s="600"/>
      <c r="AT214" s="600"/>
      <c r="AU214" s="600"/>
      <c r="AV214" s="600"/>
      <c r="AW214" s="600"/>
      <c r="AX214" s="600"/>
      <c r="AY214" s="600"/>
      <c r="AZ214" s="600"/>
      <c r="BA214" s="601"/>
      <c r="BB214" s="599">
        <v>2010</v>
      </c>
      <c r="BC214" s="600"/>
      <c r="BD214" s="600"/>
      <c r="BE214" s="600"/>
      <c r="BF214" s="600"/>
      <c r="BG214" s="600"/>
      <c r="BH214" s="600"/>
      <c r="BI214" s="600"/>
      <c r="BJ214" s="600"/>
      <c r="BK214" s="600"/>
      <c r="BL214" s="600"/>
      <c r="BM214" s="601"/>
      <c r="BN214" s="599">
        <v>2011</v>
      </c>
      <c r="BO214" s="600"/>
      <c r="BP214" s="600"/>
      <c r="BQ214" s="600"/>
      <c r="BR214" s="600"/>
      <c r="BS214" s="600"/>
      <c r="BT214" s="600"/>
      <c r="BU214" s="600"/>
      <c r="BV214" s="600"/>
      <c r="BW214" s="600"/>
      <c r="BX214" s="600"/>
      <c r="BY214" s="601"/>
      <c r="BZ214" s="600">
        <v>2012</v>
      </c>
      <c r="CA214" s="600"/>
      <c r="CB214" s="600"/>
      <c r="CC214" s="600"/>
      <c r="CD214" s="600"/>
      <c r="CE214" s="600"/>
      <c r="CF214" s="600"/>
      <c r="CG214" s="600"/>
      <c r="CH214" s="600"/>
      <c r="CI214" s="600"/>
      <c r="CJ214" s="600"/>
      <c r="CK214" s="600"/>
      <c r="CL214" s="599">
        <v>2013</v>
      </c>
      <c r="CM214" s="600"/>
      <c r="CN214" s="600"/>
      <c r="CO214" s="600"/>
      <c r="CP214" s="600"/>
      <c r="CQ214" s="600"/>
      <c r="CR214" s="600"/>
      <c r="CS214" s="600"/>
      <c r="CT214" s="600"/>
      <c r="CU214" s="600"/>
      <c r="CV214" s="600"/>
      <c r="CW214" s="601"/>
      <c r="CX214" s="599">
        <v>2014</v>
      </c>
      <c r="CY214" s="600"/>
      <c r="CZ214" s="600"/>
      <c r="DA214" s="600"/>
      <c r="DB214" s="600"/>
      <c r="DC214" s="600"/>
      <c r="DD214" s="600"/>
      <c r="DE214" s="600"/>
      <c r="DF214" s="600"/>
      <c r="DG214" s="600"/>
      <c r="DH214" s="600"/>
      <c r="DI214" s="601"/>
      <c r="DJ214" s="599">
        <v>2015</v>
      </c>
      <c r="DK214" s="600"/>
      <c r="DL214" s="600"/>
      <c r="DM214" s="600"/>
      <c r="DN214" s="600"/>
      <c r="DO214" s="600"/>
      <c r="DP214" s="600"/>
      <c r="DQ214" s="600"/>
      <c r="DR214" s="600"/>
      <c r="DS214" s="600"/>
      <c r="DT214" s="600"/>
      <c r="DU214" s="601"/>
    </row>
    <row r="215" spans="1:187">
      <c r="E215" s="602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7" t="s">
        <v>724</v>
      </c>
      <c r="EI215" s="317" t="s">
        <v>725</v>
      </c>
      <c r="EJ215" s="317" t="s">
        <v>726</v>
      </c>
      <c r="EK215" s="317" t="s">
        <v>727</v>
      </c>
      <c r="EL215" s="317" t="s">
        <v>728</v>
      </c>
      <c r="EM215" s="317" t="s">
        <v>729</v>
      </c>
      <c r="EN215" s="317" t="s">
        <v>730</v>
      </c>
      <c r="EO215" s="317" t="s">
        <v>731</v>
      </c>
      <c r="EP215" s="317" t="s">
        <v>732</v>
      </c>
      <c r="EQ215" s="317" t="s">
        <v>733</v>
      </c>
      <c r="ER215" s="317" t="s">
        <v>734</v>
      </c>
      <c r="ES215" s="317" t="s">
        <v>735</v>
      </c>
      <c r="ET215" s="317" t="s">
        <v>742</v>
      </c>
      <c r="EU215" s="317" t="s">
        <v>743</v>
      </c>
      <c r="EV215" s="317" t="s">
        <v>744</v>
      </c>
      <c r="EW215" s="317" t="s">
        <v>745</v>
      </c>
      <c r="EX215" s="317" t="s">
        <v>746</v>
      </c>
      <c r="EY215" s="317" t="s">
        <v>747</v>
      </c>
      <c r="EZ215" s="317" t="s">
        <v>748</v>
      </c>
      <c r="FA215" s="317" t="s">
        <v>749</v>
      </c>
      <c r="FB215" s="317" t="s">
        <v>750</v>
      </c>
      <c r="FC215" s="317" t="s">
        <v>751</v>
      </c>
      <c r="FD215" s="317" t="s">
        <v>752</v>
      </c>
      <c r="FE215" s="317" t="s">
        <v>753</v>
      </c>
      <c r="FF215" s="317" t="s">
        <v>758</v>
      </c>
      <c r="FG215" s="317" t="s">
        <v>759</v>
      </c>
      <c r="FH215" s="317" t="s">
        <v>760</v>
      </c>
      <c r="FI215" s="317" t="s">
        <v>761</v>
      </c>
      <c r="FJ215" s="317" t="s">
        <v>762</v>
      </c>
      <c r="FK215" s="317" t="s">
        <v>763</v>
      </c>
      <c r="FL215" s="317" t="s">
        <v>764</v>
      </c>
      <c r="FM215" s="317" t="s">
        <v>765</v>
      </c>
      <c r="FN215" s="317" t="s">
        <v>766</v>
      </c>
      <c r="FO215" s="317" t="s">
        <v>767</v>
      </c>
      <c r="FP215" s="317" t="s">
        <v>768</v>
      </c>
      <c r="FQ215" s="317" t="s">
        <v>769</v>
      </c>
      <c r="FR215" s="41" t="s">
        <v>777</v>
      </c>
      <c r="FS215" s="347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6">
        <v>60295851.510000005</v>
      </c>
      <c r="EU218" s="326">
        <v>64797597.330000006</v>
      </c>
      <c r="EV218" s="326">
        <v>89261850.609999985</v>
      </c>
      <c r="EW218" s="326">
        <v>97799793.080000013</v>
      </c>
      <c r="EX218" s="326">
        <v>90553351.069999993</v>
      </c>
      <c r="EY218" s="326">
        <v>87503254.430000007</v>
      </c>
      <c r="EZ218" s="326">
        <v>99397799.482830197</v>
      </c>
      <c r="FA218" s="326">
        <v>110357770.3498607</v>
      </c>
      <c r="FB218" s="326">
        <v>102093047.15872496</v>
      </c>
      <c r="FC218" s="326">
        <v>95698512.829288453</v>
      </c>
      <c r="FD218" s="326">
        <v>82424829.046484277</v>
      </c>
      <c r="FE218" s="326">
        <v>98213532.499999791</v>
      </c>
      <c r="FF218" s="348">
        <v>72429730.420000002</v>
      </c>
      <c r="FG218" s="348">
        <v>68470908.439999998</v>
      </c>
      <c r="FH218" s="348">
        <v>98709545.510000005</v>
      </c>
      <c r="FI218" s="348">
        <v>106791818.52</v>
      </c>
      <c r="FJ218" s="348">
        <v>94372185.030000001</v>
      </c>
      <c r="FK218" s="348">
        <v>89389439.689999998</v>
      </c>
      <c r="FL218" s="348">
        <v>106366803.00672032</v>
      </c>
      <c r="FM218" s="348">
        <v>110847613.63774106</v>
      </c>
      <c r="FN218" s="348">
        <f>105712748.66474-4000000</f>
        <v>101712748.66474</v>
      </c>
      <c r="FO218" s="348">
        <f>92295636.2285859+4000000</f>
        <v>96295636.228585899</v>
      </c>
      <c r="FP218" s="348">
        <v>84393107.743797168</v>
      </c>
      <c r="FQ218" s="348">
        <v>92890414.095145509</v>
      </c>
      <c r="FR218" s="434">
        <f>SUM(FR219:FR226)</f>
        <v>73320205.209999993</v>
      </c>
      <c r="FS218" s="434">
        <f t="shared" ref="FS218:FW218" si="24">SUM(FS219:FS226)</f>
        <v>69683087.399999991</v>
      </c>
      <c r="FT218" s="434">
        <f t="shared" si="24"/>
        <v>105613736.66000001</v>
      </c>
      <c r="FU218" s="434">
        <f t="shared" si="24"/>
        <v>83521974.920000002</v>
      </c>
      <c r="FV218" s="434">
        <f t="shared" si="24"/>
        <v>69752758.120000005</v>
      </c>
      <c r="FW218" s="434">
        <f t="shared" si="24"/>
        <v>82125472.672907159</v>
      </c>
      <c r="FX218" s="434">
        <f>SUM(FX219:FX226)</f>
        <v>97440527.99295114</v>
      </c>
      <c r="FY218" s="434">
        <f t="shared" ref="FY218" si="25">SUM(FY219:FY226)</f>
        <v>102835982.17822319</v>
      </c>
      <c r="FZ218" s="434">
        <f t="shared" ref="FZ218" si="26">SUM(FZ219:FZ226)</f>
        <v>99861898.573637322</v>
      </c>
      <c r="GA218" s="434">
        <f t="shared" ref="GA218" si="27">SUM(GA219:GA226)</f>
        <v>96098494.299763739</v>
      </c>
      <c r="GB218" s="434">
        <f t="shared" ref="GB218" si="28">SUM(GB219:GB226)</f>
        <v>81549422.466298312</v>
      </c>
      <c r="GC218" s="434">
        <f t="shared" ref="GC218" si="29">SUM(GC219:GC226)</f>
        <v>93633799.201363876</v>
      </c>
      <c r="GE218" s="427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8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8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8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8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8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8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8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8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6">
        <v>14572676.99</v>
      </c>
      <c r="EU227" s="326">
        <v>36938118.07</v>
      </c>
      <c r="EV227" s="326">
        <v>43053255.970000006</v>
      </c>
      <c r="EW227" s="326">
        <v>41029948.000000007</v>
      </c>
      <c r="EX227" s="326">
        <v>40388291.549999997</v>
      </c>
      <c r="EY227" s="326">
        <v>42077356.240000002</v>
      </c>
      <c r="EZ227" s="326">
        <v>46362054.926801726</v>
      </c>
      <c r="FA227" s="326">
        <v>45724084.253699668</v>
      </c>
      <c r="FB227" s="326">
        <v>41947258.969554022</v>
      </c>
      <c r="FC227" s="326">
        <v>44433442.802094914</v>
      </c>
      <c r="FD227" s="326">
        <v>45788790.684398532</v>
      </c>
      <c r="FE227" s="326">
        <v>79938550.463845864</v>
      </c>
      <c r="FF227" s="348">
        <v>16498881.48</v>
      </c>
      <c r="FG227" s="348">
        <v>41912269.38000001</v>
      </c>
      <c r="FH227" s="348">
        <v>41047599.18</v>
      </c>
      <c r="FI227" s="348">
        <v>50290988.940000005</v>
      </c>
      <c r="FJ227" s="348">
        <v>37496285.130000003</v>
      </c>
      <c r="FK227" s="348">
        <v>45280786.510000005</v>
      </c>
      <c r="FL227" s="348">
        <v>46250891.035691187</v>
      </c>
      <c r="FM227" s="348">
        <v>44632014.674295112</v>
      </c>
      <c r="FN227" s="348">
        <v>41120271.333377153</v>
      </c>
      <c r="FO227" s="348">
        <v>46928850.635902815</v>
      </c>
      <c r="FP227" s="348">
        <v>44128259.697538294</v>
      </c>
      <c r="FQ227" s="348">
        <v>78626416.07852602</v>
      </c>
      <c r="FR227" s="434">
        <f>SUM(FR228:FR231)</f>
        <v>15749286.220000001</v>
      </c>
      <c r="FS227" s="434">
        <f t="shared" ref="FS227:GC227" si="36">SUM(FS228:FS231)</f>
        <v>42574769.890000001</v>
      </c>
      <c r="FT227" s="434">
        <f t="shared" si="36"/>
        <v>44888756.57</v>
      </c>
      <c r="FU227" s="434">
        <f t="shared" si="36"/>
        <v>33882602.5</v>
      </c>
      <c r="FV227" s="434">
        <f t="shared" si="36"/>
        <v>40418289.450000003</v>
      </c>
      <c r="FW227" s="434">
        <f t="shared" si="36"/>
        <v>39209561.537363522</v>
      </c>
      <c r="FX227" s="434">
        <f t="shared" si="36"/>
        <v>39824401.286702745</v>
      </c>
      <c r="FY227" s="434">
        <f t="shared" si="36"/>
        <v>37466342.331191912</v>
      </c>
      <c r="FZ227" s="434">
        <f t="shared" si="36"/>
        <v>35714950.117071614</v>
      </c>
      <c r="GA227" s="434">
        <f t="shared" si="36"/>
        <v>56930028.965902433</v>
      </c>
      <c r="GB227" s="434">
        <f t="shared" si="36"/>
        <v>36060885.689019322</v>
      </c>
      <c r="GC227" s="434">
        <f t="shared" si="36"/>
        <v>69780505.759044364</v>
      </c>
      <c r="GE227" s="427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8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8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8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8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6">
        <v>785627.23999999987</v>
      </c>
      <c r="EU232" s="326">
        <v>993423.94</v>
      </c>
      <c r="EV232" s="326">
        <v>1089343.29</v>
      </c>
      <c r="EW232" s="326">
        <v>1198538.77</v>
      </c>
      <c r="EX232" s="326">
        <v>1382138.7799999998</v>
      </c>
      <c r="EY232" s="326">
        <v>1539773.02</v>
      </c>
      <c r="EZ232" s="326">
        <v>1993333.2050530105</v>
      </c>
      <c r="FA232" s="326">
        <v>2094009.8411112905</v>
      </c>
      <c r="FB232" s="326">
        <v>1758705.3100069393</v>
      </c>
      <c r="FC232" s="326">
        <v>1756312.8353634721</v>
      </c>
      <c r="FD232" s="326">
        <v>1538063.0039378535</v>
      </c>
      <c r="FE232" s="326">
        <v>1571199.152751297</v>
      </c>
      <c r="FF232" s="348">
        <v>851162.27</v>
      </c>
      <c r="FG232" s="348">
        <v>1041125.3899999999</v>
      </c>
      <c r="FH232" s="348">
        <v>1066481.8799999999</v>
      </c>
      <c r="FI232" s="348">
        <v>1290371.49</v>
      </c>
      <c r="FJ232" s="348">
        <v>1208813.17</v>
      </c>
      <c r="FK232" s="348">
        <v>1252534.6599999999</v>
      </c>
      <c r="FL232" s="348">
        <v>1795731.4641523927</v>
      </c>
      <c r="FM232" s="348">
        <v>1701456.5372229549</v>
      </c>
      <c r="FN232" s="348">
        <v>1388736.0694359436</v>
      </c>
      <c r="FO232" s="348">
        <v>1341528.8515351652</v>
      </c>
      <c r="FP232" s="348">
        <v>1134405.6022195939</v>
      </c>
      <c r="FQ232" s="348">
        <v>1246141.5409339513</v>
      </c>
      <c r="FR232" s="434">
        <f>SUM(FR233:FR236)</f>
        <v>669819.01</v>
      </c>
      <c r="FS232" s="434">
        <f t="shared" ref="FS232:GC232" si="39">SUM(FS233:FS236)</f>
        <v>845756.92</v>
      </c>
      <c r="FT232" s="434">
        <f t="shared" si="39"/>
        <v>720374.53</v>
      </c>
      <c r="FU232" s="434">
        <f t="shared" si="39"/>
        <v>316937.24</v>
      </c>
      <c r="FV232" s="434">
        <f t="shared" si="39"/>
        <v>469045.42</v>
      </c>
      <c r="FW232" s="434">
        <f t="shared" si="39"/>
        <v>1161870.8532355535</v>
      </c>
      <c r="FX232" s="434">
        <f t="shared" si="39"/>
        <v>1673430.2546007757</v>
      </c>
      <c r="FY232" s="434">
        <f t="shared" si="39"/>
        <v>1388372.9389781314</v>
      </c>
      <c r="FZ232" s="434">
        <f t="shared" si="39"/>
        <v>1416214.8034873675</v>
      </c>
      <c r="GA232" s="434">
        <f t="shared" si="39"/>
        <v>1276386.1061063381</v>
      </c>
      <c r="GB232" s="434">
        <f t="shared" si="39"/>
        <v>963348.80250703567</v>
      </c>
      <c r="GC232" s="434">
        <f t="shared" si="39"/>
        <v>1285597.5253147981</v>
      </c>
      <c r="GE232" s="427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8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8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8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8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6">
        <v>1774503.5699999998</v>
      </c>
      <c r="EU237" s="326">
        <v>1885893.46</v>
      </c>
      <c r="EV237" s="326">
        <v>2001213.06</v>
      </c>
      <c r="EW237" s="326">
        <v>2389766.7799999998</v>
      </c>
      <c r="EX237" s="326">
        <v>1530724.52</v>
      </c>
      <c r="EY237" s="326">
        <v>2860047.35</v>
      </c>
      <c r="EZ237" s="326">
        <v>2768982.89609381</v>
      </c>
      <c r="FA237" s="326">
        <v>1878964.846878767</v>
      </c>
      <c r="FB237" s="326">
        <v>2453431.0919642458</v>
      </c>
      <c r="FC237" s="326">
        <v>3062621.0292725526</v>
      </c>
      <c r="FD237" s="326">
        <v>2157522.0205821833</v>
      </c>
      <c r="FE237" s="326">
        <v>3364455.4723437326</v>
      </c>
      <c r="FF237" s="348">
        <v>2315003.25</v>
      </c>
      <c r="FG237" s="348">
        <v>1541397.86</v>
      </c>
      <c r="FH237" s="348">
        <v>2408517.5</v>
      </c>
      <c r="FI237" s="348">
        <v>3310133.38</v>
      </c>
      <c r="FJ237" s="348">
        <v>1792591.2</v>
      </c>
      <c r="FK237" s="348">
        <v>2081141.31</v>
      </c>
      <c r="FL237" s="348">
        <v>3811615.3822946725</v>
      </c>
      <c r="FM237" s="348">
        <v>2369139.8885664819</v>
      </c>
      <c r="FN237" s="348">
        <v>2509036.584840606</v>
      </c>
      <c r="FO237" s="348">
        <v>3286740.3746407013</v>
      </c>
      <c r="FP237" s="348">
        <v>2611990.4957672656</v>
      </c>
      <c r="FQ237" s="348">
        <v>3353537.6354902741</v>
      </c>
      <c r="FR237" s="434">
        <f>SUM(FR238:FR243)</f>
        <v>2226726.9299999997</v>
      </c>
      <c r="FS237" s="434">
        <f t="shared" ref="FS237:GC237" si="42">SUM(FS238:FS243)</f>
        <v>2200614.79</v>
      </c>
      <c r="FT237" s="434">
        <f t="shared" si="42"/>
        <v>1317967.9100000001</v>
      </c>
      <c r="FU237" s="434">
        <f t="shared" si="42"/>
        <v>1597851.3599999999</v>
      </c>
      <c r="FV237" s="434">
        <f t="shared" si="42"/>
        <v>1673853.74</v>
      </c>
      <c r="FW237" s="434">
        <f t="shared" si="42"/>
        <v>2179490.8743573632</v>
      </c>
      <c r="FX237" s="434">
        <f t="shared" si="42"/>
        <v>2571108.8359225746</v>
      </c>
      <c r="FY237" s="434">
        <f t="shared" si="42"/>
        <v>1825380.5890086682</v>
      </c>
      <c r="FZ237" s="434">
        <f t="shared" si="42"/>
        <v>2163813.0387331629</v>
      </c>
      <c r="GA237" s="434">
        <f t="shared" si="42"/>
        <v>1995229.2228867295</v>
      </c>
      <c r="GB237" s="434">
        <f t="shared" si="42"/>
        <v>1517691.0449207788</v>
      </c>
      <c r="GC237" s="434">
        <f t="shared" si="42"/>
        <v>3555523.5622207262</v>
      </c>
      <c r="GE237" s="427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8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8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8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8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8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8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6">
        <v>2425520.8099999996</v>
      </c>
      <c r="EU244" s="326">
        <v>1609741.96</v>
      </c>
      <c r="EV244" s="326">
        <v>2046839.3099999998</v>
      </c>
      <c r="EW244" s="326">
        <v>5482431.4299999997</v>
      </c>
      <c r="EX244" s="326">
        <v>2151437.83</v>
      </c>
      <c r="EY244" s="326">
        <v>2740294.16</v>
      </c>
      <c r="EZ244" s="326">
        <v>3610099.6149461018</v>
      </c>
      <c r="FA244" s="326">
        <v>2856432.7673175023</v>
      </c>
      <c r="FB244" s="326">
        <v>38693622.019299239</v>
      </c>
      <c r="FC244" s="326">
        <v>3080614.3453884441</v>
      </c>
      <c r="FD244" s="326">
        <v>2054798.3756645597</v>
      </c>
      <c r="FE244" s="326">
        <v>4981072.0471647922</v>
      </c>
      <c r="FF244" s="348">
        <v>1567288.04</v>
      </c>
      <c r="FG244" s="348">
        <v>2199531.1</v>
      </c>
      <c r="FH244" s="348">
        <v>3194097.81</v>
      </c>
      <c r="FI244" s="348">
        <v>2385711.15</v>
      </c>
      <c r="FJ244" s="348">
        <v>7159438.3900000006</v>
      </c>
      <c r="FK244" s="348">
        <v>3263135.44</v>
      </c>
      <c r="FL244" s="348">
        <v>3782335.0282840966</v>
      </c>
      <c r="FM244" s="348">
        <v>3340173.0404689522</v>
      </c>
      <c r="FN244" s="348">
        <f>37689732.0664406-35000000</f>
        <v>2689732.0664405972</v>
      </c>
      <c r="FO244" s="348">
        <f>2215962.80977053+35000000</f>
        <v>37215962.809770532</v>
      </c>
      <c r="FP244" s="348">
        <v>3512092.3071244648</v>
      </c>
      <c r="FQ244" s="348">
        <v>7138953.7303113183</v>
      </c>
      <c r="FR244" s="434">
        <f>SUM(FR245:FR248)</f>
        <v>1484714.27</v>
      </c>
      <c r="FS244" s="434">
        <f t="shared" ref="FS244:GC244" si="46">SUM(FS245:FS248)</f>
        <v>2100277.88</v>
      </c>
      <c r="FT244" s="434">
        <f t="shared" si="46"/>
        <v>4248499.3600000003</v>
      </c>
      <c r="FU244" s="434">
        <f t="shared" si="46"/>
        <v>1617752.3800000001</v>
      </c>
      <c r="FV244" s="434">
        <f t="shared" si="46"/>
        <v>1237245.3599999999</v>
      </c>
      <c r="FW244" s="434">
        <f t="shared" si="46"/>
        <v>2257816.068284105</v>
      </c>
      <c r="FX244" s="434">
        <f t="shared" si="46"/>
        <v>5692253.8149066633</v>
      </c>
      <c r="FY244" s="434">
        <f t="shared" si="46"/>
        <v>4621203.3620386366</v>
      </c>
      <c r="FZ244" s="434">
        <f t="shared" si="46"/>
        <v>17537126.915220708</v>
      </c>
      <c r="GA244" s="434">
        <f t="shared" si="46"/>
        <v>3831817.5735939299</v>
      </c>
      <c r="GB244" s="434">
        <f t="shared" si="46"/>
        <v>3619302.6260553906</v>
      </c>
      <c r="GC244" s="434">
        <f t="shared" si="46"/>
        <v>4678583.5639540665</v>
      </c>
      <c r="GE244" s="427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8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8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8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8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4">
        <v>62782.51</v>
      </c>
      <c r="FS249" s="434">
        <v>437988.22</v>
      </c>
      <c r="FT249" s="434">
        <v>603218.21</v>
      </c>
      <c r="FU249" s="434">
        <v>198578.39</v>
      </c>
      <c r="FV249" s="434">
        <v>270349.07</v>
      </c>
      <c r="FW249" s="434">
        <v>632440.5</v>
      </c>
      <c r="FX249" s="434">
        <v>632440.5</v>
      </c>
      <c r="FY249" s="434">
        <v>632440.5</v>
      </c>
      <c r="FZ249" s="434">
        <v>632440.5</v>
      </c>
      <c r="GA249" s="434">
        <v>632440.5</v>
      </c>
      <c r="GB249" s="434">
        <v>632440.5</v>
      </c>
      <c r="GC249" s="434">
        <v>632440.6</v>
      </c>
      <c r="GD249" s="350"/>
      <c r="GE249" s="427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4">
        <v>80819.179999999993</v>
      </c>
      <c r="FS252" s="434">
        <v>813727.89</v>
      </c>
      <c r="FT252" s="434">
        <v>794561.22</v>
      </c>
      <c r="FU252" s="434">
        <v>561040.23</v>
      </c>
      <c r="FV252" s="434">
        <v>218800.94</v>
      </c>
      <c r="FW252" s="434">
        <v>172752.84814830567</v>
      </c>
      <c r="FX252" s="434">
        <v>621585.63801238476</v>
      </c>
      <c r="FY252" s="434">
        <v>1170088.8491047423</v>
      </c>
      <c r="FZ252" s="434">
        <v>665799.08079606481</v>
      </c>
      <c r="GA252" s="434">
        <v>9201611.3215604126</v>
      </c>
      <c r="GB252" s="434">
        <v>1305018.6190754015</v>
      </c>
      <c r="GC252" s="434">
        <v>1507066.6233026888</v>
      </c>
      <c r="GE252" s="427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8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4">
        <v>754264.83</v>
      </c>
      <c r="FS255" s="434">
        <v>1636489.54</v>
      </c>
      <c r="FT255" s="434">
        <v>3512551.56</v>
      </c>
      <c r="FU255" s="434">
        <v>2957605.59</v>
      </c>
      <c r="FV255" s="434">
        <v>1856477.6183333334</v>
      </c>
      <c r="FW255" s="434">
        <v>2156477.6183333299</v>
      </c>
      <c r="FX255" s="434">
        <v>1856477.6183333334</v>
      </c>
      <c r="FY255" s="434">
        <v>1856477.6183333334</v>
      </c>
      <c r="FZ255" s="434">
        <v>25000000</v>
      </c>
      <c r="GA255" s="434">
        <v>1856477.6183333334</v>
      </c>
      <c r="GB255" s="434">
        <v>1856477.6183333334</v>
      </c>
      <c r="GC255" s="434">
        <v>4700000</v>
      </c>
      <c r="GE255" s="427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5">
        <f t="shared" si="48"/>
        <v>0</v>
      </c>
      <c r="CO259" s="325">
        <f t="shared" si="48"/>
        <v>200000000</v>
      </c>
      <c r="CP259" s="325">
        <f t="shared" si="48"/>
        <v>0</v>
      </c>
      <c r="CQ259" s="325">
        <f t="shared" si="48"/>
        <v>0</v>
      </c>
      <c r="CR259" s="325">
        <f t="shared" si="48"/>
        <v>0</v>
      </c>
      <c r="CS259" s="325">
        <f t="shared" si="48"/>
        <v>0</v>
      </c>
      <c r="CT259" s="325">
        <f t="shared" si="48"/>
        <v>0</v>
      </c>
      <c r="CU259" s="325">
        <f t="shared" si="48"/>
        <v>50000000</v>
      </c>
      <c r="CV259" s="325">
        <f t="shared" si="48"/>
        <v>0</v>
      </c>
      <c r="CW259" s="325">
        <f t="shared" si="48"/>
        <v>0</v>
      </c>
      <c r="CX259" s="325">
        <f t="shared" si="48"/>
        <v>18997964.655235786</v>
      </c>
      <c r="CY259" s="325">
        <f t="shared" ref="CY259:DI259" si="49">+SUM(CY260:CY261)</f>
        <v>18997964.655235786</v>
      </c>
      <c r="CZ259" s="325">
        <f t="shared" si="49"/>
        <v>18997964.655235786</v>
      </c>
      <c r="DA259" s="325">
        <f t="shared" si="49"/>
        <v>18997964.655235786</v>
      </c>
      <c r="DB259" s="325">
        <f t="shared" si="49"/>
        <v>18997964.655235786</v>
      </c>
      <c r="DC259" s="325">
        <f t="shared" si="49"/>
        <v>18997964.655235786</v>
      </c>
      <c r="DD259" s="325">
        <f t="shared" si="49"/>
        <v>18997964.655235786</v>
      </c>
      <c r="DE259" s="325">
        <f t="shared" si="49"/>
        <v>18997964.655235786</v>
      </c>
      <c r="DF259" s="325">
        <f t="shared" si="49"/>
        <v>18997964.655235786</v>
      </c>
      <c r="DG259" s="325">
        <f t="shared" si="49"/>
        <v>18997964.655235786</v>
      </c>
      <c r="DH259" s="325">
        <f t="shared" si="49"/>
        <v>18997964.655235786</v>
      </c>
      <c r="DI259" s="325">
        <f t="shared" si="49"/>
        <v>18997964.655235786</v>
      </c>
      <c r="DJ259" s="325">
        <f>+SUM(DJ260:DJ261)</f>
        <v>52840136.569718093</v>
      </c>
      <c r="DK259" s="325">
        <f t="shared" ref="DK259:DU259" si="50">+SUM(DK260:DK261)</f>
        <v>52840136.569718093</v>
      </c>
      <c r="DL259" s="325">
        <f t="shared" si="50"/>
        <v>52840136.569718093</v>
      </c>
      <c r="DM259" s="325">
        <f t="shared" si="50"/>
        <v>52840136.569718093</v>
      </c>
      <c r="DN259" s="325">
        <f t="shared" si="50"/>
        <v>52840136.569718093</v>
      </c>
      <c r="DO259" s="325">
        <f t="shared" si="50"/>
        <v>52840136.569718093</v>
      </c>
      <c r="DP259" s="325">
        <f t="shared" si="50"/>
        <v>52840136.569718093</v>
      </c>
      <c r="DQ259" s="325">
        <f t="shared" si="50"/>
        <v>52840136.569718093</v>
      </c>
      <c r="DR259" s="325">
        <f t="shared" si="50"/>
        <v>52840136.569718093</v>
      </c>
      <c r="DS259" s="325">
        <f t="shared" si="50"/>
        <v>52840136.569718093</v>
      </c>
      <c r="DT259" s="325">
        <f t="shared" si="50"/>
        <v>52840136.569718093</v>
      </c>
      <c r="DU259" s="325">
        <f t="shared" si="50"/>
        <v>52840136.569718093</v>
      </c>
      <c r="DV259" s="325">
        <f>SUM(DV260:DV261)</f>
        <v>55595756.08804667</v>
      </c>
      <c r="DW259" s="325">
        <f t="shared" ref="DW259:EF259" si="51">SUM(DW260:DW261)</f>
        <v>55595756.08804667</v>
      </c>
      <c r="DX259" s="325">
        <f t="shared" si="51"/>
        <v>55595756.08804667</v>
      </c>
      <c r="DY259" s="325">
        <f t="shared" si="51"/>
        <v>55595756.08804667</v>
      </c>
      <c r="DZ259" s="325">
        <f t="shared" si="51"/>
        <v>55595756.08804667</v>
      </c>
      <c r="EA259" s="325">
        <f t="shared" si="51"/>
        <v>55595756.08804667</v>
      </c>
      <c r="EB259" s="325">
        <f t="shared" si="51"/>
        <v>55595756.08804667</v>
      </c>
      <c r="EC259" s="325">
        <f t="shared" si="51"/>
        <v>55595756.08804667</v>
      </c>
      <c r="ED259" s="325">
        <f t="shared" si="51"/>
        <v>55595756.08804667</v>
      </c>
      <c r="EE259" s="325">
        <f t="shared" si="51"/>
        <v>55595756.08804667</v>
      </c>
      <c r="EF259" s="325">
        <f t="shared" si="51"/>
        <v>55595756.08804667</v>
      </c>
      <c r="EG259" s="325">
        <f>SUM(EG260:EG261)</f>
        <v>55595756.08804667</v>
      </c>
      <c r="EH259" s="325">
        <f t="shared" ref="EH259:ES259" si="52">SUM(EH260:EH261)</f>
        <v>37847818.636239164</v>
      </c>
      <c r="EI259" s="325">
        <f t="shared" si="52"/>
        <v>37847818.636239164</v>
      </c>
      <c r="EJ259" s="325">
        <f t="shared" si="52"/>
        <v>37847818.636239164</v>
      </c>
      <c r="EK259" s="325">
        <f t="shared" si="52"/>
        <v>37847818.636239164</v>
      </c>
      <c r="EL259" s="325">
        <f t="shared" si="52"/>
        <v>37847818.636239164</v>
      </c>
      <c r="EM259" s="325">
        <f t="shared" si="52"/>
        <v>37847818.636239164</v>
      </c>
      <c r="EN259" s="325">
        <f t="shared" si="52"/>
        <v>37847818.636239164</v>
      </c>
      <c r="EO259" s="325">
        <f t="shared" si="52"/>
        <v>37847818.636239164</v>
      </c>
      <c r="EP259" s="325">
        <f t="shared" si="52"/>
        <v>37847818.636239164</v>
      </c>
      <c r="EQ259" s="325">
        <f t="shared" si="52"/>
        <v>37847818.636239164</v>
      </c>
      <c r="ER259" s="325">
        <f t="shared" si="52"/>
        <v>37847818.636239164</v>
      </c>
      <c r="ES259" s="325">
        <f t="shared" si="52"/>
        <v>37847818.636239164</v>
      </c>
      <c r="ET259" s="325"/>
      <c r="EU259" s="325"/>
      <c r="EV259" s="325"/>
      <c r="EW259" s="325"/>
      <c r="EX259" s="325"/>
      <c r="EY259" s="325"/>
      <c r="EZ259" s="325"/>
      <c r="FA259" s="325"/>
      <c r="FB259" s="325"/>
      <c r="FC259" s="325"/>
      <c r="FD259" s="325"/>
      <c r="FE259" s="325"/>
      <c r="FF259" s="325">
        <v>24022843.850000001</v>
      </c>
      <c r="FG259" s="325">
        <v>0</v>
      </c>
      <c r="FH259" s="325">
        <v>107399337.39</v>
      </c>
      <c r="FI259" s="325">
        <v>15000000</v>
      </c>
      <c r="FJ259" s="325">
        <v>112000000</v>
      </c>
      <c r="FK259" s="325">
        <v>17000000</v>
      </c>
      <c r="FL259" s="325">
        <v>17000000</v>
      </c>
      <c r="FM259" s="325">
        <v>15000000</v>
      </c>
      <c r="FN259" s="325">
        <v>17000000</v>
      </c>
      <c r="FO259" s="325">
        <v>17000000</v>
      </c>
      <c r="FP259" s="325">
        <v>15000000</v>
      </c>
      <c r="FQ259" s="325">
        <v>13983087.501553783</v>
      </c>
      <c r="FR259" s="325">
        <f>SUM(FR260:FR261)</f>
        <v>316564.84000000003</v>
      </c>
      <c r="FS259" s="325">
        <f t="shared" ref="FS259:GC259" si="53">SUM(FS260:FS261)</f>
        <v>1511136.76</v>
      </c>
      <c r="FT259" s="325">
        <f t="shared" si="53"/>
        <v>3834054.75</v>
      </c>
      <c r="FU259" s="325">
        <f t="shared" si="53"/>
        <v>4493810.3600000003</v>
      </c>
      <c r="FV259" s="325">
        <f t="shared" si="53"/>
        <v>250307576.15000001</v>
      </c>
      <c r="FW259" s="325">
        <f t="shared" si="53"/>
        <v>10146635.998571429</v>
      </c>
      <c r="FX259" s="325">
        <f t="shared" si="53"/>
        <v>10146635.998571429</v>
      </c>
      <c r="FY259" s="325">
        <f t="shared" si="53"/>
        <v>10146635.998571429</v>
      </c>
      <c r="FZ259" s="325">
        <f t="shared" si="53"/>
        <v>10146635.998571429</v>
      </c>
      <c r="GA259" s="325">
        <f t="shared" si="53"/>
        <v>10146635.998571429</v>
      </c>
      <c r="GB259" s="325">
        <f t="shared" si="53"/>
        <v>10146635.998571429</v>
      </c>
      <c r="GC259" s="325">
        <f t="shared" si="53"/>
        <v>10146635.998571429</v>
      </c>
      <c r="GE259" s="427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7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5">
        <v>36581480.009166665</v>
      </c>
      <c r="EU264" s="325">
        <v>36581480.009166665</v>
      </c>
      <c r="EV264" s="325">
        <v>36581480.009166665</v>
      </c>
      <c r="EW264" s="325">
        <v>36581480.009166665</v>
      </c>
      <c r="EX264" s="325">
        <v>36581480.009166665</v>
      </c>
      <c r="EY264" s="325">
        <v>36581480.009166665</v>
      </c>
      <c r="EZ264" s="325">
        <v>36581480.009166665</v>
      </c>
      <c r="FA264" s="325">
        <v>36581480.009166665</v>
      </c>
      <c r="FB264" s="325">
        <v>42330489.099166654</v>
      </c>
      <c r="FC264" s="325">
        <v>42330489.099166654</v>
      </c>
      <c r="FD264" s="325">
        <v>42330489.099166654</v>
      </c>
      <c r="FE264" s="325">
        <v>42330489.099166654</v>
      </c>
      <c r="FF264" s="325">
        <v>39362332.101666681</v>
      </c>
      <c r="FG264" s="325">
        <v>39125646.701666676</v>
      </c>
      <c r="FH264" s="325">
        <v>39113380.221666679</v>
      </c>
      <c r="FI264" s="325">
        <v>39105431.161666669</v>
      </c>
      <c r="FJ264" s="325">
        <v>39107573.981666677</v>
      </c>
      <c r="FK264" s="325">
        <v>41935580.18166668</v>
      </c>
      <c r="FL264" s="325">
        <v>39107470.111666672</v>
      </c>
      <c r="FM264" s="325">
        <v>39093383.891666673</v>
      </c>
      <c r="FN264" s="325">
        <v>39030288.911666676</v>
      </c>
      <c r="FO264" s="325">
        <v>39107584.94166667</v>
      </c>
      <c r="FP264" s="325">
        <v>39107395.941666678</v>
      </c>
      <c r="FQ264" s="325">
        <v>38858179.001666702</v>
      </c>
      <c r="FR264" s="325">
        <v>40884882.280000001</v>
      </c>
      <c r="FS264" s="325">
        <v>41362850.270000003</v>
      </c>
      <c r="FT264" s="325">
        <v>41444412.079999998</v>
      </c>
      <c r="FU264" s="325">
        <v>41745440.189999998</v>
      </c>
      <c r="FV264" s="325">
        <v>40757623.899999999</v>
      </c>
      <c r="FW264" s="325">
        <v>41753797.367142849</v>
      </c>
      <c r="FX264" s="325">
        <v>41753797.367142849</v>
      </c>
      <c r="FY264" s="325">
        <v>41753797.367142849</v>
      </c>
      <c r="FZ264" s="325">
        <v>41753797.367142849</v>
      </c>
      <c r="GA264" s="325">
        <v>41753797.367142849</v>
      </c>
      <c r="GB264" s="325">
        <v>41753797.367142849</v>
      </c>
      <c r="GC264" s="325">
        <v>41753797.367142849</v>
      </c>
      <c r="GE264" s="427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8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8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8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8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8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5">
        <v>1045765.8483333333</v>
      </c>
      <c r="EU270" s="325">
        <v>1045765.8483333333</v>
      </c>
      <c r="EV270" s="325">
        <v>1045765.8483333333</v>
      </c>
      <c r="EW270" s="325">
        <v>1064654.7372222226</v>
      </c>
      <c r="EX270" s="325">
        <v>1064654.7372222226</v>
      </c>
      <c r="EY270" s="325">
        <v>1064654.7372222226</v>
      </c>
      <c r="EZ270" s="325">
        <v>1064654.7372222226</v>
      </c>
      <c r="FA270" s="325">
        <v>1064654.7372222226</v>
      </c>
      <c r="FB270" s="325">
        <v>1064654.7372222201</v>
      </c>
      <c r="FC270" s="325">
        <v>1064654.7372222201</v>
      </c>
      <c r="FD270" s="325">
        <v>1064654.7372222226</v>
      </c>
      <c r="FE270" s="325">
        <v>1608087.7372222189</v>
      </c>
      <c r="FF270" s="325">
        <v>1281057.9508333332</v>
      </c>
      <c r="FG270" s="325">
        <v>1323983.3608333331</v>
      </c>
      <c r="FH270" s="325">
        <v>1260740.2808333333</v>
      </c>
      <c r="FI270" s="325">
        <v>1247473.6108333331</v>
      </c>
      <c r="FJ270" s="325">
        <v>1248015.2908333333</v>
      </c>
      <c r="FK270" s="325">
        <v>1249948.9408333332</v>
      </c>
      <c r="FL270" s="325">
        <v>1249158.6208333333</v>
      </c>
      <c r="FM270" s="325">
        <v>1249158.6208333333</v>
      </c>
      <c r="FN270" s="325">
        <v>1249658.6108333331</v>
      </c>
      <c r="FO270" s="325">
        <v>1239658.6108333331</v>
      </c>
      <c r="FP270" s="325">
        <v>1238097.2408333332</v>
      </c>
      <c r="FQ270" s="325">
        <v>1240174.31083333</v>
      </c>
      <c r="FR270" s="325">
        <v>476603.42</v>
      </c>
      <c r="FS270" s="325">
        <v>1082169.6499999999</v>
      </c>
      <c r="FT270" s="325">
        <v>1109472.33</v>
      </c>
      <c r="FU270" s="325">
        <v>652598.81999999995</v>
      </c>
      <c r="FV270" s="325">
        <v>376000.24</v>
      </c>
      <c r="FW270" s="325">
        <v>1605574.7457142856</v>
      </c>
      <c r="FX270" s="325">
        <v>1605574.7457142856</v>
      </c>
      <c r="FY270" s="325">
        <v>1605574.7457142856</v>
      </c>
      <c r="FZ270" s="325">
        <v>1605574.7457142856</v>
      </c>
      <c r="GA270" s="325">
        <v>1605574.7457142856</v>
      </c>
      <c r="GB270" s="325">
        <v>1605574.7457142856</v>
      </c>
      <c r="GC270" s="325">
        <v>1605590.0757142901</v>
      </c>
      <c r="GE270" s="427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30"/>
      <c r="FS271" s="430"/>
      <c r="FT271" s="430"/>
      <c r="FU271" s="430"/>
      <c r="FV271" s="430"/>
      <c r="FW271" s="430"/>
      <c r="FX271" s="430"/>
      <c r="FY271" s="430"/>
      <c r="FZ271" s="430"/>
      <c r="GA271" s="430"/>
      <c r="GB271" s="430"/>
      <c r="GC271" s="430"/>
      <c r="GD271" s="42"/>
      <c r="GE271" s="428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30"/>
      <c r="FS272" s="430"/>
      <c r="FT272" s="430"/>
      <c r="FU272" s="430"/>
      <c r="FV272" s="430"/>
      <c r="FW272" s="430"/>
      <c r="FX272" s="430"/>
      <c r="FY272" s="430"/>
      <c r="FZ272" s="430"/>
      <c r="GA272" s="430"/>
      <c r="GB272" s="430"/>
      <c r="GC272" s="430"/>
      <c r="GD272" s="42"/>
      <c r="GE272" s="428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30"/>
      <c r="FS273" s="430"/>
      <c r="FT273" s="430"/>
      <c r="FU273" s="430"/>
      <c r="FV273" s="430"/>
      <c r="FW273" s="430"/>
      <c r="FX273" s="430"/>
      <c r="FY273" s="430"/>
      <c r="FZ273" s="430"/>
      <c r="GA273" s="430"/>
      <c r="GB273" s="430"/>
      <c r="GC273" s="430"/>
      <c r="GD273" s="42"/>
      <c r="GE273" s="428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30"/>
      <c r="FS274" s="430"/>
      <c r="FT274" s="430"/>
      <c r="FU274" s="430"/>
      <c r="FV274" s="430"/>
      <c r="FW274" s="430"/>
      <c r="FX274" s="430"/>
      <c r="FY274" s="430"/>
      <c r="FZ274" s="430"/>
      <c r="GA274" s="430"/>
      <c r="GB274" s="430"/>
      <c r="GC274" s="430"/>
      <c r="GD274" s="42"/>
      <c r="GE274" s="428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30"/>
      <c r="FS275" s="430"/>
      <c r="FT275" s="430"/>
      <c r="FU275" s="430"/>
      <c r="FV275" s="430"/>
      <c r="FW275" s="430"/>
      <c r="FX275" s="430"/>
      <c r="FY275" s="430"/>
      <c r="FZ275" s="430"/>
      <c r="GA275" s="430"/>
      <c r="GB275" s="430"/>
      <c r="GC275" s="430"/>
      <c r="GD275" s="42"/>
      <c r="GE275" s="428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8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30"/>
      <c r="FS277" s="430"/>
      <c r="FT277" s="430"/>
      <c r="FU277" s="430"/>
      <c r="FV277" s="430"/>
      <c r="FW277" s="430"/>
      <c r="FX277" s="430"/>
      <c r="FY277" s="430"/>
      <c r="FZ277" s="430"/>
      <c r="GA277" s="430"/>
      <c r="GB277" s="430"/>
      <c r="GC277" s="430"/>
      <c r="GD277" s="42"/>
      <c r="GE277" s="428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5">
        <v>2429373.3213333334</v>
      </c>
      <c r="EU278" s="325">
        <v>2429373.3213333334</v>
      </c>
      <c r="EV278" s="325">
        <v>2429373.3213333334</v>
      </c>
      <c r="EW278" s="325">
        <v>2429373.3213333334</v>
      </c>
      <c r="EX278" s="325">
        <v>2429373.3213333334</v>
      </c>
      <c r="EY278" s="325">
        <v>2429373.3213333334</v>
      </c>
      <c r="EZ278" s="325">
        <v>3644059.9819999994</v>
      </c>
      <c r="FA278" s="325">
        <v>3644059.9819999994</v>
      </c>
      <c r="FB278" s="325">
        <v>4454463.4019999988</v>
      </c>
      <c r="FC278" s="325">
        <v>4454463.4019999988</v>
      </c>
      <c r="FD278" s="325">
        <v>4454463.4019999988</v>
      </c>
      <c r="FE278" s="325">
        <v>4454463.4019999988</v>
      </c>
      <c r="FF278" s="325">
        <v>3067786.435833334</v>
      </c>
      <c r="FG278" s="325">
        <v>3019826.0658333339</v>
      </c>
      <c r="FH278" s="325">
        <v>3058309.8858333337</v>
      </c>
      <c r="FI278" s="325">
        <v>3046755.8058333341</v>
      </c>
      <c r="FJ278" s="325">
        <v>3057105.8058333341</v>
      </c>
      <c r="FK278" s="325">
        <v>3056755.8058333341</v>
      </c>
      <c r="FL278" s="325">
        <v>3059180.8058333341</v>
      </c>
      <c r="FM278" s="325">
        <v>3059180.8058333341</v>
      </c>
      <c r="FN278" s="325">
        <v>3059040.8058333341</v>
      </c>
      <c r="FO278" s="325">
        <v>3063161.8058333341</v>
      </c>
      <c r="FP278" s="325">
        <v>3060771.8058333341</v>
      </c>
      <c r="FQ278" s="325">
        <v>3044951.8258333337</v>
      </c>
      <c r="FR278" s="325">
        <v>845574.4</v>
      </c>
      <c r="FS278" s="325">
        <v>4271561.3099999996</v>
      </c>
      <c r="FT278" s="325">
        <v>2456800.5</v>
      </c>
      <c r="FU278" s="325">
        <v>3001224.56</v>
      </c>
      <c r="FV278" s="325">
        <v>1835726.56</v>
      </c>
      <c r="FW278" s="325">
        <v>3331584.2171428567</v>
      </c>
      <c r="FX278" s="325">
        <v>3331584.2171428567</v>
      </c>
      <c r="FY278" s="325">
        <v>2665267.3737142859</v>
      </c>
      <c r="FZ278" s="325">
        <v>3331584.2171428567</v>
      </c>
      <c r="GA278" s="325">
        <v>3331584.2171428567</v>
      </c>
      <c r="GB278" s="325">
        <v>3331584.2171428567</v>
      </c>
      <c r="GC278" s="325">
        <v>3997910.8964734701</v>
      </c>
      <c r="GE278" s="427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8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8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8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8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8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8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5">
        <v>3986420.5893333331</v>
      </c>
      <c r="EU285" s="325">
        <v>3986420.5893333331</v>
      </c>
      <c r="EV285" s="325">
        <v>3986420.5893333331</v>
      </c>
      <c r="EW285" s="325">
        <v>4097531.7004444432</v>
      </c>
      <c r="EX285" s="325">
        <v>4097531.7004444432</v>
      </c>
      <c r="EY285" s="325">
        <v>4097531.7004444432</v>
      </c>
      <c r="EZ285" s="325">
        <v>6090741.9951111097</v>
      </c>
      <c r="FA285" s="325">
        <v>6090741.9951111097</v>
      </c>
      <c r="FB285" s="325">
        <v>5577148.0201111175</v>
      </c>
      <c r="FC285" s="325">
        <v>5577148.0201111175</v>
      </c>
      <c r="FD285" s="325">
        <v>5577148.0201111175</v>
      </c>
      <c r="FE285" s="325">
        <v>5577148.0201111175</v>
      </c>
      <c r="FF285" s="325">
        <v>6120514.5875000004</v>
      </c>
      <c r="FG285" s="325">
        <v>5971668.0075000003</v>
      </c>
      <c r="FH285" s="325">
        <v>5177760.0175000001</v>
      </c>
      <c r="FI285" s="325">
        <v>5087042.1275000004</v>
      </c>
      <c r="FJ285" s="325">
        <v>5141875.5275000008</v>
      </c>
      <c r="FK285" s="325">
        <v>5197534.4975000005</v>
      </c>
      <c r="FL285" s="325">
        <v>5059087.2374999989</v>
      </c>
      <c r="FM285" s="325">
        <v>5071091.2374999989</v>
      </c>
      <c r="FN285" s="325">
        <v>5175886.7374999989</v>
      </c>
      <c r="FO285" s="325">
        <v>5062253.3274999987</v>
      </c>
      <c r="FP285" s="325">
        <v>5061881.6574999988</v>
      </c>
      <c r="FQ285" s="325">
        <v>5000451.0074999994</v>
      </c>
      <c r="FR285" s="325">
        <v>1526609.67</v>
      </c>
      <c r="FS285" s="325">
        <v>5800030.7699999996</v>
      </c>
      <c r="FT285" s="325">
        <v>6227024.2599999998</v>
      </c>
      <c r="FU285" s="325">
        <v>3735755.56</v>
      </c>
      <c r="FV285" s="325">
        <v>13077926.789999999</v>
      </c>
      <c r="FW285" s="325">
        <v>4490161.0014285715</v>
      </c>
      <c r="FX285" s="325">
        <v>4490161.0014285715</v>
      </c>
      <c r="FY285" s="325">
        <v>3592128.8011428574</v>
      </c>
      <c r="FZ285" s="325">
        <v>4490161.0014285715</v>
      </c>
      <c r="GA285" s="325">
        <v>4490161.0014285715</v>
      </c>
      <c r="GB285" s="325">
        <v>4490161.0014285715</v>
      </c>
      <c r="GC285" s="325">
        <v>5388158.5617142906</v>
      </c>
      <c r="GE285" s="427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8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8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8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8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8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8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8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8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8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5">
        <v>1860319.3983333334</v>
      </c>
      <c r="EU295" s="325">
        <v>1860319.3983333334</v>
      </c>
      <c r="EV295" s="325">
        <v>1860319.3983333334</v>
      </c>
      <c r="EW295" s="325">
        <v>1860319.3983333334</v>
      </c>
      <c r="EX295" s="325">
        <v>1860319.3983333334</v>
      </c>
      <c r="EY295" s="325">
        <v>1860319.3983333334</v>
      </c>
      <c r="EZ295" s="325">
        <v>1860319.3983333334</v>
      </c>
      <c r="FA295" s="325">
        <v>1860319.3983333334</v>
      </c>
      <c r="FB295" s="325">
        <v>1850732.9058333328</v>
      </c>
      <c r="FC295" s="325">
        <v>1850732.9058333328</v>
      </c>
      <c r="FD295" s="325">
        <v>1850732.9058333328</v>
      </c>
      <c r="FE295" s="325">
        <v>1850732.9058333328</v>
      </c>
      <c r="FF295" s="325">
        <v>1931829.4616666667</v>
      </c>
      <c r="FG295" s="325">
        <v>1929704.3816666668</v>
      </c>
      <c r="FH295" s="325">
        <v>1921162.7116666667</v>
      </c>
      <c r="FI295" s="325">
        <v>1920662.7116666667</v>
      </c>
      <c r="FJ295" s="325">
        <v>1927678.7016666669</v>
      </c>
      <c r="FK295" s="325">
        <v>1927612.7316666667</v>
      </c>
      <c r="FL295" s="325">
        <v>1934953.7116666667</v>
      </c>
      <c r="FM295" s="325">
        <v>1934887.7116666667</v>
      </c>
      <c r="FN295" s="325">
        <v>1926953.7016666669</v>
      </c>
      <c r="FO295" s="325">
        <v>1926887.7016666669</v>
      </c>
      <c r="FP295" s="325">
        <v>1926953.7016666669</v>
      </c>
      <c r="FQ295" s="325">
        <v>1908616.3716666668</v>
      </c>
      <c r="FR295" s="325">
        <v>108691.98</v>
      </c>
      <c r="FS295" s="325">
        <v>2265483.7400000002</v>
      </c>
      <c r="FT295" s="325">
        <v>1016574.39</v>
      </c>
      <c r="FU295" s="325">
        <v>2804355.68</v>
      </c>
      <c r="FV295" s="325">
        <v>1877727.17</v>
      </c>
      <c r="FW295" s="325">
        <v>2564587.1557142856</v>
      </c>
      <c r="FX295" s="325">
        <v>2564587.1557142856</v>
      </c>
      <c r="FY295" s="325">
        <v>2051669.7245714283</v>
      </c>
      <c r="FZ295" s="325">
        <v>2564587.1557142856</v>
      </c>
      <c r="GA295" s="325">
        <v>2564587.1557142856</v>
      </c>
      <c r="GB295" s="325">
        <v>2564587.1557142856</v>
      </c>
      <c r="GC295" s="325">
        <v>3077495.2968571493</v>
      </c>
      <c r="GE295" s="427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8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8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8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5">
        <v>7122725</v>
      </c>
      <c r="EU299" s="325">
        <v>7122725</v>
      </c>
      <c r="EV299" s="325">
        <v>7122725</v>
      </c>
      <c r="EW299" s="325">
        <v>7122725</v>
      </c>
      <c r="EX299" s="325">
        <v>7122725</v>
      </c>
      <c r="EY299" s="325">
        <v>7122725</v>
      </c>
      <c r="EZ299" s="325">
        <v>7122725</v>
      </c>
      <c r="FA299" s="325">
        <v>7122725</v>
      </c>
      <c r="FB299" s="325">
        <v>7615225</v>
      </c>
      <c r="FC299" s="325">
        <v>7615225</v>
      </c>
      <c r="FD299" s="325">
        <v>7615225</v>
      </c>
      <c r="FE299" s="325">
        <v>7615225</v>
      </c>
      <c r="FF299" s="325">
        <v>7980725.0000000009</v>
      </c>
      <c r="FG299" s="325">
        <v>986719.96000000054</v>
      </c>
      <c r="FH299" s="325">
        <v>28101499.100000001</v>
      </c>
      <c r="FI299" s="325">
        <v>18499732.100000001</v>
      </c>
      <c r="FJ299" s="325">
        <v>14045836.270000001</v>
      </c>
      <c r="FK299" s="325">
        <v>1973802.6600000008</v>
      </c>
      <c r="FL299" s="325">
        <v>8764475.7899999991</v>
      </c>
      <c r="FM299" s="325">
        <v>1297206.1400000008</v>
      </c>
      <c r="FN299" s="325">
        <v>3140325.8000000007</v>
      </c>
      <c r="FO299" s="325">
        <v>1321292.0800000008</v>
      </c>
      <c r="FP299" s="325">
        <v>7803737.330000001</v>
      </c>
      <c r="FQ299" s="325">
        <v>1837347.7700000007</v>
      </c>
      <c r="FR299" s="325">
        <v>7654845.3899999997</v>
      </c>
      <c r="FS299" s="325">
        <v>1839801.88</v>
      </c>
      <c r="FT299" s="325">
        <v>27475960.399999999</v>
      </c>
      <c r="FU299" s="325">
        <v>22559197.739999998</v>
      </c>
      <c r="FV299" s="325">
        <v>1656916.58</v>
      </c>
      <c r="FW299" s="325">
        <v>5198232.47</v>
      </c>
      <c r="FX299" s="325">
        <v>7583026.2800000003</v>
      </c>
      <c r="FY299" s="325">
        <v>786949.86</v>
      </c>
      <c r="FZ299" s="325">
        <v>2190986</v>
      </c>
      <c r="GA299" s="325">
        <v>17371477.57</v>
      </c>
      <c r="GB299" s="325">
        <v>3971191.03</v>
      </c>
      <c r="GC299" s="325">
        <v>5055431.2400000077</v>
      </c>
      <c r="GE299" s="427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8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8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5">
        <v>800010.93333333347</v>
      </c>
      <c r="EU302" s="325">
        <v>800010.93333333347</v>
      </c>
      <c r="EV302" s="325">
        <v>800010.93333333347</v>
      </c>
      <c r="EW302" s="325">
        <v>800010.93333333347</v>
      </c>
      <c r="EX302" s="325">
        <v>800010.93333333347</v>
      </c>
      <c r="EY302" s="325">
        <v>800010.93333333347</v>
      </c>
      <c r="EZ302" s="325">
        <v>800010.93333333347</v>
      </c>
      <c r="FA302" s="325">
        <v>800010.93333333347</v>
      </c>
      <c r="FB302" s="325">
        <v>986109.29833333322</v>
      </c>
      <c r="FC302" s="325">
        <v>986109.29833333322</v>
      </c>
      <c r="FD302" s="325">
        <v>986109.29833333322</v>
      </c>
      <c r="FE302" s="325">
        <v>986109.29833333322</v>
      </c>
      <c r="FF302" s="325">
        <v>832820.39</v>
      </c>
      <c r="FG302" s="325">
        <v>780840.39</v>
      </c>
      <c r="FH302" s="325">
        <v>793807.47</v>
      </c>
      <c r="FI302" s="325">
        <v>776070.39</v>
      </c>
      <c r="FJ302" s="325">
        <v>793070.39</v>
      </c>
      <c r="FK302" s="325">
        <v>826070.39</v>
      </c>
      <c r="FL302" s="325">
        <v>846570.39</v>
      </c>
      <c r="FM302" s="325">
        <v>846570.39</v>
      </c>
      <c r="FN302" s="325">
        <v>826570.39</v>
      </c>
      <c r="FO302" s="325">
        <v>826570.39</v>
      </c>
      <c r="FP302" s="325">
        <v>826570.39</v>
      </c>
      <c r="FQ302" s="325">
        <v>845570.39</v>
      </c>
      <c r="FR302" s="325">
        <v>616777.93000000005</v>
      </c>
      <c r="FS302" s="325">
        <v>930050.26</v>
      </c>
      <c r="FT302" s="325">
        <v>896586.65</v>
      </c>
      <c r="FU302" s="325">
        <v>972131.72</v>
      </c>
      <c r="FV302" s="325">
        <v>769427.2</v>
      </c>
      <c r="FW302" s="325">
        <v>991607.47714285715</v>
      </c>
      <c r="FX302" s="325">
        <v>991607.47714285715</v>
      </c>
      <c r="FY302" s="325">
        <v>991607.47714285715</v>
      </c>
      <c r="FZ302" s="325">
        <v>991607.47714285715</v>
      </c>
      <c r="GA302" s="325">
        <v>991607.47714285715</v>
      </c>
      <c r="GB302" s="325">
        <v>991607.47714285715</v>
      </c>
      <c r="GC302" s="325">
        <v>991620.63714285719</v>
      </c>
      <c r="GE302" s="427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8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8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8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5">
        <v>2250983.3333333335</v>
      </c>
      <c r="EU306" s="325">
        <v>2250983.3333333335</v>
      </c>
      <c r="EV306" s="325">
        <v>2250983.3333333335</v>
      </c>
      <c r="EW306" s="325">
        <v>2250983.3333333335</v>
      </c>
      <c r="EX306" s="325">
        <v>2250983.3333333335</v>
      </c>
      <c r="EY306" s="325">
        <v>2250983.3333333335</v>
      </c>
      <c r="EZ306" s="325">
        <v>2250983.3333333335</v>
      </c>
      <c r="FA306" s="325">
        <v>2250983.3333333335</v>
      </c>
      <c r="FB306" s="325">
        <v>2180983.3333333344</v>
      </c>
      <c r="FC306" s="325">
        <v>2180983.3333333344</v>
      </c>
      <c r="FD306" s="325">
        <v>2180983.3333333344</v>
      </c>
      <c r="FE306" s="325">
        <v>2180983.3333333344</v>
      </c>
      <c r="FF306" s="325">
        <v>2149037.4966666666</v>
      </c>
      <c r="FG306" s="325">
        <v>2320829.9566666665</v>
      </c>
      <c r="FH306" s="325">
        <v>4834564.4966666671</v>
      </c>
      <c r="FI306" s="325">
        <v>2443787.4966666666</v>
      </c>
      <c r="FJ306" s="325">
        <v>2190037.4966666666</v>
      </c>
      <c r="FK306" s="325">
        <v>1990037.4966666666</v>
      </c>
      <c r="FL306" s="325">
        <v>1956704.1566666667</v>
      </c>
      <c r="FM306" s="325">
        <v>2253357.6966666663</v>
      </c>
      <c r="FN306" s="325">
        <v>4447481.1566666672</v>
      </c>
      <c r="FO306" s="325">
        <v>2156704.1566666663</v>
      </c>
      <c r="FP306" s="325">
        <v>2056704.1966666668</v>
      </c>
      <c r="FQ306" s="325">
        <v>2015354.1966666668</v>
      </c>
      <c r="FR306" s="325">
        <v>186907.92</v>
      </c>
      <c r="FS306" s="325">
        <v>1211715.27</v>
      </c>
      <c r="FT306" s="325">
        <v>1425211.49</v>
      </c>
      <c r="FU306" s="325">
        <v>5065576.53</v>
      </c>
      <c r="FV306" s="325">
        <v>1512180.75</v>
      </c>
      <c r="FW306" s="325">
        <v>4240435.0014285715</v>
      </c>
      <c r="FX306" s="325">
        <v>4240435.0014285715</v>
      </c>
      <c r="FY306" s="325">
        <v>4240435.0014285715</v>
      </c>
      <c r="FZ306" s="325">
        <v>4240435.0014285715</v>
      </c>
      <c r="GA306" s="325">
        <v>4240435.0014285715</v>
      </c>
      <c r="GB306" s="325">
        <v>4240435.0014285715</v>
      </c>
      <c r="GC306" s="325">
        <v>4240435.0014285715</v>
      </c>
      <c r="GE306" s="427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8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8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8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5">
        <v>2581823.9339999999</v>
      </c>
      <c r="EU310" s="325">
        <v>2581823.9339999999</v>
      </c>
      <c r="EV310" s="325">
        <v>2581823.9339999999</v>
      </c>
      <c r="EW310" s="325">
        <v>2696268.3784444444</v>
      </c>
      <c r="EX310" s="325">
        <v>2696268.3784444444</v>
      </c>
      <c r="EY310" s="325">
        <v>2696268.3784444444</v>
      </c>
      <c r="EZ310" s="325">
        <v>3987180.345444445</v>
      </c>
      <c r="FA310" s="325">
        <v>3987180.345444445</v>
      </c>
      <c r="FB310" s="325">
        <v>3877323.0754444436</v>
      </c>
      <c r="FC310" s="325">
        <v>3877323.0754444436</v>
      </c>
      <c r="FD310" s="325">
        <v>3877323.0754444436</v>
      </c>
      <c r="FE310" s="325">
        <v>3877323.0754444436</v>
      </c>
      <c r="FF310" s="325">
        <v>3473855.870833334</v>
      </c>
      <c r="FG310" s="325">
        <v>4119817.790833334</v>
      </c>
      <c r="FH310" s="325">
        <v>5047234.1108333347</v>
      </c>
      <c r="FI310" s="325">
        <v>3132271.9408333339</v>
      </c>
      <c r="FJ310" s="325">
        <v>3070265.2508333339</v>
      </c>
      <c r="FK310" s="325">
        <v>3309652.560833334</v>
      </c>
      <c r="FL310" s="325">
        <v>4122049.5508333351</v>
      </c>
      <c r="FM310" s="325">
        <v>3027649.6708333334</v>
      </c>
      <c r="FN310" s="325">
        <v>2986649.6408333336</v>
      </c>
      <c r="FO310" s="325">
        <v>2977759.6208333336</v>
      </c>
      <c r="FP310" s="325">
        <v>3014504.6508333334</v>
      </c>
      <c r="FQ310" s="325">
        <v>2914612.7408333337</v>
      </c>
      <c r="FR310" s="325">
        <v>1397051.29</v>
      </c>
      <c r="FS310" s="325">
        <v>3848578.53</v>
      </c>
      <c r="FT310" s="325">
        <v>3215082.08</v>
      </c>
      <c r="FU310" s="325">
        <v>3945513.03</v>
      </c>
      <c r="FV310" s="325">
        <v>3372954.89</v>
      </c>
      <c r="FW310" s="325">
        <v>6200000</v>
      </c>
      <c r="FX310" s="325">
        <v>4599715.6983333342</v>
      </c>
      <c r="FY310" s="325">
        <v>3679772.5586666674</v>
      </c>
      <c r="FZ310" s="325">
        <v>4599715.6983333342</v>
      </c>
      <c r="GA310" s="325">
        <v>4599715.6983333342</v>
      </c>
      <c r="GB310" s="325">
        <v>4599715.6983333342</v>
      </c>
      <c r="GC310" s="325">
        <v>5519658.8379999958</v>
      </c>
      <c r="GE310" s="427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8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8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8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8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8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8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8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8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8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5">
        <v>45950724.162500009</v>
      </c>
      <c r="EU320" s="325">
        <v>45950724.162500009</v>
      </c>
      <c r="EV320" s="325">
        <v>45950724.162500009</v>
      </c>
      <c r="EW320" s="325">
        <v>45950724.162500009</v>
      </c>
      <c r="EX320" s="325">
        <v>45950724.162500009</v>
      </c>
      <c r="EY320" s="325">
        <v>45950724.162500009</v>
      </c>
      <c r="EZ320" s="325">
        <v>45950724.162500009</v>
      </c>
      <c r="FA320" s="325">
        <v>45950724.162500009</v>
      </c>
      <c r="FB320" s="325">
        <v>47831745.139999971</v>
      </c>
      <c r="FC320" s="325">
        <v>47831745.139999971</v>
      </c>
      <c r="FD320" s="325">
        <v>47831745.139999971</v>
      </c>
      <c r="FE320" s="325">
        <v>47831745.139999971</v>
      </c>
      <c r="FF320" s="325">
        <v>46204849.909999982</v>
      </c>
      <c r="FG320" s="325">
        <v>46206149.810000002</v>
      </c>
      <c r="FH320" s="325">
        <v>46206149.810000002</v>
      </c>
      <c r="FI320" s="325">
        <v>46206149.810000002</v>
      </c>
      <c r="FJ320" s="325">
        <v>46206149.810000002</v>
      </c>
      <c r="FK320" s="325">
        <v>46206149.810000002</v>
      </c>
      <c r="FL320" s="325">
        <v>46206149.810000002</v>
      </c>
      <c r="FM320" s="325">
        <v>46206149.810000002</v>
      </c>
      <c r="FN320" s="325">
        <v>46206149.810000002</v>
      </c>
      <c r="FO320" s="325">
        <v>47329512.010000005</v>
      </c>
      <c r="FP320" s="325">
        <v>47329512.010000005</v>
      </c>
      <c r="FQ320" s="325">
        <v>47329512.010000005</v>
      </c>
      <c r="FR320" s="325">
        <f>FR321+FR330+FR336+FR344+FR346</f>
        <v>43744418.239999995</v>
      </c>
      <c r="FS320" s="325">
        <f t="shared" ref="FS320:GC320" si="84">FS321+FS330+FS336+FS344+FS346</f>
        <v>46796687.629999995</v>
      </c>
      <c r="FT320" s="325">
        <f t="shared" si="84"/>
        <v>46377214.320000008</v>
      </c>
      <c r="FU320" s="325">
        <f t="shared" si="84"/>
        <v>46828214.329999998</v>
      </c>
      <c r="FV320" s="325">
        <f t="shared" si="84"/>
        <v>44861859.969999999</v>
      </c>
      <c r="FW320" s="325">
        <f t="shared" si="84"/>
        <v>49868571.824285723</v>
      </c>
      <c r="FX320" s="325">
        <f t="shared" si="84"/>
        <v>49868571.824285723</v>
      </c>
      <c r="FY320" s="325">
        <f t="shared" si="84"/>
        <v>49868571.824285723</v>
      </c>
      <c r="FZ320" s="325">
        <f t="shared" si="84"/>
        <v>49868571.824285723</v>
      </c>
      <c r="GA320" s="325">
        <f t="shared" si="84"/>
        <v>49868571.824285723</v>
      </c>
      <c r="GB320" s="325">
        <f t="shared" si="84"/>
        <v>49868571.824285723</v>
      </c>
      <c r="GC320" s="325">
        <f t="shared" si="84"/>
        <v>49868571.824285723</v>
      </c>
      <c r="GE320" s="427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5">
        <v>6651000</v>
      </c>
      <c r="EU321" s="325">
        <v>6651000</v>
      </c>
      <c r="EV321" s="325">
        <v>6651000</v>
      </c>
      <c r="EW321" s="325">
        <v>6651000</v>
      </c>
      <c r="EX321" s="325">
        <v>6651000</v>
      </c>
      <c r="EY321" s="325">
        <v>6651000</v>
      </c>
      <c r="EZ321" s="325">
        <v>6651000</v>
      </c>
      <c r="FA321" s="325">
        <v>6651000</v>
      </c>
      <c r="FB321" s="325">
        <v>7394520.9774999991</v>
      </c>
      <c r="FC321" s="325">
        <v>7394520.9774999991</v>
      </c>
      <c r="FD321" s="325">
        <v>7394520.9774999991</v>
      </c>
      <c r="FE321" s="325">
        <v>7394520.9774999991</v>
      </c>
      <c r="FF321" s="325">
        <v>6747975.0000000028</v>
      </c>
      <c r="FG321" s="325">
        <v>6749275.0000000028</v>
      </c>
      <c r="FH321" s="325">
        <v>6749275.0000000028</v>
      </c>
      <c r="FI321" s="325">
        <v>6749275.0000000028</v>
      </c>
      <c r="FJ321" s="325">
        <v>6749275.0000000028</v>
      </c>
      <c r="FK321" s="325">
        <v>6749275.0000000028</v>
      </c>
      <c r="FL321" s="325">
        <v>6749275.0000000028</v>
      </c>
      <c r="FM321" s="325">
        <v>6749275.0000000028</v>
      </c>
      <c r="FN321" s="325">
        <v>6749275.0000000028</v>
      </c>
      <c r="FO321" s="325">
        <v>6749275.0000000028</v>
      </c>
      <c r="FP321" s="325">
        <v>6749275.0000000028</v>
      </c>
      <c r="FQ321" s="325">
        <v>6749275.0000000028</v>
      </c>
      <c r="FR321" s="325">
        <v>6448137.3300000001</v>
      </c>
      <c r="FS321" s="325">
        <v>7174722.5199999996</v>
      </c>
      <c r="FT321" s="325">
        <v>6752335.3300000001</v>
      </c>
      <c r="FU321" s="325">
        <v>6378584.3399999999</v>
      </c>
      <c r="FV321" s="325">
        <v>5976072.2199999997</v>
      </c>
      <c r="FW321" s="325">
        <v>7400021.1800000006</v>
      </c>
      <c r="FX321" s="325">
        <v>7400021.1800000006</v>
      </c>
      <c r="FY321" s="325">
        <v>7400021.1800000006</v>
      </c>
      <c r="FZ321" s="325">
        <v>7400021.1800000006</v>
      </c>
      <c r="GA321" s="325">
        <v>7400021.1800000006</v>
      </c>
      <c r="GB321" s="325">
        <v>7400021.1800000006</v>
      </c>
      <c r="GC321" s="325">
        <v>7400021.1800000006</v>
      </c>
      <c r="GE321" s="427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8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8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8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8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8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8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8"/>
    </row>
    <row r="329" spans="1:187" s="351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8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5">
        <v>1699899.96</v>
      </c>
      <c r="EU330" s="325">
        <v>1699899.96</v>
      </c>
      <c r="EV330" s="325">
        <v>1699899.96</v>
      </c>
      <c r="EW330" s="325">
        <v>1699899.96</v>
      </c>
      <c r="EX330" s="325">
        <v>1699899.96</v>
      </c>
      <c r="EY330" s="325">
        <v>1699899.96</v>
      </c>
      <c r="EZ330" s="325">
        <v>1699899.96</v>
      </c>
      <c r="FA330" s="325">
        <v>1699899.96</v>
      </c>
      <c r="FB330" s="325">
        <v>924899.9599999981</v>
      </c>
      <c r="FC330" s="325">
        <v>924899.9599999981</v>
      </c>
      <c r="FD330" s="325">
        <v>924899.9599999981</v>
      </c>
      <c r="FE330" s="325">
        <v>924899.9599999981</v>
      </c>
      <c r="FF330" s="325">
        <v>1236031.8000000014</v>
      </c>
      <c r="FG330" s="325">
        <v>1236031.8699999999</v>
      </c>
      <c r="FH330" s="325">
        <v>1236031.8699999999</v>
      </c>
      <c r="FI330" s="325">
        <v>1236031.8699999999</v>
      </c>
      <c r="FJ330" s="325">
        <v>1236031.8699999999</v>
      </c>
      <c r="FK330" s="325">
        <v>1236031.8699999999</v>
      </c>
      <c r="FL330" s="325">
        <v>1236031.8699999999</v>
      </c>
      <c r="FM330" s="325">
        <v>1236031.8699999999</v>
      </c>
      <c r="FN330" s="325">
        <v>1236031.8699999999</v>
      </c>
      <c r="FO330" s="325">
        <v>2359394.0699999998</v>
      </c>
      <c r="FP330" s="325">
        <v>2359394.0699999998</v>
      </c>
      <c r="FQ330" s="325">
        <v>2359394.0699999998</v>
      </c>
      <c r="FR330" s="325">
        <v>54255.6</v>
      </c>
      <c r="FS330" s="325">
        <v>1607182</v>
      </c>
      <c r="FT330" s="325">
        <v>1602703.45</v>
      </c>
      <c r="FU330" s="325">
        <v>1448885.74</v>
      </c>
      <c r="FV330" s="325">
        <v>1413828.93</v>
      </c>
      <c r="FW330" s="325">
        <v>2033020.7142857143</v>
      </c>
      <c r="FX330" s="325">
        <v>2033020.7142857143</v>
      </c>
      <c r="FY330" s="325">
        <v>2033020.7142857143</v>
      </c>
      <c r="FZ330" s="325">
        <v>2033020.7142857143</v>
      </c>
      <c r="GA330" s="325">
        <v>2033020.7142857143</v>
      </c>
      <c r="GB330" s="325">
        <v>2033020.7142857143</v>
      </c>
      <c r="GC330" s="325">
        <v>2033020.7142857143</v>
      </c>
      <c r="GE330" s="427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8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8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8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8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8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5">
        <v>35472732.535833336</v>
      </c>
      <c r="EU336" s="325">
        <v>35472732.535833336</v>
      </c>
      <c r="EV336" s="325">
        <v>35472732.535833336</v>
      </c>
      <c r="EW336" s="325">
        <v>35472732.535833336</v>
      </c>
      <c r="EX336" s="325">
        <v>35472732.535833336</v>
      </c>
      <c r="EY336" s="325">
        <v>35472732.535833336</v>
      </c>
      <c r="EZ336" s="325">
        <v>35472732.535833336</v>
      </c>
      <c r="FA336" s="325">
        <v>35472732.535833336</v>
      </c>
      <c r="FB336" s="325">
        <v>35472732.535833336</v>
      </c>
      <c r="FC336" s="325">
        <v>35472732.535833336</v>
      </c>
      <c r="FD336" s="325">
        <v>35472732.535833336</v>
      </c>
      <c r="FE336" s="325">
        <v>35472732.535833336</v>
      </c>
      <c r="FF336" s="325">
        <v>35752084.619999975</v>
      </c>
      <c r="FG336" s="325">
        <v>35752084.530000001</v>
      </c>
      <c r="FH336" s="325">
        <v>35752084.530000001</v>
      </c>
      <c r="FI336" s="325">
        <v>35752084.530000001</v>
      </c>
      <c r="FJ336" s="325">
        <v>35752084.530000001</v>
      </c>
      <c r="FK336" s="325">
        <v>35752084.530000001</v>
      </c>
      <c r="FL336" s="325">
        <v>35752084.530000001</v>
      </c>
      <c r="FM336" s="325">
        <v>35752084.530000001</v>
      </c>
      <c r="FN336" s="325">
        <v>35752084.530000001</v>
      </c>
      <c r="FO336" s="325">
        <v>35752084.530000001</v>
      </c>
      <c r="FP336" s="325">
        <v>35752084.530000001</v>
      </c>
      <c r="FQ336" s="325">
        <v>35752084.530000001</v>
      </c>
      <c r="FR336" s="325">
        <v>34875207.159999996</v>
      </c>
      <c r="FS336" s="325">
        <v>35344644.090000004</v>
      </c>
      <c r="FT336" s="325">
        <v>35520020</v>
      </c>
      <c r="FU336" s="325">
        <v>36212765.539999999</v>
      </c>
      <c r="FV336" s="325">
        <v>35322836.950000003</v>
      </c>
      <c r="FW336" s="325">
        <v>37842845.828571431</v>
      </c>
      <c r="FX336" s="325">
        <v>37842845.828571431</v>
      </c>
      <c r="FY336" s="325">
        <v>37842845.828571431</v>
      </c>
      <c r="FZ336" s="325">
        <v>37842845.828571431</v>
      </c>
      <c r="GA336" s="325">
        <v>37842845.828571431</v>
      </c>
      <c r="GB336" s="325">
        <v>37842845.828571431</v>
      </c>
      <c r="GC336" s="325">
        <v>37842845.828571431</v>
      </c>
      <c r="GE336" s="427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8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8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8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8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8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8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8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5">
        <v>1375008.3333333333</v>
      </c>
      <c r="EU344" s="325">
        <v>1375008.3333333333</v>
      </c>
      <c r="EV344" s="325">
        <v>1375008.3333333333</v>
      </c>
      <c r="EW344" s="325">
        <v>1375008.3333333333</v>
      </c>
      <c r="EX344" s="325">
        <v>1375008.3333333333</v>
      </c>
      <c r="EY344" s="325">
        <v>1375008.3333333333</v>
      </c>
      <c r="EZ344" s="325">
        <v>1375008.3333333333</v>
      </c>
      <c r="FA344" s="325">
        <v>1375008.3333333333</v>
      </c>
      <c r="FB344" s="325">
        <v>2000008.3333333328</v>
      </c>
      <c r="FC344" s="325">
        <v>2000008.3333333328</v>
      </c>
      <c r="FD344" s="325">
        <v>2000008.3333333328</v>
      </c>
      <c r="FE344" s="325">
        <v>2000008.3333333328</v>
      </c>
      <c r="FF344" s="325">
        <v>1583341.7399999984</v>
      </c>
      <c r="FG344" s="325">
        <v>1583341.6600000001</v>
      </c>
      <c r="FH344" s="325">
        <v>1583341.6600000001</v>
      </c>
      <c r="FI344" s="325">
        <v>1583341.6600000001</v>
      </c>
      <c r="FJ344" s="325">
        <v>1583341.6600000001</v>
      </c>
      <c r="FK344" s="325">
        <v>1583341.6600000001</v>
      </c>
      <c r="FL344" s="325">
        <v>1583341.6600000001</v>
      </c>
      <c r="FM344" s="325">
        <v>1583341.6600000001</v>
      </c>
      <c r="FN344" s="325">
        <v>1583341.6600000001</v>
      </c>
      <c r="FO344" s="325">
        <v>1583341.6600000001</v>
      </c>
      <c r="FP344" s="325">
        <v>1583341.6600000001</v>
      </c>
      <c r="FQ344" s="325">
        <v>1583341.6600000001</v>
      </c>
      <c r="FR344" s="325">
        <v>1621388.9</v>
      </c>
      <c r="FS344" s="325">
        <v>1831428.58</v>
      </c>
      <c r="FT344" s="325">
        <v>1595368.45</v>
      </c>
      <c r="FU344" s="325">
        <v>2107330.88</v>
      </c>
      <c r="FV344" s="325">
        <v>1443795.73</v>
      </c>
      <c r="FW344" s="325">
        <v>1628669.78</v>
      </c>
      <c r="FX344" s="325">
        <v>1628669.78</v>
      </c>
      <c r="FY344" s="325">
        <v>1628669.78</v>
      </c>
      <c r="FZ344" s="325">
        <v>1628669.78</v>
      </c>
      <c r="GA344" s="325">
        <v>1628669.78</v>
      </c>
      <c r="GB344" s="325">
        <v>1628669.78</v>
      </c>
      <c r="GC344" s="325">
        <v>1628669.78</v>
      </c>
      <c r="GE344" s="427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8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5">
        <v>752083.33333333337</v>
      </c>
      <c r="EU346" s="325">
        <v>752083.33333333337</v>
      </c>
      <c r="EV346" s="325">
        <v>752083.33333333337</v>
      </c>
      <c r="EW346" s="325">
        <v>752083.33333333337</v>
      </c>
      <c r="EX346" s="325">
        <v>752083.33333333337</v>
      </c>
      <c r="EY346" s="325">
        <v>752083.33333333337</v>
      </c>
      <c r="EZ346" s="325">
        <v>752083.33333333337</v>
      </c>
      <c r="FA346" s="325">
        <v>752083.33333333337</v>
      </c>
      <c r="FB346" s="325">
        <v>2039583.333333334</v>
      </c>
      <c r="FC346" s="325">
        <v>2039583.333333334</v>
      </c>
      <c r="FD346" s="325">
        <v>2039583.333333334</v>
      </c>
      <c r="FE346" s="325">
        <v>2039583.333333334</v>
      </c>
      <c r="FF346" s="325">
        <v>885416.75</v>
      </c>
      <c r="FG346" s="325">
        <v>885416.75</v>
      </c>
      <c r="FH346" s="325">
        <v>885416.75</v>
      </c>
      <c r="FI346" s="325">
        <v>885416.75</v>
      </c>
      <c r="FJ346" s="325">
        <v>885416.75</v>
      </c>
      <c r="FK346" s="325">
        <v>885416.75</v>
      </c>
      <c r="FL346" s="325">
        <v>885416.75</v>
      </c>
      <c r="FM346" s="325">
        <v>885416.75</v>
      </c>
      <c r="FN346" s="325">
        <v>885416.75</v>
      </c>
      <c r="FO346" s="325">
        <v>885416.75</v>
      </c>
      <c r="FP346" s="325">
        <v>885416.75</v>
      </c>
      <c r="FQ346" s="325">
        <v>885416.75</v>
      </c>
      <c r="FR346" s="325">
        <v>745429.25</v>
      </c>
      <c r="FS346" s="325">
        <v>838710.44</v>
      </c>
      <c r="FT346" s="325">
        <v>906787.09</v>
      </c>
      <c r="FU346" s="325">
        <v>680647.83</v>
      </c>
      <c r="FV346" s="325">
        <v>705326.14</v>
      </c>
      <c r="FW346" s="325">
        <v>964014.32142857148</v>
      </c>
      <c r="FX346" s="325">
        <v>964014.32142857148</v>
      </c>
      <c r="FY346" s="325">
        <v>964014.32142857148</v>
      </c>
      <c r="FZ346" s="325">
        <v>964014.32142857148</v>
      </c>
      <c r="GA346" s="325">
        <v>964014.32142857148</v>
      </c>
      <c r="GB346" s="325">
        <v>964014.32142857148</v>
      </c>
      <c r="GC346" s="325">
        <v>964014.32142857101</v>
      </c>
      <c r="GE346" s="427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8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8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8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5">
        <v>15295211.558333334</v>
      </c>
      <c r="EU350" s="325">
        <v>15295211.558333334</v>
      </c>
      <c r="EV350" s="325">
        <v>15295211.558333334</v>
      </c>
      <c r="EW350" s="325">
        <v>18161878.224999998</v>
      </c>
      <c r="EX350" s="325">
        <v>18161878.224999998</v>
      </c>
      <c r="EY350" s="325">
        <v>18161878.224999998</v>
      </c>
      <c r="EZ350" s="325">
        <v>15295211.558333334</v>
      </c>
      <c r="FA350" s="325">
        <v>15295211.558333334</v>
      </c>
      <c r="FB350" s="325">
        <v>18930636.555833336</v>
      </c>
      <c r="FC350" s="325">
        <v>18930636.555833336</v>
      </c>
      <c r="FD350" s="325">
        <v>18930636.555833336</v>
      </c>
      <c r="FE350" s="325">
        <v>18930636.555833336</v>
      </c>
      <c r="FF350" s="325">
        <v>20338750.958333332</v>
      </c>
      <c r="FG350" s="325">
        <v>22018439.158333331</v>
      </c>
      <c r="FH350" s="325">
        <v>17975691.918333333</v>
      </c>
      <c r="FI350" s="325">
        <v>15972358.598333333</v>
      </c>
      <c r="FJ350" s="325">
        <v>15993608.598333333</v>
      </c>
      <c r="FK350" s="325">
        <v>16020602.668333333</v>
      </c>
      <c r="FL350" s="325">
        <v>22848909.595000003</v>
      </c>
      <c r="FM350" s="325">
        <v>17972208.524999999</v>
      </c>
      <c r="FN350" s="325">
        <v>17992208.524999999</v>
      </c>
      <c r="FO350" s="325">
        <v>17923875.184999999</v>
      </c>
      <c r="FP350" s="325">
        <v>17866375.204999998</v>
      </c>
      <c r="FQ350" s="325">
        <v>18024758.024999999</v>
      </c>
      <c r="FR350" s="325">
        <v>23631566.68</v>
      </c>
      <c r="FS350" s="325">
        <v>23914749.120000001</v>
      </c>
      <c r="FT350" s="325">
        <v>31910693.890000001</v>
      </c>
      <c r="FU350" s="325">
        <v>17331295.199999999</v>
      </c>
      <c r="FV350" s="325">
        <v>15552980.33</v>
      </c>
      <c r="FW350" s="325">
        <v>23483872.51285715</v>
      </c>
      <c r="FX350" s="325">
        <v>19317205.846190531</v>
      </c>
      <c r="FY350" s="325">
        <v>19317205.846190531</v>
      </c>
      <c r="FZ350" s="325">
        <v>19317205.846190531</v>
      </c>
      <c r="GA350" s="325">
        <v>44317205.846190527</v>
      </c>
      <c r="GB350" s="325">
        <v>19317205.846190531</v>
      </c>
      <c r="GC350" s="325">
        <v>19317205.846190531</v>
      </c>
      <c r="GE350" s="427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5">
        <v>14810545.166666666</v>
      </c>
      <c r="EU351" s="325">
        <v>14810545.166666666</v>
      </c>
      <c r="EV351" s="325">
        <v>14810545.166666666</v>
      </c>
      <c r="EW351" s="325">
        <v>17677211.833333332</v>
      </c>
      <c r="EX351" s="325">
        <v>17677211.833333332</v>
      </c>
      <c r="EY351" s="325">
        <v>17677211.833333332</v>
      </c>
      <c r="EZ351" s="325">
        <v>14810545.166666666</v>
      </c>
      <c r="FA351" s="325">
        <v>14810545.166666666</v>
      </c>
      <c r="FB351" s="325">
        <v>18469212.55916667</v>
      </c>
      <c r="FC351" s="325">
        <v>18469212.55916667</v>
      </c>
      <c r="FD351" s="325">
        <v>18469212.55916667</v>
      </c>
      <c r="FE351" s="325">
        <v>18469212.55916667</v>
      </c>
      <c r="FF351" s="325">
        <v>18445155.148333333</v>
      </c>
      <c r="FG351" s="325">
        <v>20224843.348333333</v>
      </c>
      <c r="FH351" s="325">
        <v>16273762.778333332</v>
      </c>
      <c r="FI351" s="325">
        <v>14270429.458333332</v>
      </c>
      <c r="FJ351" s="325">
        <v>14291679.458333332</v>
      </c>
      <c r="FK351" s="325">
        <v>14318673.528333332</v>
      </c>
      <c r="FL351" s="325">
        <v>19138771.788333334</v>
      </c>
      <c r="FM351" s="325">
        <v>14278737.378333332</v>
      </c>
      <c r="FN351" s="325">
        <v>14298737.378333332</v>
      </c>
      <c r="FO351" s="325">
        <v>14278737.378333332</v>
      </c>
      <c r="FP351" s="325">
        <v>14298737.388333332</v>
      </c>
      <c r="FQ351" s="325">
        <v>14457120.208333332</v>
      </c>
      <c r="FR351" s="325">
        <v>0</v>
      </c>
      <c r="FS351" s="325">
        <v>0</v>
      </c>
      <c r="FT351" s="325">
        <v>0</v>
      </c>
      <c r="FU351" s="325">
        <v>0</v>
      </c>
      <c r="FV351" s="325">
        <v>0</v>
      </c>
      <c r="FW351" s="325">
        <v>0</v>
      </c>
      <c r="FX351" s="325">
        <v>0</v>
      </c>
      <c r="FY351" s="325">
        <v>0</v>
      </c>
      <c r="FZ351" s="325">
        <v>0</v>
      </c>
      <c r="GA351" s="325">
        <v>0</v>
      </c>
      <c r="GB351" s="325">
        <v>0</v>
      </c>
      <c r="GC351" s="325">
        <v>0</v>
      </c>
      <c r="GE351" s="427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8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8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8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8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8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8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8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8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8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5">
        <v>484666.39166666666</v>
      </c>
      <c r="EU361" s="325">
        <v>484666.39166666666</v>
      </c>
      <c r="EV361" s="325">
        <v>484666.39166666666</v>
      </c>
      <c r="EW361" s="325">
        <v>484666.39166666666</v>
      </c>
      <c r="EX361" s="325">
        <v>484666.39166666666</v>
      </c>
      <c r="EY361" s="325">
        <v>484666.39166666666</v>
      </c>
      <c r="EZ361" s="325">
        <v>484666.39166666666</v>
      </c>
      <c r="FA361" s="325">
        <v>484666.39166666666</v>
      </c>
      <c r="FB361" s="325">
        <v>461423.99666666664</v>
      </c>
      <c r="FC361" s="325">
        <v>461423.99666666664</v>
      </c>
      <c r="FD361" s="325">
        <v>461423.99666666664</v>
      </c>
      <c r="FE361" s="325">
        <v>461423.99666666664</v>
      </c>
      <c r="FF361" s="325">
        <v>1893595.81</v>
      </c>
      <c r="FG361" s="325">
        <v>1793595.81</v>
      </c>
      <c r="FH361" s="325">
        <v>1701929.1400000001</v>
      </c>
      <c r="FI361" s="325">
        <v>1701929.1400000001</v>
      </c>
      <c r="FJ361" s="325">
        <v>1701929.1400000001</v>
      </c>
      <c r="FK361" s="325">
        <v>1701929.1400000001</v>
      </c>
      <c r="FL361" s="325">
        <v>1701929.1400000001</v>
      </c>
      <c r="FM361" s="325">
        <v>1685262.48</v>
      </c>
      <c r="FN361" s="325">
        <v>1685262.48</v>
      </c>
      <c r="FO361" s="325">
        <v>1636929.14</v>
      </c>
      <c r="FP361" s="325">
        <v>1559429.15</v>
      </c>
      <c r="FQ361" s="325">
        <v>1559429.15</v>
      </c>
      <c r="FR361" s="325">
        <v>0</v>
      </c>
      <c r="FS361" s="325">
        <v>0</v>
      </c>
      <c r="FT361" s="325">
        <v>0</v>
      </c>
      <c r="FU361" s="325">
        <v>0</v>
      </c>
      <c r="FV361" s="325">
        <v>0</v>
      </c>
      <c r="FW361" s="325">
        <v>0</v>
      </c>
      <c r="FX361" s="325">
        <v>0</v>
      </c>
      <c r="FY361" s="325">
        <v>0</v>
      </c>
      <c r="FZ361" s="325">
        <v>0</v>
      </c>
      <c r="GA361" s="325">
        <v>0</v>
      </c>
      <c r="GB361" s="325">
        <v>0</v>
      </c>
      <c r="GC361" s="325">
        <v>0</v>
      </c>
      <c r="GE361" s="427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8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8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8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8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8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8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1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5">
        <v>21472083.333333332</v>
      </c>
      <c r="EU368" s="325">
        <v>21472083.333333332</v>
      </c>
      <c r="EV368" s="325">
        <v>21472083.333333332</v>
      </c>
      <c r="EW368" s="325">
        <v>21472083.333333332</v>
      </c>
      <c r="EX368" s="325">
        <v>21472083.333333332</v>
      </c>
      <c r="EY368" s="325">
        <v>21472083.333333332</v>
      </c>
      <c r="EZ368" s="325">
        <v>26990416.666666664</v>
      </c>
      <c r="FA368" s="325">
        <v>26990416.666666664</v>
      </c>
      <c r="FB368" s="325">
        <v>26315416.666666701</v>
      </c>
      <c r="FC368" s="325">
        <v>26315416.666666701</v>
      </c>
      <c r="FD368" s="325">
        <v>26815416.670000002</v>
      </c>
      <c r="FE368" s="325">
        <v>26815416.66</v>
      </c>
      <c r="FF368" s="325">
        <v>26743749.989999995</v>
      </c>
      <c r="FG368" s="325">
        <v>26743749.989999995</v>
      </c>
      <c r="FH368" s="325">
        <v>26743749.989999995</v>
      </c>
      <c r="FI368" s="325">
        <v>26743749.989999995</v>
      </c>
      <c r="FJ368" s="325">
        <v>26743749.989999995</v>
      </c>
      <c r="FK368" s="325">
        <v>26743749.989999995</v>
      </c>
      <c r="FL368" s="325">
        <v>26743749.989999995</v>
      </c>
      <c r="FM368" s="325">
        <v>26743749.989999995</v>
      </c>
      <c r="FN368" s="325">
        <v>26743749.989999995</v>
      </c>
      <c r="FO368" s="325">
        <v>26743749.989999995</v>
      </c>
      <c r="FP368" s="325">
        <v>14243749.989999998</v>
      </c>
      <c r="FQ368" s="325">
        <v>14243750.109999999</v>
      </c>
      <c r="FR368" s="325">
        <v>4153095.62</v>
      </c>
      <c r="FS368" s="325">
        <v>8919354.2899999991</v>
      </c>
      <c r="FT368" s="325">
        <v>13085415.970000001</v>
      </c>
      <c r="FU368" s="325">
        <v>17943688.25</v>
      </c>
      <c r="FV368" s="325">
        <v>15872563.539999999</v>
      </c>
      <c r="FW368" s="325">
        <v>25000000</v>
      </c>
      <c r="FX368" s="325">
        <v>20000000</v>
      </c>
      <c r="FY368" s="325">
        <v>20000000</v>
      </c>
      <c r="FZ368" s="325">
        <v>20000000</v>
      </c>
      <c r="GA368" s="325">
        <v>17295648.326666653</v>
      </c>
      <c r="GB368" s="325">
        <v>17295648.326666653</v>
      </c>
      <c r="GC368" s="325">
        <v>17295648.326666653</v>
      </c>
      <c r="GE368" s="427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8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8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8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8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8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8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8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5">
        <v>70000000</v>
      </c>
      <c r="FF376" s="349">
        <v>26666.67</v>
      </c>
      <c r="FG376" s="349">
        <v>26666.67</v>
      </c>
      <c r="FH376" s="349">
        <v>26666.67</v>
      </c>
      <c r="FI376" s="349">
        <v>39926666.670000002</v>
      </c>
      <c r="FJ376" s="349">
        <v>26666.67</v>
      </c>
      <c r="FK376" s="349">
        <v>26666.67</v>
      </c>
      <c r="FL376" s="349">
        <v>26666.67</v>
      </c>
      <c r="FM376" s="349">
        <v>26666.67</v>
      </c>
      <c r="FN376" s="349">
        <v>26666.67</v>
      </c>
      <c r="FO376" s="349">
        <v>26666.67</v>
      </c>
      <c r="FP376" s="349">
        <v>26666.67</v>
      </c>
      <c r="FQ376" s="349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8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8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5">
        <v>239583.41666666666</v>
      </c>
      <c r="EU378" s="325">
        <v>239583.41666666666</v>
      </c>
      <c r="EV378" s="325">
        <v>239583.41666666666</v>
      </c>
      <c r="EW378" s="325">
        <v>239583.41666666666</v>
      </c>
      <c r="EX378" s="325">
        <v>239583.41666666666</v>
      </c>
      <c r="EY378" s="325">
        <v>239583.41666666666</v>
      </c>
      <c r="EZ378" s="325">
        <v>239583.41666666666</v>
      </c>
      <c r="FA378" s="325">
        <v>239583.41666666666</v>
      </c>
      <c r="FB378" s="325">
        <v>239583.41666666666</v>
      </c>
      <c r="FC378" s="325">
        <v>239583.41666666666</v>
      </c>
      <c r="FD378" s="325">
        <v>239583.41666666666</v>
      </c>
      <c r="FE378" s="325">
        <v>239583.41666666666</v>
      </c>
      <c r="FF378" s="325">
        <v>190000.08333333334</v>
      </c>
      <c r="FG378" s="325">
        <v>190000.08333333334</v>
      </c>
      <c r="FH378" s="325">
        <v>190000.08333333334</v>
      </c>
      <c r="FI378" s="325">
        <v>190000.08333333334</v>
      </c>
      <c r="FJ378" s="325">
        <v>190000.08333333334</v>
      </c>
      <c r="FK378" s="325">
        <v>190000.08333333334</v>
      </c>
      <c r="FL378" s="325">
        <v>190000.08333333334</v>
      </c>
      <c r="FM378" s="325">
        <v>190000.08333333334</v>
      </c>
      <c r="FN378" s="325">
        <v>190000.08333333334</v>
      </c>
      <c r="FO378" s="325">
        <v>190000.08333333334</v>
      </c>
      <c r="FP378" s="325">
        <v>190000.08333333334</v>
      </c>
      <c r="FQ378" s="325">
        <v>190000.08333333334</v>
      </c>
      <c r="FR378" s="325">
        <v>0</v>
      </c>
      <c r="FS378" s="325">
        <v>277634</v>
      </c>
      <c r="FT378" s="325">
        <v>0</v>
      </c>
      <c r="FU378" s="325">
        <v>268014</v>
      </c>
      <c r="FV378" s="325">
        <v>5000</v>
      </c>
      <c r="FW378" s="325">
        <v>147050.57142857142</v>
      </c>
      <c r="FX378" s="325">
        <v>147050.57142857142</v>
      </c>
      <c r="FY378" s="325">
        <v>147050.57142857142</v>
      </c>
      <c r="FZ378" s="325">
        <v>147050.57142857142</v>
      </c>
      <c r="GA378" s="325">
        <v>147050.57142857142</v>
      </c>
      <c r="GB378" s="325">
        <v>147050.57142857142</v>
      </c>
      <c r="GC378" s="325">
        <v>147050.57142857142</v>
      </c>
      <c r="GE378" s="427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3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8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8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8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8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8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6">
        <f>DV386+DV389+DV392</f>
        <v>32768615.2925</v>
      </c>
      <c r="DW385" s="316">
        <f t="shared" ref="DW385:ES385" si="119">DW386+DW389+DW392</f>
        <v>32768615.2925</v>
      </c>
      <c r="DX385" s="316">
        <f t="shared" si="119"/>
        <v>32768615.2925</v>
      </c>
      <c r="DY385" s="316">
        <f t="shared" si="119"/>
        <v>32768615.2925</v>
      </c>
      <c r="DZ385" s="316">
        <f t="shared" si="119"/>
        <v>32768615.2925</v>
      </c>
      <c r="EA385" s="316">
        <f t="shared" si="119"/>
        <v>32768615.2925</v>
      </c>
      <c r="EB385" s="316">
        <f t="shared" si="119"/>
        <v>32768615.2925</v>
      </c>
      <c r="EC385" s="316">
        <f t="shared" si="119"/>
        <v>32768615.2925</v>
      </c>
      <c r="ED385" s="316">
        <f t="shared" si="119"/>
        <v>32768615.2925</v>
      </c>
      <c r="EE385" s="316">
        <f t="shared" si="119"/>
        <v>32768615.2925</v>
      </c>
      <c r="EF385" s="316">
        <f t="shared" si="119"/>
        <v>32768615.2925</v>
      </c>
      <c r="EG385" s="316">
        <f t="shared" si="119"/>
        <v>32768615.2925</v>
      </c>
      <c r="EH385" s="316">
        <f t="shared" si="119"/>
        <v>4617467.5633333325</v>
      </c>
      <c r="EI385" s="316">
        <f t="shared" si="119"/>
        <v>5248180.4533333331</v>
      </c>
      <c r="EJ385" s="316">
        <f t="shared" si="119"/>
        <v>18465645.143333334</v>
      </c>
      <c r="EK385" s="316">
        <f t="shared" si="119"/>
        <v>67460865.603333324</v>
      </c>
      <c r="EL385" s="316">
        <f t="shared" si="119"/>
        <v>10247541.783333333</v>
      </c>
      <c r="EM385" s="316">
        <f t="shared" si="119"/>
        <v>16046343.563333331</v>
      </c>
      <c r="EN385" s="316">
        <f t="shared" si="119"/>
        <v>23103608.363333337</v>
      </c>
      <c r="EO385" s="316">
        <f t="shared" si="119"/>
        <v>16877006.883333333</v>
      </c>
      <c r="EP385" s="316">
        <f t="shared" si="119"/>
        <v>17318908.093333334</v>
      </c>
      <c r="EQ385" s="316">
        <f t="shared" si="119"/>
        <v>9686739.4033333324</v>
      </c>
      <c r="ER385" s="316">
        <f t="shared" si="119"/>
        <v>11714826.133333333</v>
      </c>
      <c r="ES385" s="316">
        <f t="shared" si="119"/>
        <v>19628370.163333334</v>
      </c>
      <c r="FF385" s="325">
        <v>1718363.6600000001</v>
      </c>
      <c r="FG385" s="325">
        <v>3362692.9499999997</v>
      </c>
      <c r="FH385" s="325">
        <v>17620925.690000001</v>
      </c>
      <c r="FI385" s="325">
        <v>21217195.289999999</v>
      </c>
      <c r="FJ385" s="325">
        <v>181489557.88</v>
      </c>
      <c r="FK385" s="325">
        <v>16844785.800000001</v>
      </c>
      <c r="FL385" s="325">
        <v>61721044.270000003</v>
      </c>
      <c r="FM385" s="325">
        <v>13754741.09</v>
      </c>
      <c r="FN385" s="325">
        <v>17831317.309999999</v>
      </c>
      <c r="FO385" s="325">
        <v>6151156.2299999995</v>
      </c>
      <c r="FP385" s="325">
        <v>10176505.869999999</v>
      </c>
      <c r="FQ385" s="325">
        <v>21711713.960000001</v>
      </c>
      <c r="FR385" s="325">
        <v>1725839.0999999999</v>
      </c>
      <c r="FS385" s="325">
        <v>3305317.26</v>
      </c>
      <c r="FT385" s="325">
        <v>339468444.25999999</v>
      </c>
      <c r="FU385" s="325">
        <v>17477408.559999999</v>
      </c>
      <c r="FV385" s="325">
        <v>15441444.539999999</v>
      </c>
      <c r="FW385" s="325">
        <v>12046825.949999999</v>
      </c>
      <c r="FX385" s="325">
        <v>11726652.870000001</v>
      </c>
      <c r="FY385" s="325">
        <v>8624889.1799999997</v>
      </c>
      <c r="FZ385" s="325">
        <v>18011093.800000001</v>
      </c>
      <c r="GA385" s="325">
        <v>9855652.5999999996</v>
      </c>
      <c r="GB385" s="325">
        <v>89792355.439999998</v>
      </c>
      <c r="GC385" s="325">
        <v>12114076.439999999</v>
      </c>
      <c r="GE385" s="427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5">
        <v>1718363.6600000001</v>
      </c>
      <c r="FG386" s="325">
        <v>3362692.9499999997</v>
      </c>
      <c r="FH386" s="325">
        <v>17620925.690000001</v>
      </c>
      <c r="FI386" s="325">
        <v>21217195.289999999</v>
      </c>
      <c r="FJ386" s="325">
        <v>181489557.88</v>
      </c>
      <c r="FK386" s="325">
        <v>16844785.800000001</v>
      </c>
      <c r="FL386" s="325">
        <v>61721044.270000003</v>
      </c>
      <c r="FM386" s="325">
        <v>13754741.09</v>
      </c>
      <c r="FN386" s="325">
        <v>17831317.309999999</v>
      </c>
      <c r="FO386" s="325">
        <v>6151156.2299999995</v>
      </c>
      <c r="FP386" s="325">
        <v>10176505.869999999</v>
      </c>
      <c r="FQ386" s="325">
        <v>21711713.960000001</v>
      </c>
      <c r="FR386" s="325">
        <v>1725839.0999999999</v>
      </c>
      <c r="FS386" s="325">
        <v>3305317.26</v>
      </c>
      <c r="FT386" s="325">
        <v>339468444.25999999</v>
      </c>
      <c r="FU386" s="325">
        <v>17477408.559999999</v>
      </c>
      <c r="FV386" s="325">
        <v>15441444.539999999</v>
      </c>
      <c r="FW386" s="325">
        <v>12046825.949999999</v>
      </c>
      <c r="FX386" s="325">
        <v>11726652.870000001</v>
      </c>
      <c r="FY386" s="325">
        <v>8624889.1799999997</v>
      </c>
      <c r="FZ386" s="325">
        <v>18011093.800000001</v>
      </c>
      <c r="GA386" s="325">
        <v>9855652.5999999996</v>
      </c>
      <c r="GB386" s="325">
        <v>89792355.439999998</v>
      </c>
      <c r="GC386" s="325">
        <v>12114076.439999999</v>
      </c>
      <c r="GE386" s="427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8">
        <v>1983333.3333333333</v>
      </c>
      <c r="CS387" s="328">
        <v>1983333.3333333333</v>
      </c>
      <c r="CT387" s="328">
        <v>1983333.3333333333</v>
      </c>
      <c r="CU387" s="328">
        <v>1983333.3333333333</v>
      </c>
      <c r="CV387" s="328">
        <v>1983333.3333333333</v>
      </c>
      <c r="CW387" s="329">
        <v>1983333.3333333333</v>
      </c>
      <c r="CX387" s="330">
        <v>2500695.4391666665</v>
      </c>
      <c r="CY387" s="331">
        <v>2500695.4391666665</v>
      </c>
      <c r="CZ387" s="331">
        <v>2500695.4391666665</v>
      </c>
      <c r="DA387" s="331">
        <v>2500695.4391666665</v>
      </c>
      <c r="DB387" s="331">
        <v>2500695.4391666665</v>
      </c>
      <c r="DC387" s="331">
        <v>2500695.4391666665</v>
      </c>
      <c r="DD387" s="331">
        <v>2500695.4391666665</v>
      </c>
      <c r="DE387" s="331">
        <v>2500695.4391666665</v>
      </c>
      <c r="DF387" s="331">
        <v>2500695.4391666665</v>
      </c>
      <c r="DG387" s="331">
        <v>2500695.4391666665</v>
      </c>
      <c r="DH387" s="331">
        <v>2500695.4391666665</v>
      </c>
      <c r="DI387" s="332">
        <v>2500695.4391666665</v>
      </c>
      <c r="DJ387" s="333">
        <v>3892510.16</v>
      </c>
      <c r="DK387" s="328">
        <v>3892510.16</v>
      </c>
      <c r="DL387" s="328">
        <v>3892510.16</v>
      </c>
      <c r="DM387" s="328">
        <v>3892510.16</v>
      </c>
      <c r="DN387" s="328">
        <v>3892510.16</v>
      </c>
      <c r="DO387" s="328">
        <v>3892510.16</v>
      </c>
      <c r="DP387" s="328">
        <v>3892510.16</v>
      </c>
      <c r="DQ387" s="328">
        <v>3892510.16</v>
      </c>
      <c r="DR387" s="328">
        <v>3892510.16</v>
      </c>
      <c r="DS387" s="328">
        <v>3892510.16</v>
      </c>
      <c r="DT387" s="328">
        <v>3892510.16</v>
      </c>
      <c r="DU387" s="329">
        <v>3892510.16</v>
      </c>
      <c r="DV387" s="334">
        <v>3722931.8866666667</v>
      </c>
      <c r="DW387" s="334">
        <v>3722931.8866666667</v>
      </c>
      <c r="DX387" s="334">
        <v>3722931.8866666667</v>
      </c>
      <c r="DY387" s="334">
        <v>3722931.8866666667</v>
      </c>
      <c r="DZ387" s="334">
        <v>3722931.8866666667</v>
      </c>
      <c r="EA387" s="334">
        <v>3722931.8866666667</v>
      </c>
      <c r="EB387" s="334">
        <v>3722931.8866666667</v>
      </c>
      <c r="EC387" s="334">
        <v>3722931.8866666667</v>
      </c>
      <c r="ED387" s="334">
        <v>3722931.8866666667</v>
      </c>
      <c r="EE387" s="334">
        <v>3722931.8866666667</v>
      </c>
      <c r="EF387" s="334">
        <v>3722931.8866666667</v>
      </c>
      <c r="EG387" s="334">
        <v>3722931.8866666667</v>
      </c>
      <c r="EH387" s="334">
        <v>174340.51</v>
      </c>
      <c r="EI387" s="334">
        <v>177326.85</v>
      </c>
      <c r="EJ387" s="334">
        <v>7687779.1100000003</v>
      </c>
      <c r="EK387" s="334">
        <v>191127.48</v>
      </c>
      <c r="EL387" s="334">
        <v>949797.77</v>
      </c>
      <c r="EM387" s="334">
        <v>2019268.13</v>
      </c>
      <c r="EN387" s="334">
        <v>10660481.32</v>
      </c>
      <c r="EO387" s="334">
        <v>11526152.189999999</v>
      </c>
      <c r="EP387" s="334">
        <v>10016017.119999999</v>
      </c>
      <c r="EQ387" s="334">
        <v>1834828.67</v>
      </c>
      <c r="ER387" s="334">
        <v>2345417.37</v>
      </c>
      <c r="ES387" s="334">
        <v>4329305.63</v>
      </c>
      <c r="ET387" s="343">
        <v>116701.86</v>
      </c>
      <c r="EU387" s="344">
        <v>867332.36</v>
      </c>
      <c r="EV387" s="344">
        <v>7801367.0199999996</v>
      </c>
      <c r="EW387" s="344">
        <v>4481623.79</v>
      </c>
      <c r="EX387" s="344">
        <v>2831467.37</v>
      </c>
      <c r="EY387" s="344">
        <v>7170000.0800000001</v>
      </c>
      <c r="EZ387" s="344">
        <v>82322.3</v>
      </c>
      <c r="FA387" s="344">
        <v>10832753.109999999</v>
      </c>
      <c r="FB387" s="344">
        <v>1958366.01</v>
      </c>
      <c r="FC387" s="344">
        <v>1510132.11</v>
      </c>
      <c r="FD387" s="344">
        <v>834059.15</v>
      </c>
      <c r="FE387" s="344">
        <v>12202154.65</v>
      </c>
      <c r="FF387" s="349">
        <v>84944.84</v>
      </c>
      <c r="FG387" s="349">
        <v>835385.84</v>
      </c>
      <c r="FH387" s="349">
        <v>1812259.88</v>
      </c>
      <c r="FI387" s="349">
        <v>4541832.53</v>
      </c>
      <c r="FJ387" s="349">
        <v>2836722.65</v>
      </c>
      <c r="FK387" s="349">
        <v>7054086.1200000001</v>
      </c>
      <c r="FL387" s="349">
        <v>87625.45</v>
      </c>
      <c r="FM387" s="349">
        <v>10838080.380000001</v>
      </c>
      <c r="FN387" s="349">
        <v>1831359.63</v>
      </c>
      <c r="FO387" s="349">
        <v>1571862.21</v>
      </c>
      <c r="FP387" s="349">
        <v>839459.36</v>
      </c>
      <c r="FQ387" s="349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8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3">
        <v>2071825.5645770216</v>
      </c>
      <c r="EU388" s="344">
        <v>2862393.2253735214</v>
      </c>
      <c r="EV388" s="344">
        <v>12467636.918240691</v>
      </c>
      <c r="EW388" s="344">
        <v>17326274.372907523</v>
      </c>
      <c r="EX388" s="344">
        <v>15150457.606090657</v>
      </c>
      <c r="EY388" s="344">
        <v>8947929.7645770218</v>
      </c>
      <c r="EZ388" s="344">
        <v>2071825.5545770216</v>
      </c>
      <c r="FA388" s="344">
        <v>2989936.9753735219</v>
      </c>
      <c r="FB388" s="344">
        <v>16625761.232895471</v>
      </c>
      <c r="FC388" s="344">
        <v>4165314.0029075216</v>
      </c>
      <c r="FD388" s="344">
        <v>6972714.957903021</v>
      </c>
      <c r="FE388" s="344">
        <v>369847929.82457697</v>
      </c>
      <c r="FF388" s="349">
        <v>1633418.82</v>
      </c>
      <c r="FG388" s="349">
        <v>2527307.11</v>
      </c>
      <c r="FH388" s="349">
        <v>15808665.810000001</v>
      </c>
      <c r="FI388" s="349">
        <v>16675362.76</v>
      </c>
      <c r="FJ388" s="349">
        <v>178652835.22999999</v>
      </c>
      <c r="FK388" s="349">
        <v>9790699.6799999997</v>
      </c>
      <c r="FL388" s="349">
        <v>61633418.82</v>
      </c>
      <c r="FM388" s="349">
        <v>2916660.71</v>
      </c>
      <c r="FN388" s="349">
        <v>15999957.68</v>
      </c>
      <c r="FO388" s="349">
        <v>4579294.0199999996</v>
      </c>
      <c r="FP388" s="349">
        <v>9337046.5099999998</v>
      </c>
      <c r="FQ388" s="349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8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5">
        <v>0</v>
      </c>
      <c r="FS389" s="325">
        <v>0</v>
      </c>
      <c r="FT389" s="325">
        <v>0</v>
      </c>
      <c r="FU389" s="325">
        <v>0</v>
      </c>
      <c r="FV389" s="325">
        <v>0</v>
      </c>
      <c r="FW389" s="325">
        <v>0</v>
      </c>
      <c r="FX389" s="325">
        <v>0</v>
      </c>
      <c r="FY389" s="325">
        <v>0</v>
      </c>
      <c r="FZ389" s="325">
        <v>0</v>
      </c>
      <c r="GA389" s="325">
        <v>0</v>
      </c>
      <c r="GB389" s="325">
        <v>0</v>
      </c>
      <c r="GC389" s="325">
        <v>0</v>
      </c>
      <c r="GE389" s="427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8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8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5">
        <v>2681427.6666666665</v>
      </c>
      <c r="CS392" s="325">
        <v>2681427.6666666665</v>
      </c>
      <c r="CT392" s="325">
        <v>2681427.6666666665</v>
      </c>
      <c r="CU392" s="325">
        <v>2681427.6666666665</v>
      </c>
      <c r="CV392" s="325">
        <v>2681427.6666666665</v>
      </c>
      <c r="CW392" s="325">
        <v>2681427.6666666665</v>
      </c>
      <c r="CX392" s="325">
        <v>2778179.9974999996</v>
      </c>
      <c r="CY392" s="325">
        <v>2778179.9974999996</v>
      </c>
      <c r="CZ392" s="325">
        <v>2778179.9974999996</v>
      </c>
      <c r="DA392" s="325">
        <v>2778179.9974999996</v>
      </c>
      <c r="DB392" s="325">
        <v>2778179.9974999996</v>
      </c>
      <c r="DC392" s="325">
        <v>2778179.9974999996</v>
      </c>
      <c r="DD392" s="325">
        <v>2778179.9974999996</v>
      </c>
      <c r="DE392" s="325">
        <v>2778179.9974999996</v>
      </c>
      <c r="DF392" s="325">
        <v>2778179.9974999996</v>
      </c>
      <c r="DG392" s="325">
        <v>2778179.9974999996</v>
      </c>
      <c r="DH392" s="325">
        <v>2778179.9974999996</v>
      </c>
      <c r="DI392" s="325">
        <v>2778179.9974999996</v>
      </c>
      <c r="DJ392" s="325">
        <v>2817590</v>
      </c>
      <c r="DK392" s="325">
        <v>2817590</v>
      </c>
      <c r="DL392" s="325">
        <v>2817590</v>
      </c>
      <c r="DM392" s="325">
        <v>2817590</v>
      </c>
      <c r="DN392" s="325">
        <v>2817590</v>
      </c>
      <c r="DO392" s="325">
        <v>2817590</v>
      </c>
      <c r="DP392" s="325">
        <v>2817590</v>
      </c>
      <c r="DQ392" s="325">
        <v>2817590</v>
      </c>
      <c r="DR392" s="325">
        <v>2817590</v>
      </c>
      <c r="DS392" s="325">
        <v>2817590</v>
      </c>
      <c r="DT392" s="325">
        <v>2817590</v>
      </c>
      <c r="DU392" s="325">
        <v>2817590</v>
      </c>
      <c r="DV392" s="325">
        <v>3281229.6141666663</v>
      </c>
      <c r="DW392" s="325">
        <v>3281229.6141666663</v>
      </c>
      <c r="DX392" s="325">
        <v>3281229.6141666663</v>
      </c>
      <c r="DY392" s="325">
        <v>3281229.6141666663</v>
      </c>
      <c r="DZ392" s="325">
        <v>3281229.6141666663</v>
      </c>
      <c r="EA392" s="325">
        <v>3281229.6141666663</v>
      </c>
      <c r="EB392" s="325">
        <v>3281229.6141666663</v>
      </c>
      <c r="EC392" s="325">
        <v>3281229.6141666663</v>
      </c>
      <c r="ED392" s="325">
        <v>3281229.6141666663</v>
      </c>
      <c r="EE392" s="325">
        <v>3281229.6141666663</v>
      </c>
      <c r="EF392" s="325">
        <v>3281229.6141666663</v>
      </c>
      <c r="EG392" s="325">
        <v>3281229.6141666663</v>
      </c>
      <c r="EH392" s="325">
        <v>2809708.2333333329</v>
      </c>
      <c r="EI392" s="325">
        <v>2809708.2333333329</v>
      </c>
      <c r="EJ392" s="325">
        <v>2809708.2333333329</v>
      </c>
      <c r="EK392" s="325">
        <v>2809708.2333333329</v>
      </c>
      <c r="EL392" s="325">
        <v>2809708.2333333329</v>
      </c>
      <c r="EM392" s="325">
        <v>2809708.2333333329</v>
      </c>
      <c r="EN392" s="325">
        <v>2809708.2333333329</v>
      </c>
      <c r="EO392" s="325">
        <v>2809708.2333333329</v>
      </c>
      <c r="EP392" s="325">
        <v>2809708.2333333329</v>
      </c>
      <c r="EQ392" s="325">
        <v>2809708.2333333329</v>
      </c>
      <c r="ER392" s="325">
        <v>2809708.2333333329</v>
      </c>
      <c r="ES392" s="325">
        <v>2809708.2333333329</v>
      </c>
      <c r="ET392" s="325">
        <v>1807457.9166666667</v>
      </c>
      <c r="EU392" s="325">
        <v>1882457.9166666667</v>
      </c>
      <c r="EV392" s="325">
        <v>1937457.9166666667</v>
      </c>
      <c r="EW392" s="325">
        <v>1912457.9166666667</v>
      </c>
      <c r="EX392" s="325">
        <v>1967457.9166666667</v>
      </c>
      <c r="EY392" s="325">
        <v>1907457.9166666667</v>
      </c>
      <c r="EZ392" s="325">
        <v>3852457.9166666665</v>
      </c>
      <c r="FA392" s="325">
        <v>3337457.9166666665</v>
      </c>
      <c r="FB392" s="325">
        <v>2702457.9166666698</v>
      </c>
      <c r="FC392" s="325">
        <v>2797457.9166666698</v>
      </c>
      <c r="FD392" s="325">
        <v>2792457.9166666698</v>
      </c>
      <c r="FE392" s="325">
        <v>3347457.9166666698</v>
      </c>
      <c r="FF392" s="325">
        <v>1281814.4500000002</v>
      </c>
      <c r="FG392" s="325">
        <v>1266814.4500000002</v>
      </c>
      <c r="FH392" s="325">
        <v>1451704.4</v>
      </c>
      <c r="FI392" s="325">
        <v>1544149.3599999999</v>
      </c>
      <c r="FJ392" s="325">
        <v>1677270.12</v>
      </c>
      <c r="FK392" s="325">
        <v>1669874.52</v>
      </c>
      <c r="FL392" s="325">
        <v>1839973.2600000002</v>
      </c>
      <c r="FM392" s="325">
        <v>1832577.67</v>
      </c>
      <c r="FN392" s="325">
        <v>1610709.73</v>
      </c>
      <c r="FO392" s="325">
        <v>1374050.6099999999</v>
      </c>
      <c r="FP392" s="325">
        <v>1448006.5899999999</v>
      </c>
      <c r="FQ392" s="325">
        <v>1533053.84</v>
      </c>
      <c r="FR392" s="350">
        <v>1234088.2</v>
      </c>
      <c r="FS392" s="350">
        <v>1922034.51</v>
      </c>
      <c r="FT392" s="350">
        <v>1368605.81</v>
      </c>
      <c r="FU392" s="350">
        <v>1039845.76</v>
      </c>
      <c r="FV392" s="350">
        <v>1116425.95</v>
      </c>
      <c r="FW392" s="350">
        <v>1374921.7142857143</v>
      </c>
      <c r="FX392" s="350">
        <v>1374921.7142857143</v>
      </c>
      <c r="FY392" s="350">
        <v>1374921.7142857143</v>
      </c>
      <c r="FZ392" s="350">
        <v>1374921.7142857143</v>
      </c>
      <c r="GA392" s="350">
        <v>1374921.7142857143</v>
      </c>
      <c r="GB392" s="350">
        <v>1374921.7142857143</v>
      </c>
      <c r="GC392" s="350">
        <v>1374921.7142857143</v>
      </c>
      <c r="GE392" s="427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5">
        <v>830846.24800000002</v>
      </c>
      <c r="EU393" s="325">
        <v>830846.24800000002</v>
      </c>
      <c r="EV393" s="325">
        <v>830846.24800000002</v>
      </c>
      <c r="EW393" s="325">
        <v>949846.13199999998</v>
      </c>
      <c r="EX393" s="325">
        <v>1306845.784</v>
      </c>
      <c r="EY393" s="325">
        <v>830846.24800000002</v>
      </c>
      <c r="EZ393" s="325">
        <v>1246269.3720000002</v>
      </c>
      <c r="FA393" s="325">
        <v>1246269.3720000002</v>
      </c>
      <c r="FB393" s="325">
        <v>5393218.1470000008</v>
      </c>
      <c r="FC393" s="325">
        <v>5393218.1470000008</v>
      </c>
      <c r="FD393" s="325">
        <v>5393218.1470000008</v>
      </c>
      <c r="FE393" s="325">
        <v>5393218.1470000008</v>
      </c>
      <c r="FF393" s="325">
        <v>1650583.3333333333</v>
      </c>
      <c r="FG393" s="325">
        <v>1843583.3333333333</v>
      </c>
      <c r="FH393" s="325">
        <v>1650583.3333333333</v>
      </c>
      <c r="FI393" s="325">
        <v>1650583.3333333333</v>
      </c>
      <c r="FJ393" s="325">
        <v>1650583.3333333333</v>
      </c>
      <c r="FK393" s="325">
        <v>1650583.3333333333</v>
      </c>
      <c r="FL393" s="325">
        <v>4650583.3333333302</v>
      </c>
      <c r="FM393" s="325">
        <v>1650583.3333333333</v>
      </c>
      <c r="FN393" s="325">
        <v>1650583.3333333333</v>
      </c>
      <c r="FO393" s="325">
        <v>2317250</v>
      </c>
      <c r="FP393" s="325">
        <v>2317250</v>
      </c>
      <c r="FQ393" s="325">
        <v>2317250</v>
      </c>
      <c r="FR393" s="325">
        <v>1941194</v>
      </c>
      <c r="FS393" s="325">
        <v>720000</v>
      </c>
      <c r="FT393" s="325">
        <v>117020</v>
      </c>
      <c r="FU393" s="325">
        <v>3138464.05</v>
      </c>
      <c r="FV393" s="325">
        <v>16941995.850000001</v>
      </c>
      <c r="FW393" s="325">
        <v>19000000</v>
      </c>
      <c r="FX393" s="325">
        <v>13000000</v>
      </c>
      <c r="FY393" s="325">
        <v>13000000</v>
      </c>
      <c r="FZ393" s="325">
        <v>13000000</v>
      </c>
      <c r="GA393" s="325">
        <v>38000000</v>
      </c>
      <c r="GB393" s="325">
        <v>7385913.0500000007</v>
      </c>
      <c r="GC393" s="325">
        <v>7385913.0500000007</v>
      </c>
      <c r="GE393" s="427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5">
        <v>830846.24800000002</v>
      </c>
      <c r="EU394" s="325">
        <v>830846.24800000002</v>
      </c>
      <c r="EV394" s="325">
        <v>830846.24800000002</v>
      </c>
      <c r="EW394" s="325">
        <v>830846.24800000002</v>
      </c>
      <c r="EX394" s="325">
        <v>830846.24800000002</v>
      </c>
      <c r="EY394" s="325">
        <v>830846.24800000002</v>
      </c>
      <c r="EZ394" s="325">
        <v>1246269.3720000002</v>
      </c>
      <c r="FA394" s="325">
        <v>1246269.3720000002</v>
      </c>
      <c r="FB394" s="325">
        <v>2223304.53675</v>
      </c>
      <c r="FC394" s="325">
        <v>3116522.6837499999</v>
      </c>
      <c r="FD394" s="325">
        <v>8116522.6837499999</v>
      </c>
      <c r="FE394" s="325">
        <v>8116522.6837499999</v>
      </c>
      <c r="FF394" s="349">
        <v>1650583.3333333333</v>
      </c>
      <c r="FG394" s="349">
        <v>1843583.3333333333</v>
      </c>
      <c r="FH394" s="349">
        <v>1650583.3333333333</v>
      </c>
      <c r="FI394" s="349">
        <v>1650583.3333333333</v>
      </c>
      <c r="FJ394" s="349">
        <v>1650583.3333333333</v>
      </c>
      <c r="FK394" s="349">
        <v>1650583.3333333333</v>
      </c>
      <c r="FL394" s="349">
        <f>1650583.33333333+3000000</f>
        <v>4650583.3333333302</v>
      </c>
      <c r="FM394" s="349">
        <v>1650583.3333333333</v>
      </c>
      <c r="FN394" s="349">
        <v>1650583.3333333333</v>
      </c>
      <c r="FO394" s="349">
        <f>3317250-1000000</f>
        <v>2317250</v>
      </c>
      <c r="FP394" s="349">
        <f>3317250-1000000</f>
        <v>2317250</v>
      </c>
      <c r="FQ394" s="349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8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5">
        <v>0</v>
      </c>
      <c r="EU395" s="325">
        <v>0</v>
      </c>
      <c r="EV395" s="325">
        <v>0</v>
      </c>
      <c r="EW395" s="325">
        <v>118999.88400000001</v>
      </c>
      <c r="EX395" s="325">
        <v>475999.53600000002</v>
      </c>
      <c r="EY395" s="325">
        <v>0</v>
      </c>
      <c r="EZ395" s="325">
        <v>0</v>
      </c>
      <c r="FA395" s="325">
        <v>0</v>
      </c>
      <c r="FB395" s="325">
        <v>0</v>
      </c>
      <c r="FC395" s="325">
        <v>0</v>
      </c>
      <c r="FD395" s="325">
        <v>0</v>
      </c>
      <c r="FE395" s="325">
        <v>0</v>
      </c>
      <c r="FF395" s="349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8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8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7"/>
      <c r="GE399" s="429"/>
    </row>
    <row r="400" spans="1:187">
      <c r="GE400" s="432"/>
    </row>
    <row r="401" spans="187:187">
      <c r="GE401" s="429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2</v>
      </c>
      <c r="C2" s="56" t="s">
        <v>0</v>
      </c>
    </row>
    <row r="3" spans="2:7" ht="15.75" thickBot="1">
      <c r="B3" s="260">
        <v>6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Engleski</v>
      </c>
    </row>
    <row r="4" spans="2:7" ht="15.75" thickBot="1">
      <c r="B4" s="260">
        <v>2021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Montenegro</v>
      </c>
    </row>
    <row r="7" spans="2:7">
      <c r="E7" s="11" t="s">
        <v>806</v>
      </c>
      <c r="F7" s="12" t="s">
        <v>807</v>
      </c>
      <c r="G7" s="52" t="str">
        <f t="shared" si="0"/>
        <v>Ministry of Finance and social welfare</v>
      </c>
    </row>
    <row r="8" spans="2:7">
      <c r="D8" s="43"/>
      <c r="E8" s="33" t="s">
        <v>771</v>
      </c>
      <c r="F8" s="34" t="s">
        <v>805</v>
      </c>
      <c r="G8" s="53" t="str">
        <f t="shared" si="0"/>
        <v>Directorate for State Budget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Analytics Tab</v>
      </c>
    </row>
    <row r="11" spans="2:7">
      <c r="D11" s="351"/>
      <c r="E11" s="11" t="s">
        <v>826</v>
      </c>
      <c r="F11" s="12" t="s">
        <v>827</v>
      </c>
      <c r="G11" s="52" t="str">
        <f>+IF(ISBLANK(IF($B$2=1,E11,F11)),"",IF($B$2=1,E11,F11))</f>
        <v>Montly Data 2021</v>
      </c>
    </row>
    <row r="12" spans="2:7">
      <c r="D12" s="351"/>
      <c r="E12" s="11" t="s">
        <v>789</v>
      </c>
      <c r="F12" s="12" t="s">
        <v>790</v>
      </c>
      <c r="G12" s="52" t="str">
        <f t="shared" si="0"/>
        <v>Montly Data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Montly Data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Montly Data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Montly Data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Montly Data 2016</v>
      </c>
    </row>
    <row r="17" spans="2:7">
      <c r="E17" s="11" t="s">
        <v>689</v>
      </c>
      <c r="F17" s="12" t="s">
        <v>690</v>
      </c>
      <c r="G17" s="52" t="str">
        <f t="shared" si="0"/>
        <v>Montly Data 2015</v>
      </c>
    </row>
    <row r="18" spans="2:7">
      <c r="E18" s="11" t="s">
        <v>10</v>
      </c>
      <c r="F18" s="12" t="s">
        <v>11</v>
      </c>
      <c r="G18" s="52" t="str">
        <f t="shared" si="0"/>
        <v>Montly Data 2014</v>
      </c>
    </row>
    <row r="19" spans="2:7">
      <c r="E19" s="11" t="s">
        <v>12</v>
      </c>
      <c r="F19" s="12" t="s">
        <v>13</v>
      </c>
      <c r="G19" s="52" t="str">
        <f t="shared" si="0"/>
        <v>Montly Data 2013</v>
      </c>
    </row>
    <row r="20" spans="2:7">
      <c r="E20" s="11" t="s">
        <v>738</v>
      </c>
      <c r="F20" s="12" t="s">
        <v>739</v>
      </c>
      <c r="G20" s="52" t="str">
        <f t="shared" si="0"/>
        <v>Montly Data 2012</v>
      </c>
    </row>
    <row r="21" spans="2:7">
      <c r="E21" s="11" t="s">
        <v>740</v>
      </c>
      <c r="F21" s="12" t="s">
        <v>741</v>
      </c>
      <c r="G21" s="52" t="str">
        <f t="shared" si="0"/>
        <v>Montly Data 2011</v>
      </c>
    </row>
    <row r="22" spans="2:7">
      <c r="E22" s="11" t="s">
        <v>14</v>
      </c>
      <c r="F22" s="12" t="s">
        <v>404</v>
      </c>
      <c r="G22" s="52" t="str">
        <f t="shared" si="0"/>
        <v>Historical Data, since 2006</v>
      </c>
    </row>
    <row r="23" spans="2:7">
      <c r="E23" s="11" t="s">
        <v>15</v>
      </c>
      <c r="F23" s="12" t="s">
        <v>16</v>
      </c>
      <c r="G23" s="52" t="str">
        <f t="shared" si="0"/>
        <v>Public Debt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Execution</v>
      </c>
    </row>
    <row r="26" spans="2:7">
      <c r="D26" s="43"/>
      <c r="E26" s="33" t="s">
        <v>414</v>
      </c>
      <c r="F26" s="34" t="s">
        <v>415</v>
      </c>
      <c r="G26" s="53" t="str">
        <f t="shared" si="0"/>
        <v>Welcome tab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Total Revenues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Current Revenues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Taxes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Personal Income Tax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Corporate Income Tax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 xml:space="preserve">Taxes on Sales of Property 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Value Added Tax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Excises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Tax on International Trade and Transactions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Other Republic Taxes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Contributions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Contributions for Pension and Disability Insurance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Contributions for Health Insurance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Contributions for  Unemployment Insurance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Other contributions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Duties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Administrative Duties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Court Duties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Residential Duties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Registration Duties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Local Duties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Other duties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Fees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Fees for Use of Goods of Common Interest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Fees for Use of Natural Resources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Ecological Fees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Fees for Organizing Games of Chance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Fees for Usage of Construction Land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Fees for Regulation and Upkeep of Construction Land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>Fees for Construction and Upkeep of Local Roads and Other Local Facilities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Road fees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Other fees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Other revenues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Revenues from Capital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Fines and Seized Property Gains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Revenues from Government Body Activities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Self contributions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Other Revenues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Revenues from Selling Assets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Revenues from Selling Non-Financial Assets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Revenues from Selling Financial Assets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Receipts from Repayment of Loans and Funds Carried over from Previous Year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Receipts from Repayment of Loans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Funds Carried over from Previous Year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Grants and Transfers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Grants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Transfers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>Loans and borrowings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Loans and borrowings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Domestic Loans and Borrowings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Foreign Loans and Borrowings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Total Expenditures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Current Budgetary Consumption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Current Expenditures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Gross Salaries and Contributions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 Salaries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Personal Income Tax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Contributions Charged to Employee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Contributions Charged to Employer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Surtax on PIT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Other Personal Income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Compensation for Meals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Compensation for Living Costs and Separate Living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Compensation for Transport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Annual awards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Compensation for Early Retirement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Parliament Members Compensation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Other Compensations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 xml:space="preserve">Other 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Expenditures for Supplies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Administrative Supplies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Health Protection Supplies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Special Supplies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Expenditures for Energy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Expenditures for Fuel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Other Expenditures for Supplies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Expenditures for Services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Business trips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Representation Costs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Communication Services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 Services and FX Conversion Loss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Transport Services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Legal Services (lawyers, notars and others)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Consultancy Services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Professional Training Services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Other Services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Current Maintenance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Current Maintenance of Public Infrastructure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Current Maintenance of Buildings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Current Maintenance of Equipment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Interests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Interests on Domestic Debt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Interests on Foreign Debt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Rent of Real Estate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Rent of Equipment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Rent of Property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Subsidies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Production and Services Subsidies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Export Subsidies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Import Subsidies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Other expenditures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 xml:space="preserve">Expenditures for Service Contracts 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Expenditures for Judicial Proceeding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Expenditures for Software Maintenance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Insurance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Contribution for Domestic and International Institutions Membership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Utility Charges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Penalties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Fees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Others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Social Security Transfers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Social Security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Children benefits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Veteran and disability benefits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Assistance for the Family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Maternity leave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Care and Assistance Benefits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Pre-school Meal Plans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Support to Nurse Homes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Other rights from social protection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Funds for redundant labor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Guaranteed Earnings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Redundant Labor Benefits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Additional Insurance Payment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Compensation to Unemployed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Other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Pension and Disability Insurance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Age pension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Disability pension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Family pension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Compensations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Addendums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Other rughts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Contribution to Health Protection of Pensioners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Other Health Care Transfers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Health Treatment Abroad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Other Health Care Insurance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Orthopedic Devices and Supplies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 xml:space="preserve">Compensation for Health Leave 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Compensation for Travel Costs of Insured Person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Transfers to Institutions, Individuals, NGO and Public Sector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Transfers to Institutions, Individuals, NGO and Public Sector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>Transfers for Health Protection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 for Education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Transfers for Culture and Sports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Transfers to NGOs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Transfers to Political Parties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Transfers for Non-refundable Social Help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Trasfers for Intern's Salary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Other Transfers to Individuals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Other Transfers to Institutions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>Other Transfers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Transfers to Fund for Pension and Disability Insurance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Transfers to Health Fund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Transfers to Employment Fund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Transfers to Municipalities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Transfers to State Budget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Transfers to State Owned Enterprises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Capital Expenditure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Capital Expenditure for Public Infrastructure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Capital Expenditure for Local Infrastructure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Capital Expenditure for Building Construction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Capital Expenditure for Land Construction/Improvement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Capital Expenditure for Equipment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Capital Expenditure for Investment Upkeep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Capital Expenditure for Stock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Capital Expenditure for Securities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Other Capital Expenditure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Credits and Borrowings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Credits and Borrowings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Credits and Borrowings to Non-Financial Institutions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Credits and Borrowings to Financial Institutions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Credits and Borrowings to Individuals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Credits and Borrowings to Municipalities and State Funds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Other Credits and Borrowings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Repayment of Debt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Repayment of Debt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Repayment of Domestic Debt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Repayment of Foreign Debt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Repayment of Guarantees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Repayment of Domestic Guarantees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Repayment of Foreign Guarantees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Repayments of liabilities form the previous period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Reserves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Current Budget Reserve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Permanent Budget Reserve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Other Reserves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Surplus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Primary surplus/deficit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 xml:space="preserve"> </v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Financing needs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Financing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Increase / decrease of deposits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 increase of liabilities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January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February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March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May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June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July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August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September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October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November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December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June</v>
      </c>
    </row>
    <row r="245" spans="4:7">
      <c r="D245" s="49"/>
      <c r="E245" s="9"/>
      <c r="F245" s="10"/>
      <c r="G245" s="52" t="str">
        <f>+CONCATENATE("Jan - ",LEFT(G244,3))</f>
        <v>Jan - Jun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GDP</v>
      </c>
    </row>
    <row r="249" spans="4:7">
      <c r="D249" s="46"/>
      <c r="E249" s="9"/>
      <c r="F249" s="10"/>
      <c r="G249" s="52" t="str">
        <f>+CONCATENATE("% ",G248)</f>
        <v>% GDP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Budget Execution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Planned Budget Execution</v>
      </c>
    </row>
    <row r="253" spans="4:7">
      <c r="D253" s="46"/>
      <c r="E253" s="9" t="str">
        <f>+CONCATENATE("Analitika za period ",G245)</f>
        <v>Analitika za period Jan - Jun</v>
      </c>
      <c r="F253" s="10" t="str">
        <f>+CONCATENATE("Analytics for period ",G245)</f>
        <v>Analytics for period Jan - Jun</v>
      </c>
      <c r="G253" s="52" t="str">
        <f>+IF(ISBLANK(IF($B$2=1,E253,F253)),"",IF($B$2=1,E253,F253))</f>
        <v>Analytics for period Jan - Jun</v>
      </c>
    </row>
    <row r="254" spans="4:7">
      <c r="D254" s="46"/>
      <c r="E254" s="9" t="str">
        <f>+CONCATENATE("Analitika za period ",G244)</f>
        <v>Analitika za period June</v>
      </c>
      <c r="F254" s="10" t="str">
        <f>+CONCATENATE("Analytics for period ",G244)</f>
        <v>Analytics for period June</v>
      </c>
      <c r="G254" s="52" t="str">
        <f>+IF(ISBLANK(IF($B$2=1,E254,F254)),"",IF($B$2=1,E254,F254))</f>
        <v>Analytics for period June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Execution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Deviation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Budget realization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Revenues for June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Expenditures for June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Deficit for June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Revenues for period January - June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Expenditures for period January - June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Surplus/Deficit for period January - June</v>
      </c>
    </row>
    <row r="277" spans="5:7">
      <c r="E277" s="9" t="s">
        <v>409</v>
      </c>
      <c r="F277" s="10" t="s">
        <v>410</v>
      </c>
      <c r="G277" s="52" t="str">
        <f t="shared" si="3"/>
        <v>Public debt (% GDP)</v>
      </c>
    </row>
    <row r="279" spans="5:7">
      <c r="E279" s="9" t="s">
        <v>407</v>
      </c>
      <c r="F279" s="10" t="s">
        <v>408</v>
      </c>
      <c r="G279" s="52" t="str">
        <f t="shared" si="3"/>
        <v>Breakdown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Contact: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Analitika - 2014</vt:lpstr>
      <vt:lpstr>Breakdown</vt:lpstr>
      <vt:lpstr>Analytics - 2021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Andjela Bulatovic</cp:lastModifiedBy>
  <cp:lastPrinted>2021-07-26T08:41:47Z</cp:lastPrinted>
  <dcterms:created xsi:type="dcterms:W3CDTF">2014-09-15T13:41:17Z</dcterms:created>
  <dcterms:modified xsi:type="dcterms:W3CDTF">2021-07-29T05:34:50Z</dcterms:modified>
</cp:coreProperties>
</file>