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vena.cobeljic\Desktop\"/>
    </mc:Choice>
  </mc:AlternateContent>
  <bookViews>
    <workbookView xWindow="0" yWindow="0" windowWidth="13695" windowHeight="11355" tabRatio="817" activeTab="2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Budget'!$B$13:$C$75</definedName>
    <definedName name="Z_05AB59A7_9F04_4F70_A17E_8EF60EF35C7C_.wvu.PrintArea" localSheetId="1" hidden="1">'Local Government'!$B$13:$M$59</definedName>
    <definedName name="Z_05AB59A7_9F04_4F70_A17E_8EF60EF35C7C_.wvu.PrintArea" localSheetId="2" hidden="1">'Public Expenditure'!$B$12:$M$74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62913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D63" i="33" l="1"/>
  <c r="L18" i="32" l="1"/>
  <c r="L19" i="32"/>
  <c r="L20" i="32"/>
  <c r="L21" i="32"/>
  <c r="L22" i="32"/>
  <c r="L23" i="32"/>
  <c r="L24" i="32"/>
  <c r="L25" i="32"/>
  <c r="J75" i="10" l="1"/>
  <c r="D25" i="10" l="1"/>
  <c r="D49" i="32" l="1"/>
  <c r="J37" i="32" l="1"/>
  <c r="E68" i="10" l="1"/>
  <c r="G68" i="10"/>
  <c r="H68" i="10"/>
  <c r="I68" i="10"/>
  <c r="K68" i="10"/>
  <c r="L68" i="10"/>
  <c r="M68" i="10"/>
  <c r="D47" i="10"/>
  <c r="C22" i="32" l="1"/>
  <c r="J49" i="32" l="1"/>
  <c r="D28" i="32" l="1"/>
  <c r="D40" i="33" l="1"/>
  <c r="F37" i="32"/>
  <c r="F28" i="32"/>
  <c r="F26" i="32" l="1"/>
  <c r="F27" i="32" s="1"/>
  <c r="D37" i="10" l="1"/>
  <c r="D17" i="33" l="1"/>
  <c r="F34" i="33" l="1"/>
  <c r="F38" i="33"/>
  <c r="J52" i="33" l="1"/>
  <c r="J51" i="33"/>
  <c r="J50" i="33"/>
  <c r="J49" i="33"/>
  <c r="J48" i="33"/>
  <c r="J34" i="33"/>
  <c r="J47" i="33" l="1"/>
  <c r="H22" i="10"/>
  <c r="H38" i="10"/>
  <c r="H60" i="32"/>
  <c r="D37" i="32" l="1"/>
  <c r="D26" i="32" s="1"/>
  <c r="D27" i="32" l="1"/>
  <c r="F58" i="33"/>
  <c r="F66" i="33"/>
  <c r="J66" i="33"/>
  <c r="D66" i="33"/>
  <c r="I66" i="33" l="1"/>
  <c r="L66" i="33"/>
  <c r="M66" i="33"/>
  <c r="H66" i="33"/>
  <c r="F40" i="33" l="1"/>
  <c r="F49" i="32"/>
  <c r="H49" i="32" s="1"/>
  <c r="M52" i="32"/>
  <c r="L52" i="32"/>
  <c r="I52" i="32"/>
  <c r="H52" i="32"/>
  <c r="F17" i="32"/>
  <c r="F16" i="32" s="1"/>
  <c r="F46" i="32" s="1"/>
  <c r="J17" i="33"/>
  <c r="J18" i="33"/>
  <c r="J19" i="33"/>
  <c r="J20" i="33"/>
  <c r="J21" i="33"/>
  <c r="J22" i="33"/>
  <c r="J23" i="33"/>
  <c r="J24" i="33"/>
  <c r="J26" i="33"/>
  <c r="J27" i="33"/>
  <c r="J28" i="33"/>
  <c r="J29" i="33"/>
  <c r="J30" i="33"/>
  <c r="J31" i="33"/>
  <c r="J32" i="33"/>
  <c r="J33" i="33"/>
  <c r="J38" i="33"/>
  <c r="J39" i="33"/>
  <c r="J40" i="33"/>
  <c r="J41" i="33"/>
  <c r="J42" i="33"/>
  <c r="J43" i="33"/>
  <c r="J44" i="33"/>
  <c r="J45" i="33"/>
  <c r="J46" i="33"/>
  <c r="J54" i="33"/>
  <c r="J55" i="33"/>
  <c r="J56" i="33"/>
  <c r="J57" i="33"/>
  <c r="J59" i="33"/>
  <c r="J58" i="33"/>
  <c r="J64" i="33"/>
  <c r="J65" i="33"/>
  <c r="J67" i="33"/>
  <c r="F17" i="33"/>
  <c r="F18" i="33"/>
  <c r="F19" i="33"/>
  <c r="F20" i="33"/>
  <c r="F21" i="33"/>
  <c r="F22" i="33"/>
  <c r="F23" i="33"/>
  <c r="F24" i="33"/>
  <c r="F26" i="33"/>
  <c r="F27" i="33"/>
  <c r="F28" i="33"/>
  <c r="F29" i="33"/>
  <c r="F30" i="33"/>
  <c r="F31" i="33"/>
  <c r="F32" i="33"/>
  <c r="F33" i="33"/>
  <c r="F39" i="33"/>
  <c r="F41" i="33"/>
  <c r="F42" i="33"/>
  <c r="F43" i="33"/>
  <c r="F44" i="33"/>
  <c r="F45" i="33"/>
  <c r="F46" i="33"/>
  <c r="F54" i="33"/>
  <c r="F55" i="33"/>
  <c r="F56" i="33"/>
  <c r="F57" i="33"/>
  <c r="F59" i="33"/>
  <c r="F64" i="33"/>
  <c r="F65" i="33"/>
  <c r="F67" i="33"/>
  <c r="D32" i="33"/>
  <c r="D30" i="33"/>
  <c r="D31" i="33"/>
  <c r="D18" i="33"/>
  <c r="D19" i="33"/>
  <c r="D20" i="33"/>
  <c r="D21" i="33"/>
  <c r="D22" i="33"/>
  <c r="D23" i="33"/>
  <c r="D24" i="33"/>
  <c r="D33" i="33"/>
  <c r="D34" i="33"/>
  <c r="D38" i="33"/>
  <c r="D39" i="33"/>
  <c r="D41" i="33"/>
  <c r="D42" i="33"/>
  <c r="D43" i="33"/>
  <c r="D44" i="33"/>
  <c r="D45" i="33"/>
  <c r="D46" i="33"/>
  <c r="D54" i="33"/>
  <c r="D55" i="33"/>
  <c r="D56" i="33"/>
  <c r="D57" i="33"/>
  <c r="D58" i="33"/>
  <c r="D59" i="33"/>
  <c r="D64" i="33"/>
  <c r="D65" i="33"/>
  <c r="D67" i="33"/>
  <c r="I45" i="32"/>
  <c r="M45" i="32"/>
  <c r="M44" i="32"/>
  <c r="L44" i="32"/>
  <c r="J11" i="32"/>
  <c r="K44" i="32" s="1"/>
  <c r="D11" i="32"/>
  <c r="G52" i="32" s="1"/>
  <c r="I44" i="32"/>
  <c r="H44" i="32"/>
  <c r="J17" i="32"/>
  <c r="J16" i="32" s="1"/>
  <c r="K16" i="32" s="1"/>
  <c r="J28" i="32"/>
  <c r="D17" i="32"/>
  <c r="D16" i="32" s="1"/>
  <c r="D46" i="32" s="1"/>
  <c r="M74" i="10"/>
  <c r="M73" i="10"/>
  <c r="M72" i="10"/>
  <c r="M69" i="10"/>
  <c r="M67" i="10"/>
  <c r="M66" i="10"/>
  <c r="H69" i="10"/>
  <c r="L69" i="10"/>
  <c r="K69" i="10"/>
  <c r="I69" i="10"/>
  <c r="G69" i="10"/>
  <c r="E69" i="10"/>
  <c r="D17" i="10"/>
  <c r="D25" i="33"/>
  <c r="E37" i="10"/>
  <c r="D65" i="10"/>
  <c r="E65" i="10" s="1"/>
  <c r="F17" i="10"/>
  <c r="F25" i="10"/>
  <c r="G25" i="10" s="1"/>
  <c r="F37" i="10"/>
  <c r="G37" i="10" s="1"/>
  <c r="F47" i="10"/>
  <c r="G47" i="10" s="1"/>
  <c r="F53" i="33"/>
  <c r="F65" i="10"/>
  <c r="G65" i="10" s="1"/>
  <c r="J17" i="10"/>
  <c r="K17" i="10" s="1"/>
  <c r="J25" i="10"/>
  <c r="K25" i="10" s="1"/>
  <c r="J37" i="10"/>
  <c r="J47" i="10"/>
  <c r="K47" i="10" s="1"/>
  <c r="J53" i="33"/>
  <c r="M61" i="10"/>
  <c r="M60" i="10"/>
  <c r="E18" i="10"/>
  <c r="E19" i="10"/>
  <c r="E20" i="10"/>
  <c r="E21" i="10"/>
  <c r="E22" i="10"/>
  <c r="E23" i="10"/>
  <c r="E24" i="10"/>
  <c r="F73" i="33"/>
  <c r="D73" i="33"/>
  <c r="J73" i="33"/>
  <c r="M54" i="10"/>
  <c r="M55" i="10"/>
  <c r="L54" i="10"/>
  <c r="L55" i="10"/>
  <c r="I54" i="10"/>
  <c r="I55" i="10"/>
  <c r="H54" i="10"/>
  <c r="H55" i="10"/>
  <c r="G55" i="10"/>
  <c r="G54" i="10"/>
  <c r="K55" i="10"/>
  <c r="K54" i="10"/>
  <c r="D52" i="33"/>
  <c r="D51" i="33"/>
  <c r="D50" i="33"/>
  <c r="D49" i="33"/>
  <c r="D48" i="33"/>
  <c r="C33" i="10"/>
  <c r="I24" i="32"/>
  <c r="H14" i="32"/>
  <c r="L14" i="32" s="1"/>
  <c r="D15" i="32"/>
  <c r="E15" i="32"/>
  <c r="F15" i="32"/>
  <c r="G15" i="32"/>
  <c r="H15" i="32"/>
  <c r="J15" i="32"/>
  <c r="K15" i="32"/>
  <c r="L15" i="32"/>
  <c r="C16" i="32"/>
  <c r="C17" i="32"/>
  <c r="C18" i="32"/>
  <c r="H18" i="32"/>
  <c r="I18" i="32"/>
  <c r="M18" i="32"/>
  <c r="C19" i="32"/>
  <c r="H19" i="32"/>
  <c r="I19" i="32"/>
  <c r="M19" i="32"/>
  <c r="H20" i="32"/>
  <c r="I20" i="32"/>
  <c r="M20" i="32"/>
  <c r="C21" i="32"/>
  <c r="C23" i="32"/>
  <c r="C24" i="32"/>
  <c r="H24" i="32"/>
  <c r="M24" i="32"/>
  <c r="H25" i="32"/>
  <c r="I25" i="32"/>
  <c r="M25" i="32"/>
  <c r="C26" i="32"/>
  <c r="C27" i="32"/>
  <c r="C28" i="32"/>
  <c r="C29" i="32"/>
  <c r="H29" i="32"/>
  <c r="I29" i="32"/>
  <c r="L29" i="32"/>
  <c r="M29" i="32"/>
  <c r="C30" i="32"/>
  <c r="H30" i="32"/>
  <c r="I30" i="32"/>
  <c r="L30" i="32"/>
  <c r="M30" i="32"/>
  <c r="C31" i="32"/>
  <c r="H31" i="32"/>
  <c r="I31" i="32"/>
  <c r="L31" i="32"/>
  <c r="M31" i="32"/>
  <c r="C32" i="32"/>
  <c r="H32" i="32"/>
  <c r="I32" i="32"/>
  <c r="L32" i="32"/>
  <c r="M32" i="32"/>
  <c r="C33" i="32"/>
  <c r="H33" i="32"/>
  <c r="I33" i="32"/>
  <c r="L33" i="32"/>
  <c r="M33" i="32"/>
  <c r="C34" i="32"/>
  <c r="H34" i="32"/>
  <c r="I34" i="32"/>
  <c r="L34" i="32"/>
  <c r="M34" i="32"/>
  <c r="C35" i="32"/>
  <c r="H35" i="32"/>
  <c r="I35" i="32"/>
  <c r="L35" i="32"/>
  <c r="M35" i="32"/>
  <c r="C36" i="32"/>
  <c r="H36" i="32"/>
  <c r="I36" i="32"/>
  <c r="L36" i="32"/>
  <c r="M36" i="32"/>
  <c r="C37" i="32"/>
  <c r="H38" i="32"/>
  <c r="I38" i="32"/>
  <c r="L38" i="32"/>
  <c r="M38" i="32"/>
  <c r="C39" i="32"/>
  <c r="C40" i="32"/>
  <c r="H40" i="32"/>
  <c r="I40" i="32"/>
  <c r="L40" i="32"/>
  <c r="M40" i="32"/>
  <c r="C41" i="32"/>
  <c r="H41" i="32"/>
  <c r="I41" i="32"/>
  <c r="L41" i="32"/>
  <c r="M41" i="32"/>
  <c r="C42" i="32"/>
  <c r="H42" i="32"/>
  <c r="I42" i="32"/>
  <c r="L42" i="32"/>
  <c r="M42" i="32"/>
  <c r="H43" i="32"/>
  <c r="I43" i="32"/>
  <c r="L43" i="32"/>
  <c r="M43" i="32"/>
  <c r="H45" i="32"/>
  <c r="L45" i="32"/>
  <c r="C46" i="32"/>
  <c r="C48" i="32"/>
  <c r="C49" i="32"/>
  <c r="C50" i="32"/>
  <c r="H50" i="32"/>
  <c r="I50" i="32"/>
  <c r="L50" i="32"/>
  <c r="M50" i="32"/>
  <c r="C51" i="32"/>
  <c r="H51" i="32"/>
  <c r="I51" i="32"/>
  <c r="L51" i="32"/>
  <c r="M51" i="32"/>
  <c r="H53" i="32"/>
  <c r="I53" i="32"/>
  <c r="L53" i="32"/>
  <c r="M53" i="32"/>
  <c r="C54" i="32"/>
  <c r="C55" i="32"/>
  <c r="C56" i="32"/>
  <c r="H56" i="32"/>
  <c r="I56" i="32"/>
  <c r="L56" i="32"/>
  <c r="M56" i="32"/>
  <c r="C57" i="32"/>
  <c r="H57" i="32"/>
  <c r="I57" i="32"/>
  <c r="L57" i="32"/>
  <c r="M57" i="32"/>
  <c r="C58" i="32"/>
  <c r="H58" i="32"/>
  <c r="I58" i="32"/>
  <c r="L58" i="32"/>
  <c r="M58" i="32"/>
  <c r="C59" i="32"/>
  <c r="I60" i="32"/>
  <c r="L60" i="32"/>
  <c r="M60" i="32"/>
  <c r="H39" i="32"/>
  <c r="I23" i="32"/>
  <c r="M23" i="32"/>
  <c r="L39" i="32"/>
  <c r="H23" i="32"/>
  <c r="M22" i="32"/>
  <c r="I22" i="32"/>
  <c r="M21" i="32"/>
  <c r="I21" i="32"/>
  <c r="M39" i="32"/>
  <c r="I39" i="32"/>
  <c r="H22" i="32"/>
  <c r="H21" i="32"/>
  <c r="E55" i="10"/>
  <c r="E54" i="10"/>
  <c r="D72" i="33"/>
  <c r="D71" i="33"/>
  <c r="D70" i="33"/>
  <c r="L74" i="10"/>
  <c r="J65" i="10"/>
  <c r="M65" i="10" s="1"/>
  <c r="H74" i="10"/>
  <c r="H73" i="10"/>
  <c r="H72" i="10"/>
  <c r="M58" i="10"/>
  <c r="M57" i="10"/>
  <c r="M56" i="10"/>
  <c r="M53" i="10"/>
  <c r="M52" i="10"/>
  <c r="M51" i="10"/>
  <c r="M50" i="10"/>
  <c r="M49" i="10"/>
  <c r="M48" i="10"/>
  <c r="M46" i="10"/>
  <c r="M45" i="10"/>
  <c r="M44" i="10"/>
  <c r="M43" i="10"/>
  <c r="M42" i="10"/>
  <c r="M41" i="10"/>
  <c r="M40" i="10"/>
  <c r="M39" i="10"/>
  <c r="M38" i="10"/>
  <c r="M34" i="10"/>
  <c r="M33" i="10"/>
  <c r="M32" i="10"/>
  <c r="M31" i="10"/>
  <c r="M30" i="10"/>
  <c r="M29" i="10"/>
  <c r="M28" i="10"/>
  <c r="M27" i="10"/>
  <c r="M26" i="10"/>
  <c r="M24" i="10"/>
  <c r="M23" i="10"/>
  <c r="M22" i="10"/>
  <c r="M21" i="10"/>
  <c r="M20" i="10"/>
  <c r="M19" i="10"/>
  <c r="M18" i="10"/>
  <c r="L56" i="10"/>
  <c r="M59" i="10"/>
  <c r="G79" i="36"/>
  <c r="J78" i="36"/>
  <c r="I78" i="36"/>
  <c r="H78" i="36"/>
  <c r="F78" i="36"/>
  <c r="D78" i="36"/>
  <c r="J77" i="36"/>
  <c r="I77" i="36"/>
  <c r="H77" i="36"/>
  <c r="F77" i="36"/>
  <c r="D77" i="36"/>
  <c r="J76" i="36"/>
  <c r="I76" i="36"/>
  <c r="H76" i="36"/>
  <c r="F76" i="36"/>
  <c r="D76" i="36"/>
  <c r="H74" i="36"/>
  <c r="J73" i="36"/>
  <c r="I73" i="36"/>
  <c r="H73" i="36"/>
  <c r="F73" i="36"/>
  <c r="D73" i="36"/>
  <c r="J72" i="36"/>
  <c r="I72" i="36"/>
  <c r="H72" i="36"/>
  <c r="F72" i="36"/>
  <c r="D72" i="36"/>
  <c r="J71" i="36"/>
  <c r="I71" i="36"/>
  <c r="H71" i="36"/>
  <c r="F71" i="36"/>
  <c r="D71" i="36"/>
  <c r="H70" i="36"/>
  <c r="G70" i="36"/>
  <c r="E70" i="36"/>
  <c r="J70" i="36"/>
  <c r="D70" i="36"/>
  <c r="C70" i="36"/>
  <c r="J67" i="36"/>
  <c r="I67" i="36"/>
  <c r="H67" i="36"/>
  <c r="F67" i="36"/>
  <c r="D67" i="36"/>
  <c r="J66" i="36"/>
  <c r="I66" i="36"/>
  <c r="H66" i="36"/>
  <c r="F66" i="36"/>
  <c r="D66" i="36"/>
  <c r="J65" i="36"/>
  <c r="I65" i="36"/>
  <c r="H65" i="36"/>
  <c r="F65" i="36"/>
  <c r="D65" i="36"/>
  <c r="J64" i="36"/>
  <c r="I64" i="36"/>
  <c r="H64" i="36"/>
  <c r="F64" i="36"/>
  <c r="D64" i="36"/>
  <c r="J63" i="36"/>
  <c r="I63" i="36"/>
  <c r="H63" i="36"/>
  <c r="F63" i="36"/>
  <c r="D63" i="36"/>
  <c r="J62" i="36"/>
  <c r="I62" i="36"/>
  <c r="H62" i="36"/>
  <c r="F62" i="36"/>
  <c r="D62" i="36"/>
  <c r="J61" i="36"/>
  <c r="I61" i="36"/>
  <c r="H61" i="36"/>
  <c r="F61" i="36"/>
  <c r="D61" i="36"/>
  <c r="G60" i="36"/>
  <c r="E60" i="36"/>
  <c r="C60" i="36"/>
  <c r="D60" i="36"/>
  <c r="J59" i="36"/>
  <c r="I59" i="36"/>
  <c r="H59" i="36"/>
  <c r="F59" i="36"/>
  <c r="D59" i="36"/>
  <c r="J58" i="36"/>
  <c r="I58" i="36"/>
  <c r="H58" i="36"/>
  <c r="F58" i="36"/>
  <c r="D58" i="36"/>
  <c r="J57" i="36"/>
  <c r="I57" i="36"/>
  <c r="H57" i="36"/>
  <c r="F57" i="36"/>
  <c r="D57" i="36"/>
  <c r="J56" i="36"/>
  <c r="I56" i="36"/>
  <c r="H56" i="36"/>
  <c r="F56" i="36"/>
  <c r="D56" i="36"/>
  <c r="J55" i="36"/>
  <c r="I55" i="36"/>
  <c r="H55" i="36"/>
  <c r="F55" i="36"/>
  <c r="D55" i="36"/>
  <c r="G54" i="36"/>
  <c r="H54" i="36"/>
  <c r="E54" i="36"/>
  <c r="F54" i="36"/>
  <c r="C54" i="36"/>
  <c r="D54" i="36"/>
  <c r="J53" i="36"/>
  <c r="I53" i="36"/>
  <c r="H53" i="36"/>
  <c r="F53" i="36"/>
  <c r="D53" i="36"/>
  <c r="J52" i="36"/>
  <c r="I52" i="36"/>
  <c r="H52" i="36"/>
  <c r="F52" i="36"/>
  <c r="D52" i="36"/>
  <c r="J51" i="36"/>
  <c r="I51" i="36"/>
  <c r="H51" i="36"/>
  <c r="F51" i="36"/>
  <c r="D51" i="36"/>
  <c r="J50" i="36"/>
  <c r="I50" i="36"/>
  <c r="H50" i="36"/>
  <c r="F50" i="36"/>
  <c r="D50" i="36"/>
  <c r="J49" i="36"/>
  <c r="I49" i="36"/>
  <c r="H49" i="36"/>
  <c r="F49" i="36"/>
  <c r="D49" i="36"/>
  <c r="J48" i="36"/>
  <c r="I48" i="36"/>
  <c r="H48" i="36"/>
  <c r="F48" i="36"/>
  <c r="D48" i="36"/>
  <c r="J47" i="36"/>
  <c r="I47" i="36"/>
  <c r="H47" i="36"/>
  <c r="F47" i="36"/>
  <c r="D47" i="36"/>
  <c r="J46" i="36"/>
  <c r="I46" i="36"/>
  <c r="H46" i="36"/>
  <c r="F46" i="36"/>
  <c r="D46" i="36"/>
  <c r="J45" i="36"/>
  <c r="I45" i="36"/>
  <c r="H45" i="36"/>
  <c r="F45" i="36"/>
  <c r="D45" i="36"/>
  <c r="J44" i="36"/>
  <c r="I44" i="36"/>
  <c r="H44" i="36"/>
  <c r="F44" i="36"/>
  <c r="D44" i="36"/>
  <c r="G43" i="36"/>
  <c r="E43" i="36"/>
  <c r="F43" i="36"/>
  <c r="C43" i="36"/>
  <c r="D43" i="36"/>
  <c r="J40" i="36"/>
  <c r="I40" i="36"/>
  <c r="H40" i="36"/>
  <c r="F40" i="36"/>
  <c r="D40" i="36"/>
  <c r="J39" i="36"/>
  <c r="I39" i="36"/>
  <c r="H39" i="36"/>
  <c r="F39" i="36"/>
  <c r="D39" i="36"/>
  <c r="J38" i="36"/>
  <c r="I38" i="36"/>
  <c r="H38" i="36"/>
  <c r="F38" i="36"/>
  <c r="D38" i="36"/>
  <c r="J37" i="36"/>
  <c r="I37" i="36"/>
  <c r="H37" i="36"/>
  <c r="F37" i="36"/>
  <c r="D37" i="36"/>
  <c r="J36" i="36"/>
  <c r="I36" i="36"/>
  <c r="H36" i="36"/>
  <c r="F36" i="36"/>
  <c r="D36" i="36"/>
  <c r="J35" i="36"/>
  <c r="I35" i="36"/>
  <c r="H35" i="36"/>
  <c r="F35" i="36"/>
  <c r="D35" i="36"/>
  <c r="G34" i="36"/>
  <c r="H34" i="36"/>
  <c r="E34" i="36"/>
  <c r="F34" i="36"/>
  <c r="D34" i="36"/>
  <c r="C34" i="36"/>
  <c r="J33" i="36"/>
  <c r="I33" i="36"/>
  <c r="H33" i="36"/>
  <c r="F33" i="36"/>
  <c r="D33" i="36"/>
  <c r="J32" i="36"/>
  <c r="I32" i="36"/>
  <c r="H32" i="36"/>
  <c r="F32" i="36"/>
  <c r="D32" i="36"/>
  <c r="J31" i="36"/>
  <c r="I31" i="36"/>
  <c r="H31" i="36"/>
  <c r="F31" i="36"/>
  <c r="D31" i="36"/>
  <c r="J30" i="36"/>
  <c r="I30" i="36"/>
  <c r="H30" i="36"/>
  <c r="F30" i="36"/>
  <c r="D30" i="36"/>
  <c r="J29" i="36"/>
  <c r="I29" i="36"/>
  <c r="H29" i="36"/>
  <c r="F29" i="36"/>
  <c r="D29" i="36"/>
  <c r="J28" i="36"/>
  <c r="I28" i="36"/>
  <c r="H28" i="36"/>
  <c r="F28" i="36"/>
  <c r="D28" i="36"/>
  <c r="G27" i="36"/>
  <c r="H27" i="36"/>
  <c r="E27" i="36"/>
  <c r="F27" i="36"/>
  <c r="C27" i="36"/>
  <c r="D27" i="36"/>
  <c r="J26" i="36"/>
  <c r="I26" i="36"/>
  <c r="H26" i="36"/>
  <c r="F26" i="36"/>
  <c r="D26" i="36"/>
  <c r="J25" i="36"/>
  <c r="I25" i="36"/>
  <c r="H25" i="36"/>
  <c r="F25" i="36"/>
  <c r="D25" i="36"/>
  <c r="J24" i="36"/>
  <c r="I24" i="36"/>
  <c r="H24" i="36"/>
  <c r="F24" i="36"/>
  <c r="D24" i="36"/>
  <c r="J23" i="36"/>
  <c r="I23" i="36"/>
  <c r="H23" i="36"/>
  <c r="F23" i="36"/>
  <c r="D23" i="36"/>
  <c r="G22" i="36"/>
  <c r="H22" i="36"/>
  <c r="F22" i="36"/>
  <c r="E22" i="36"/>
  <c r="C22" i="36"/>
  <c r="D22" i="36"/>
  <c r="J21" i="36"/>
  <c r="I21" i="36"/>
  <c r="H21" i="36"/>
  <c r="F21" i="36"/>
  <c r="D21" i="36"/>
  <c r="J20" i="36"/>
  <c r="I20" i="36"/>
  <c r="H20" i="36"/>
  <c r="F20" i="36"/>
  <c r="D20" i="36"/>
  <c r="J19" i="36"/>
  <c r="I19" i="36"/>
  <c r="H19" i="36"/>
  <c r="F19" i="36"/>
  <c r="D19" i="36"/>
  <c r="L18" i="36"/>
  <c r="J18" i="36"/>
  <c r="I18" i="36"/>
  <c r="H18" i="36"/>
  <c r="F18" i="36"/>
  <c r="D18" i="36"/>
  <c r="G17" i="36"/>
  <c r="H17" i="36"/>
  <c r="E17" i="36"/>
  <c r="F17" i="36"/>
  <c r="C17" i="36"/>
  <c r="D17" i="36"/>
  <c r="J16" i="36"/>
  <c r="I16" i="36"/>
  <c r="H16" i="36"/>
  <c r="F16" i="36"/>
  <c r="D16" i="36"/>
  <c r="J15" i="36"/>
  <c r="I15" i="36"/>
  <c r="H15" i="36"/>
  <c r="F15" i="36"/>
  <c r="D15" i="36"/>
  <c r="J14" i="36"/>
  <c r="I14" i="36"/>
  <c r="H14" i="36"/>
  <c r="F14" i="36"/>
  <c r="D14" i="36"/>
  <c r="M13" i="36"/>
  <c r="L13" i="36"/>
  <c r="J13" i="36"/>
  <c r="I13" i="36"/>
  <c r="H13" i="36"/>
  <c r="F13" i="36"/>
  <c r="D13" i="36"/>
  <c r="J12" i="36"/>
  <c r="I12" i="36"/>
  <c r="H12" i="36"/>
  <c r="F12" i="36"/>
  <c r="D12" i="36"/>
  <c r="J11" i="36"/>
  <c r="I11" i="36"/>
  <c r="H11" i="36"/>
  <c r="F11" i="36"/>
  <c r="D11" i="36"/>
  <c r="J10" i="36"/>
  <c r="I10" i="36"/>
  <c r="H10" i="36"/>
  <c r="F10" i="36"/>
  <c r="D10" i="36"/>
  <c r="G9" i="36"/>
  <c r="G8" i="36"/>
  <c r="L16" i="36"/>
  <c r="E9" i="36"/>
  <c r="F9" i="36"/>
  <c r="C9" i="36"/>
  <c r="C8" i="36"/>
  <c r="D7" i="36"/>
  <c r="C7" i="36"/>
  <c r="P7" i="31"/>
  <c r="P6" i="31"/>
  <c r="P5" i="31"/>
  <c r="E22" i="30"/>
  <c r="E21" i="30"/>
  <c r="E20" i="30"/>
  <c r="E19" i="30"/>
  <c r="E18" i="30"/>
  <c r="G18" i="30"/>
  <c r="E15" i="30"/>
  <c r="E14" i="30"/>
  <c r="E13" i="30"/>
  <c r="E12" i="30"/>
  <c r="G12" i="30"/>
  <c r="E11" i="30"/>
  <c r="E9" i="30"/>
  <c r="E7" i="30"/>
  <c r="G7" i="30"/>
  <c r="E8" i="30"/>
  <c r="D58" i="29"/>
  <c r="D57" i="29"/>
  <c r="D56" i="29"/>
  <c r="D55" i="29"/>
  <c r="D53" i="29"/>
  <c r="D52" i="29"/>
  <c r="D45" i="29"/>
  <c r="D44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D6" i="29"/>
  <c r="F4" i="29"/>
  <c r="C75" i="33"/>
  <c r="J72" i="33"/>
  <c r="F72" i="33"/>
  <c r="J71" i="33"/>
  <c r="F71" i="33"/>
  <c r="J70" i="33"/>
  <c r="F70" i="33"/>
  <c r="F52" i="33"/>
  <c r="F51" i="33"/>
  <c r="F50" i="33"/>
  <c r="F49" i="33"/>
  <c r="F48" i="33"/>
  <c r="C33" i="33"/>
  <c r="C32" i="33"/>
  <c r="C31" i="33"/>
  <c r="C30" i="33"/>
  <c r="D29" i="33"/>
  <c r="C29" i="33"/>
  <c r="D28" i="33"/>
  <c r="C28" i="33"/>
  <c r="D27" i="33"/>
  <c r="C27" i="33"/>
  <c r="D26" i="33"/>
  <c r="C26" i="33"/>
  <c r="C25" i="33"/>
  <c r="C22" i="33"/>
  <c r="C21" i="33"/>
  <c r="C20" i="33"/>
  <c r="C19" i="33"/>
  <c r="C18" i="33"/>
  <c r="C17" i="33"/>
  <c r="C16" i="33"/>
  <c r="C15" i="33"/>
  <c r="L14" i="33"/>
  <c r="K14" i="33"/>
  <c r="J14" i="33"/>
  <c r="H14" i="33"/>
  <c r="G14" i="33"/>
  <c r="F14" i="33"/>
  <c r="E14" i="33"/>
  <c r="D14" i="33"/>
  <c r="C14" i="33"/>
  <c r="H13" i="33"/>
  <c r="L13" i="33" s="1"/>
  <c r="J11" i="33"/>
  <c r="K66" i="33" s="1"/>
  <c r="D11" i="33"/>
  <c r="C11" i="33"/>
  <c r="C61" i="32"/>
  <c r="K11" i="32"/>
  <c r="C76" i="10"/>
  <c r="K74" i="10"/>
  <c r="I74" i="10"/>
  <c r="G74" i="10"/>
  <c r="E74" i="10"/>
  <c r="L73" i="10"/>
  <c r="K73" i="10"/>
  <c r="I73" i="10"/>
  <c r="G73" i="10"/>
  <c r="E73" i="10"/>
  <c r="L72" i="10"/>
  <c r="K72" i="10"/>
  <c r="I72" i="10"/>
  <c r="G72" i="10"/>
  <c r="E72" i="10"/>
  <c r="L67" i="10"/>
  <c r="K67" i="10"/>
  <c r="I67" i="10"/>
  <c r="H67" i="10"/>
  <c r="G67" i="10"/>
  <c r="E67" i="10"/>
  <c r="L66" i="10"/>
  <c r="K66" i="10"/>
  <c r="I66" i="10"/>
  <c r="H66" i="10"/>
  <c r="G66" i="10"/>
  <c r="E66" i="10"/>
  <c r="L61" i="10"/>
  <c r="K61" i="10"/>
  <c r="I61" i="10"/>
  <c r="H61" i="10"/>
  <c r="G61" i="10"/>
  <c r="E61" i="10"/>
  <c r="L60" i="10"/>
  <c r="K60" i="10"/>
  <c r="I60" i="10"/>
  <c r="H60" i="10"/>
  <c r="G60" i="10"/>
  <c r="E60" i="10"/>
  <c r="L59" i="10"/>
  <c r="K59" i="10"/>
  <c r="I59" i="10"/>
  <c r="H59" i="10"/>
  <c r="G59" i="10"/>
  <c r="E59" i="10"/>
  <c r="L58" i="10"/>
  <c r="K58" i="10"/>
  <c r="I58" i="10"/>
  <c r="H58" i="10"/>
  <c r="G58" i="10"/>
  <c r="E58" i="10"/>
  <c r="L57" i="10"/>
  <c r="K57" i="10"/>
  <c r="I57" i="10"/>
  <c r="H57" i="10"/>
  <c r="G57" i="10"/>
  <c r="E57" i="10"/>
  <c r="K56" i="10"/>
  <c r="I56" i="10"/>
  <c r="H56" i="10"/>
  <c r="G56" i="10"/>
  <c r="E56" i="10"/>
  <c r="L53" i="10"/>
  <c r="K53" i="10"/>
  <c r="I53" i="10"/>
  <c r="E53" i="10"/>
  <c r="L52" i="10"/>
  <c r="K52" i="10"/>
  <c r="I52" i="10"/>
  <c r="H52" i="10"/>
  <c r="G52" i="10"/>
  <c r="E52" i="10"/>
  <c r="L51" i="10"/>
  <c r="K51" i="10"/>
  <c r="I51" i="10"/>
  <c r="H51" i="10"/>
  <c r="G51" i="10"/>
  <c r="E51" i="10"/>
  <c r="L50" i="10"/>
  <c r="K50" i="10"/>
  <c r="I50" i="10"/>
  <c r="H50" i="10"/>
  <c r="G50" i="10"/>
  <c r="E50" i="10"/>
  <c r="L49" i="10"/>
  <c r="K49" i="10"/>
  <c r="I49" i="10"/>
  <c r="H49" i="10"/>
  <c r="G49" i="10"/>
  <c r="E49" i="10"/>
  <c r="L48" i="10"/>
  <c r="K48" i="10"/>
  <c r="I48" i="10"/>
  <c r="H48" i="10"/>
  <c r="G48" i="10"/>
  <c r="E48" i="10"/>
  <c r="L46" i="10"/>
  <c r="K46" i="10"/>
  <c r="I46" i="10"/>
  <c r="H46" i="10"/>
  <c r="G46" i="10"/>
  <c r="E46" i="10"/>
  <c r="L45" i="10"/>
  <c r="K45" i="10"/>
  <c r="I45" i="10"/>
  <c r="H45" i="10"/>
  <c r="G45" i="10"/>
  <c r="E45" i="10"/>
  <c r="L44" i="10"/>
  <c r="K44" i="10"/>
  <c r="I44" i="10"/>
  <c r="H44" i="10"/>
  <c r="G44" i="10"/>
  <c r="E44" i="10"/>
  <c r="L43" i="10"/>
  <c r="K43" i="10"/>
  <c r="I43" i="10"/>
  <c r="H43" i="10"/>
  <c r="G43" i="10"/>
  <c r="E43" i="10"/>
  <c r="L42" i="10"/>
  <c r="K42" i="10"/>
  <c r="I42" i="10"/>
  <c r="H42" i="10"/>
  <c r="G42" i="10"/>
  <c r="E42" i="10"/>
  <c r="L41" i="10"/>
  <c r="K41" i="10"/>
  <c r="I41" i="10"/>
  <c r="H41" i="10"/>
  <c r="G41" i="10"/>
  <c r="E41" i="10"/>
  <c r="L40" i="10"/>
  <c r="K40" i="10"/>
  <c r="I40" i="10"/>
  <c r="H40" i="10"/>
  <c r="G40" i="10"/>
  <c r="E40" i="10"/>
  <c r="L39" i="10"/>
  <c r="K39" i="10"/>
  <c r="I39" i="10"/>
  <c r="H39" i="10"/>
  <c r="G39" i="10"/>
  <c r="E39" i="10"/>
  <c r="L38" i="10"/>
  <c r="K38" i="10"/>
  <c r="I38" i="10"/>
  <c r="G38" i="10"/>
  <c r="E38" i="10"/>
  <c r="L34" i="10"/>
  <c r="K34" i="10"/>
  <c r="I34" i="10"/>
  <c r="H34" i="10"/>
  <c r="G34" i="10"/>
  <c r="E34" i="10"/>
  <c r="L33" i="10"/>
  <c r="K33" i="10"/>
  <c r="I33" i="10"/>
  <c r="H33" i="10"/>
  <c r="G33" i="10"/>
  <c r="E33" i="10"/>
  <c r="L32" i="10"/>
  <c r="K32" i="10"/>
  <c r="I32" i="10"/>
  <c r="H32" i="10"/>
  <c r="G32" i="10"/>
  <c r="E32" i="10"/>
  <c r="C32" i="10"/>
  <c r="L31" i="10"/>
  <c r="K31" i="10"/>
  <c r="I31" i="10"/>
  <c r="H31" i="10"/>
  <c r="G31" i="10"/>
  <c r="E31" i="10"/>
  <c r="C31" i="10"/>
  <c r="L30" i="10"/>
  <c r="K30" i="10"/>
  <c r="I30" i="10"/>
  <c r="H30" i="10"/>
  <c r="G30" i="10"/>
  <c r="E30" i="10"/>
  <c r="C30" i="10"/>
  <c r="L29" i="10"/>
  <c r="K29" i="10"/>
  <c r="I29" i="10"/>
  <c r="H29" i="10"/>
  <c r="G29" i="10"/>
  <c r="E29" i="10"/>
  <c r="C29" i="10"/>
  <c r="L28" i="10"/>
  <c r="K28" i="10"/>
  <c r="I28" i="10"/>
  <c r="H28" i="10"/>
  <c r="G28" i="10"/>
  <c r="E28" i="10"/>
  <c r="C28" i="10"/>
  <c r="L27" i="10"/>
  <c r="K27" i="10"/>
  <c r="I27" i="10"/>
  <c r="H27" i="10"/>
  <c r="G27" i="10"/>
  <c r="E27" i="10"/>
  <c r="C27" i="10"/>
  <c r="L26" i="10"/>
  <c r="K26" i="10"/>
  <c r="I26" i="10"/>
  <c r="H26" i="10"/>
  <c r="G26" i="10"/>
  <c r="E26" i="10"/>
  <c r="C26" i="10"/>
  <c r="C25" i="10"/>
  <c r="L24" i="10"/>
  <c r="K24" i="10"/>
  <c r="I24" i="10"/>
  <c r="H24" i="10"/>
  <c r="G24" i="10"/>
  <c r="L23" i="10"/>
  <c r="K23" i="10"/>
  <c r="I23" i="10"/>
  <c r="H23" i="10"/>
  <c r="G23" i="10"/>
  <c r="C23" i="10"/>
  <c r="L22" i="10"/>
  <c r="K22" i="10"/>
  <c r="I22" i="10"/>
  <c r="G22" i="10"/>
  <c r="C22" i="10"/>
  <c r="L21" i="10"/>
  <c r="K21" i="10"/>
  <c r="I21" i="10"/>
  <c r="H21" i="10"/>
  <c r="G21" i="10"/>
  <c r="C21" i="10"/>
  <c r="L20" i="10"/>
  <c r="K20" i="10"/>
  <c r="I20" i="10"/>
  <c r="H20" i="10"/>
  <c r="G20" i="10"/>
  <c r="C20" i="10"/>
  <c r="L19" i="10"/>
  <c r="K19" i="10"/>
  <c r="I19" i="10"/>
  <c r="H19" i="10"/>
  <c r="G19" i="10"/>
  <c r="C19" i="10"/>
  <c r="L18" i="10"/>
  <c r="K18" i="10"/>
  <c r="I18" i="10"/>
  <c r="H18" i="10"/>
  <c r="G18" i="10"/>
  <c r="C18" i="10"/>
  <c r="C17" i="10"/>
  <c r="C16" i="10"/>
  <c r="E15" i="10"/>
  <c r="D15" i="10"/>
  <c r="C15" i="10"/>
  <c r="L14" i="10"/>
  <c r="C14" i="10"/>
  <c r="C11" i="10"/>
  <c r="C11" i="32" s="1"/>
  <c r="J9" i="10"/>
  <c r="J8" i="10"/>
  <c r="J27" i="36"/>
  <c r="I22" i="36"/>
  <c r="J22" i="36"/>
  <c r="J34" i="36"/>
  <c r="H43" i="36"/>
  <c r="I54" i="36"/>
  <c r="J54" i="36"/>
  <c r="I70" i="36"/>
  <c r="I17" i="36"/>
  <c r="J60" i="36"/>
  <c r="H60" i="36"/>
  <c r="G41" i="36"/>
  <c r="H79" i="36"/>
  <c r="G75" i="36"/>
  <c r="J17" i="36"/>
  <c r="F60" i="36"/>
  <c r="I60" i="36"/>
  <c r="G42" i="36"/>
  <c r="H41" i="36"/>
  <c r="H75" i="36"/>
  <c r="L47" i="10"/>
  <c r="E41" i="36"/>
  <c r="F41" i="36"/>
  <c r="I9" i="36"/>
  <c r="H9" i="36"/>
  <c r="I27" i="36"/>
  <c r="E6" i="30"/>
  <c r="J43" i="36"/>
  <c r="I43" i="36"/>
  <c r="E5" i="30"/>
  <c r="E4" i="30"/>
  <c r="D5" i="29"/>
  <c r="D4" i="29"/>
  <c r="G4" i="29"/>
  <c r="D8" i="36"/>
  <c r="H42" i="36"/>
  <c r="J41" i="36"/>
  <c r="E42" i="36"/>
  <c r="E8" i="36"/>
  <c r="I8" i="36"/>
  <c r="C41" i="36"/>
  <c r="C68" i="36"/>
  <c r="J9" i="36"/>
  <c r="I34" i="36"/>
  <c r="D9" i="36"/>
  <c r="F70" i="36"/>
  <c r="H8" i="36"/>
  <c r="G68" i="36"/>
  <c r="E10" i="30"/>
  <c r="G4" i="30"/>
  <c r="K29" i="32"/>
  <c r="K41" i="32"/>
  <c r="K60" i="32"/>
  <c r="I41" i="36"/>
  <c r="C69" i="36"/>
  <c r="D69" i="36"/>
  <c r="C74" i="36"/>
  <c r="D68" i="36"/>
  <c r="J42" i="36"/>
  <c r="F42" i="36"/>
  <c r="G69" i="36"/>
  <c r="H68" i="36"/>
  <c r="C42" i="36"/>
  <c r="D42" i="36"/>
  <c r="D41" i="36"/>
  <c r="E68" i="36"/>
  <c r="J68" i="36"/>
  <c r="F8" i="36"/>
  <c r="J8" i="36"/>
  <c r="I42" i="36"/>
  <c r="G10" i="30"/>
  <c r="E17" i="30"/>
  <c r="E69" i="36"/>
  <c r="F69" i="36"/>
  <c r="F68" i="36"/>
  <c r="E74" i="36"/>
  <c r="D74" i="36"/>
  <c r="C79" i="36"/>
  <c r="H69" i="36"/>
  <c r="I68" i="36"/>
  <c r="E23" i="30"/>
  <c r="G23" i="30"/>
  <c r="G17" i="30"/>
  <c r="I69" i="36"/>
  <c r="J69" i="36"/>
  <c r="C75" i="36"/>
  <c r="D75" i="36"/>
  <c r="D79" i="36"/>
  <c r="I74" i="36"/>
  <c r="F74" i="36"/>
  <c r="J74" i="36"/>
  <c r="E79" i="36"/>
  <c r="I79" i="36"/>
  <c r="F79" i="36"/>
  <c r="J79" i="36"/>
  <c r="E75" i="36"/>
  <c r="F75" i="36"/>
  <c r="J75" i="36"/>
  <c r="I75" i="36"/>
  <c r="K49" i="32" l="1"/>
  <c r="K34" i="32"/>
  <c r="K36" i="32"/>
  <c r="M17" i="10"/>
  <c r="E25" i="10"/>
  <c r="I25" i="10"/>
  <c r="K23" i="32"/>
  <c r="K58" i="32"/>
  <c r="K21" i="32"/>
  <c r="K45" i="32"/>
  <c r="K57" i="32"/>
  <c r="K30" i="32"/>
  <c r="J26" i="32"/>
  <c r="L26" i="32" s="1"/>
  <c r="K35" i="32"/>
  <c r="K19" i="32"/>
  <c r="K40" i="32"/>
  <c r="J46" i="32"/>
  <c r="G17" i="32"/>
  <c r="J35" i="10"/>
  <c r="K35" i="10" s="1"/>
  <c r="M47" i="10"/>
  <c r="E47" i="10"/>
  <c r="I47" i="10"/>
  <c r="M25" i="10"/>
  <c r="K37" i="32"/>
  <c r="F47" i="33"/>
  <c r="G47" i="33" s="1"/>
  <c r="H67" i="33"/>
  <c r="M17" i="32"/>
  <c r="G53" i="10"/>
  <c r="D16" i="10"/>
  <c r="H47" i="10"/>
  <c r="L25" i="10"/>
  <c r="H53" i="10"/>
  <c r="E24" i="33"/>
  <c r="E58" i="32"/>
  <c r="E29" i="32"/>
  <c r="L65" i="10"/>
  <c r="K65" i="10"/>
  <c r="I37" i="10"/>
  <c r="H37" i="10"/>
  <c r="H65" i="10"/>
  <c r="L39" i="33"/>
  <c r="J16" i="10"/>
  <c r="H25" i="10"/>
  <c r="L71" i="33"/>
  <c r="L37" i="10"/>
  <c r="K37" i="10"/>
  <c r="M37" i="10"/>
  <c r="F35" i="10"/>
  <c r="F36" i="10" s="1"/>
  <c r="G36" i="10" s="1"/>
  <c r="I65" i="10"/>
  <c r="D53" i="33"/>
  <c r="L53" i="33" s="1"/>
  <c r="D35" i="10"/>
  <c r="H72" i="33"/>
  <c r="E59" i="33"/>
  <c r="D47" i="33"/>
  <c r="E47" i="33" s="1"/>
  <c r="F16" i="10"/>
  <c r="G16" i="10" s="1"/>
  <c r="I17" i="10"/>
  <c r="G17" i="10"/>
  <c r="L17" i="10"/>
  <c r="H17" i="10"/>
  <c r="E17" i="10"/>
  <c r="E31" i="33"/>
  <c r="E49" i="33"/>
  <c r="G66" i="33"/>
  <c r="E66" i="33"/>
  <c r="K28" i="32"/>
  <c r="F63" i="33"/>
  <c r="L19" i="33"/>
  <c r="E55" i="33"/>
  <c r="E26" i="33"/>
  <c r="E27" i="33"/>
  <c r="K50" i="33"/>
  <c r="E71" i="33"/>
  <c r="E51" i="33"/>
  <c r="G73" i="33"/>
  <c r="E65" i="33"/>
  <c r="E57" i="33"/>
  <c r="E40" i="33"/>
  <c r="E22" i="33"/>
  <c r="E18" i="33"/>
  <c r="E32" i="33"/>
  <c r="G58" i="33"/>
  <c r="G55" i="33"/>
  <c r="G34" i="33"/>
  <c r="G26" i="33"/>
  <c r="G21" i="33"/>
  <c r="G17" i="33"/>
  <c r="K58" i="33"/>
  <c r="K55" i="33"/>
  <c r="K31" i="33"/>
  <c r="K27" i="33"/>
  <c r="K22" i="33"/>
  <c r="G40" i="33"/>
  <c r="G51" i="33"/>
  <c r="G70" i="33"/>
  <c r="E48" i="33"/>
  <c r="E52" i="33"/>
  <c r="E64" i="33"/>
  <c r="E56" i="33"/>
  <c r="E42" i="33"/>
  <c r="E39" i="33"/>
  <c r="E25" i="33"/>
  <c r="G54" i="33"/>
  <c r="G33" i="33"/>
  <c r="G29" i="33"/>
  <c r="G20" i="33"/>
  <c r="K59" i="33"/>
  <c r="K54" i="33"/>
  <c r="K44" i="33"/>
  <c r="K30" i="33"/>
  <c r="K26" i="33"/>
  <c r="K21" i="33"/>
  <c r="K51" i="33"/>
  <c r="K72" i="33"/>
  <c r="E45" i="33"/>
  <c r="E41" i="33"/>
  <c r="E38" i="33"/>
  <c r="E20" i="33"/>
  <c r="G65" i="33"/>
  <c r="G28" i="33"/>
  <c r="G23" i="33"/>
  <c r="K65" i="33"/>
  <c r="K43" i="33"/>
  <c r="K33" i="33"/>
  <c r="K29" i="33"/>
  <c r="K24" i="33"/>
  <c r="K20" i="33"/>
  <c r="G53" i="33"/>
  <c r="G48" i="33"/>
  <c r="G50" i="33"/>
  <c r="G52" i="33"/>
  <c r="E70" i="33"/>
  <c r="E50" i="33"/>
  <c r="E73" i="33"/>
  <c r="E67" i="33"/>
  <c r="E54" i="33"/>
  <c r="E44" i="33"/>
  <c r="E34" i="33"/>
  <c r="E23" i="33"/>
  <c r="G42" i="33"/>
  <c r="G38" i="33"/>
  <c r="G31" i="33"/>
  <c r="G22" i="33"/>
  <c r="K42" i="33"/>
  <c r="K39" i="33"/>
  <c r="K32" i="33"/>
  <c r="K28" i="33"/>
  <c r="K53" i="33"/>
  <c r="I49" i="32"/>
  <c r="G29" i="32"/>
  <c r="K52" i="32"/>
  <c r="G49" i="32"/>
  <c r="H54" i="33"/>
  <c r="K17" i="32"/>
  <c r="K39" i="32"/>
  <c r="K53" i="32"/>
  <c r="K33" i="32"/>
  <c r="K18" i="32"/>
  <c r="K56" i="32"/>
  <c r="K38" i="32"/>
  <c r="K43" i="32"/>
  <c r="K24" i="32"/>
  <c r="E23" i="32"/>
  <c r="E25" i="32"/>
  <c r="H49" i="33"/>
  <c r="H58" i="33"/>
  <c r="L43" i="33"/>
  <c r="K22" i="32"/>
  <c r="K50" i="32"/>
  <c r="K51" i="32"/>
  <c r="K25" i="32"/>
  <c r="K32" i="32"/>
  <c r="K42" i="32"/>
  <c r="K20" i="32"/>
  <c r="K31" i="32"/>
  <c r="E49" i="32"/>
  <c r="G20" i="32"/>
  <c r="G32" i="32"/>
  <c r="M49" i="33"/>
  <c r="H64" i="33"/>
  <c r="L29" i="33"/>
  <c r="I56" i="33"/>
  <c r="H18" i="33"/>
  <c r="L56" i="33"/>
  <c r="M46" i="33"/>
  <c r="M43" i="33"/>
  <c r="I28" i="33"/>
  <c r="I33" i="33"/>
  <c r="I73" i="33"/>
  <c r="L52" i="33"/>
  <c r="L73" i="33"/>
  <c r="H45" i="33"/>
  <c r="L70" i="33"/>
  <c r="L48" i="33"/>
  <c r="H37" i="32"/>
  <c r="H55" i="33"/>
  <c r="J63" i="33"/>
  <c r="I52" i="33"/>
  <c r="L72" i="33"/>
  <c r="H50" i="33"/>
  <c r="I50" i="33"/>
  <c r="H73" i="33"/>
  <c r="L49" i="33"/>
  <c r="M70" i="33"/>
  <c r="G45" i="33"/>
  <c r="H43" i="33"/>
  <c r="K49" i="33"/>
  <c r="I38" i="33"/>
  <c r="H27" i="33"/>
  <c r="K70" i="33"/>
  <c r="M29" i="33"/>
  <c r="I54" i="33"/>
  <c r="M72" i="33"/>
  <c r="E33" i="33"/>
  <c r="E72" i="33"/>
  <c r="L27" i="33"/>
  <c r="E39" i="32"/>
  <c r="G57" i="32"/>
  <c r="E42" i="32"/>
  <c r="G50" i="32"/>
  <c r="I37" i="32"/>
  <c r="I67" i="33"/>
  <c r="I31" i="33"/>
  <c r="G64" i="33"/>
  <c r="E19" i="33"/>
  <c r="G27" i="32"/>
  <c r="I18" i="33"/>
  <c r="E43" i="33"/>
  <c r="E45" i="32"/>
  <c r="G40" i="32"/>
  <c r="E38" i="32"/>
  <c r="G36" i="32"/>
  <c r="L17" i="32"/>
  <c r="L37" i="32"/>
  <c r="L58" i="33"/>
  <c r="E26" i="32"/>
  <c r="M19" i="33"/>
  <c r="E37" i="32"/>
  <c r="E21" i="32"/>
  <c r="G22" i="32"/>
  <c r="E36" i="32"/>
  <c r="G39" i="32"/>
  <c r="G19" i="32"/>
  <c r="G56" i="32"/>
  <c r="G38" i="32"/>
  <c r="E19" i="32"/>
  <c r="E57" i="32"/>
  <c r="E41" i="32"/>
  <c r="E24" i="32"/>
  <c r="G60" i="32"/>
  <c r="G45" i="32"/>
  <c r="G35" i="32"/>
  <c r="G25" i="32"/>
  <c r="I17" i="32"/>
  <c r="I28" i="32"/>
  <c r="H17" i="32"/>
  <c r="I48" i="33"/>
  <c r="M73" i="33"/>
  <c r="M28" i="32"/>
  <c r="E63" i="33"/>
  <c r="I45" i="33"/>
  <c r="H41" i="33"/>
  <c r="I17" i="33"/>
  <c r="M55" i="33"/>
  <c r="L45" i="33"/>
  <c r="M41" i="33"/>
  <c r="M38" i="33"/>
  <c r="M22" i="33"/>
  <c r="L18" i="33"/>
  <c r="E52" i="32"/>
  <c r="E28" i="32"/>
  <c r="G28" i="32"/>
  <c r="E50" i="32"/>
  <c r="E60" i="32"/>
  <c r="E35" i="32"/>
  <c r="G18" i="32"/>
  <c r="G42" i="32"/>
  <c r="G37" i="32"/>
  <c r="E18" i="32"/>
  <c r="E56" i="32"/>
  <c r="E40" i="32"/>
  <c r="G31" i="32"/>
  <c r="E20" i="32"/>
  <c r="G53" i="32"/>
  <c r="E43" i="32"/>
  <c r="G34" i="32"/>
  <c r="E31" i="32"/>
  <c r="M37" i="32"/>
  <c r="E44" i="32"/>
  <c r="I59" i="33"/>
  <c r="I44" i="33"/>
  <c r="I24" i="33"/>
  <c r="H20" i="33"/>
  <c r="M67" i="33"/>
  <c r="L23" i="33"/>
  <c r="M51" i="33"/>
  <c r="K46" i="33"/>
  <c r="G21" i="32"/>
  <c r="L51" i="33"/>
  <c r="M32" i="33"/>
  <c r="E22" i="32"/>
  <c r="G23" i="32"/>
  <c r="E17" i="32"/>
  <c r="E51" i="32"/>
  <c r="E53" i="32"/>
  <c r="E32" i="32"/>
  <c r="G58" i="32"/>
  <c r="G41" i="32"/>
  <c r="G24" i="32"/>
  <c r="E34" i="32"/>
  <c r="G43" i="32"/>
  <c r="G30" i="32"/>
  <c r="E33" i="32"/>
  <c r="G51" i="32"/>
  <c r="G33" i="32"/>
  <c r="E30" i="32"/>
  <c r="I71" i="33"/>
  <c r="H28" i="32"/>
  <c r="L49" i="32"/>
  <c r="G44" i="32"/>
  <c r="D37" i="33"/>
  <c r="I43" i="33"/>
  <c r="M64" i="33"/>
  <c r="I41" i="33"/>
  <c r="M33" i="33"/>
  <c r="M56" i="33"/>
  <c r="K56" i="33"/>
  <c r="K23" i="33"/>
  <c r="K19" i="33"/>
  <c r="L64" i="33"/>
  <c r="L46" i="33"/>
  <c r="I21" i="33"/>
  <c r="H17" i="33"/>
  <c r="H33" i="33"/>
  <c r="H29" i="33"/>
  <c r="M23" i="33"/>
  <c r="L32" i="33"/>
  <c r="I34" i="33"/>
  <c r="K64" i="33"/>
  <c r="I55" i="33"/>
  <c r="G41" i="33"/>
  <c r="H51" i="33"/>
  <c r="I51" i="33"/>
  <c r="I65" i="33"/>
  <c r="L55" i="33"/>
  <c r="K38" i="33"/>
  <c r="I20" i="33"/>
  <c r="L41" i="33"/>
  <c r="E17" i="33"/>
  <c r="M18" i="33"/>
  <c r="H21" i="33"/>
  <c r="L22" i="33"/>
  <c r="E58" i="33"/>
  <c r="M39" i="33"/>
  <c r="L42" i="33"/>
  <c r="H24" i="33"/>
  <c r="H52" i="33"/>
  <c r="G59" i="33"/>
  <c r="G24" i="33"/>
  <c r="K45" i="33"/>
  <c r="K18" i="33"/>
  <c r="K73" i="33"/>
  <c r="I58" i="33"/>
  <c r="H57" i="33"/>
  <c r="I39" i="33"/>
  <c r="I32" i="33"/>
  <c r="I19" i="33"/>
  <c r="M54" i="33"/>
  <c r="M34" i="33"/>
  <c r="M17" i="33"/>
  <c r="M45" i="33"/>
  <c r="L38" i="33"/>
  <c r="M50" i="33"/>
  <c r="L17" i="33"/>
  <c r="H48" i="33"/>
  <c r="L67" i="33"/>
  <c r="H59" i="33"/>
  <c r="K67" i="33"/>
  <c r="M58" i="33"/>
  <c r="M27" i="33"/>
  <c r="E21" i="33"/>
  <c r="E46" i="33"/>
  <c r="I29" i="33"/>
  <c r="L16" i="32"/>
  <c r="D16" i="33"/>
  <c r="E16" i="33" s="1"/>
  <c r="H56" i="33"/>
  <c r="H46" i="33"/>
  <c r="I42" i="33"/>
  <c r="H38" i="33"/>
  <c r="M65" i="33"/>
  <c r="L57" i="33"/>
  <c r="M40" i="33"/>
  <c r="L24" i="33"/>
  <c r="K41" i="33"/>
  <c r="G67" i="33"/>
  <c r="H71" i="33"/>
  <c r="M42" i="33"/>
  <c r="H42" i="33"/>
  <c r="L28" i="32"/>
  <c r="M49" i="32"/>
  <c r="H34" i="33"/>
  <c r="L50" i="33"/>
  <c r="H26" i="33"/>
  <c r="H65" i="33"/>
  <c r="M16" i="32"/>
  <c r="L30" i="33"/>
  <c r="H31" i="33"/>
  <c r="L59" i="33"/>
  <c r="G16" i="32"/>
  <c r="K48" i="33"/>
  <c r="M26" i="33"/>
  <c r="K17" i="33"/>
  <c r="M31" i="33"/>
  <c r="M71" i="33"/>
  <c r="I49" i="33"/>
  <c r="G57" i="33"/>
  <c r="G43" i="33"/>
  <c r="F25" i="33"/>
  <c r="H25" i="33" s="1"/>
  <c r="F16" i="33"/>
  <c r="M30" i="33"/>
  <c r="I46" i="33"/>
  <c r="L40" i="33"/>
  <c r="E30" i="33"/>
  <c r="I22" i="33"/>
  <c r="I23" i="33"/>
  <c r="L65" i="33"/>
  <c r="I72" i="33"/>
  <c r="L21" i="33"/>
  <c r="M21" i="33"/>
  <c r="L54" i="33"/>
  <c r="K34" i="33"/>
  <c r="I64" i="33"/>
  <c r="H39" i="33"/>
  <c r="H70" i="33"/>
  <c r="G18" i="33"/>
  <c r="G39" i="33"/>
  <c r="G72" i="33"/>
  <c r="E29" i="33"/>
  <c r="G56" i="33"/>
  <c r="K40" i="33"/>
  <c r="K71" i="33"/>
  <c r="I30" i="33"/>
  <c r="J16" i="33"/>
  <c r="M59" i="33"/>
  <c r="I40" i="33"/>
  <c r="I57" i="33"/>
  <c r="G32" i="33"/>
  <c r="G46" i="33"/>
  <c r="M24" i="33"/>
  <c r="M57" i="33"/>
  <c r="L33" i="33"/>
  <c r="H40" i="33"/>
  <c r="L34" i="33"/>
  <c r="H32" i="33"/>
  <c r="H22" i="33"/>
  <c r="H28" i="33"/>
  <c r="F37" i="33"/>
  <c r="G37" i="33" s="1"/>
  <c r="J25" i="33"/>
  <c r="K25" i="33" s="1"/>
  <c r="M48" i="33"/>
  <c r="I26" i="33"/>
  <c r="G19" i="33"/>
  <c r="G30" i="33"/>
  <c r="E28" i="33"/>
  <c r="L31" i="33"/>
  <c r="L26" i="33"/>
  <c r="K52" i="33"/>
  <c r="M52" i="33"/>
  <c r="I27" i="33"/>
  <c r="G27" i="33"/>
  <c r="H30" i="33"/>
  <c r="G44" i="33"/>
  <c r="M44" i="33"/>
  <c r="M28" i="33"/>
  <c r="L44" i="33"/>
  <c r="K47" i="33"/>
  <c r="E16" i="32"/>
  <c r="I16" i="32"/>
  <c r="L20" i="33"/>
  <c r="L28" i="33"/>
  <c r="H44" i="33"/>
  <c r="H16" i="32"/>
  <c r="D47" i="32"/>
  <c r="E47" i="32" s="1"/>
  <c r="J37" i="33"/>
  <c r="J35" i="33" s="1"/>
  <c r="G71" i="33"/>
  <c r="H19" i="33"/>
  <c r="M20" i="33"/>
  <c r="H23" i="33"/>
  <c r="G49" i="33"/>
  <c r="K57" i="33"/>
  <c r="E37" i="33" l="1"/>
  <c r="D35" i="33"/>
  <c r="H47" i="33"/>
  <c r="E16" i="10"/>
  <c r="E35" i="10"/>
  <c r="D36" i="10"/>
  <c r="H36" i="10" s="1"/>
  <c r="M16" i="10"/>
  <c r="H16" i="10"/>
  <c r="D15" i="33"/>
  <c r="E15" i="33" s="1"/>
  <c r="I47" i="33"/>
  <c r="L16" i="10"/>
  <c r="G35" i="10"/>
  <c r="L47" i="33"/>
  <c r="M47" i="33"/>
  <c r="E53" i="33"/>
  <c r="I53" i="33"/>
  <c r="G9" i="10"/>
  <c r="K16" i="10"/>
  <c r="J62" i="10"/>
  <c r="J63" i="10" s="1"/>
  <c r="H53" i="33"/>
  <c r="M53" i="33"/>
  <c r="J36" i="10"/>
  <c r="K36" i="10" s="1"/>
  <c r="I16" i="10"/>
  <c r="F62" i="10"/>
  <c r="G8" i="10"/>
  <c r="I35" i="10"/>
  <c r="I16" i="33"/>
  <c r="D62" i="10"/>
  <c r="M35" i="10"/>
  <c r="L35" i="10"/>
  <c r="H35" i="10"/>
  <c r="M16" i="33"/>
  <c r="L63" i="33"/>
  <c r="M63" i="33"/>
  <c r="K63" i="33"/>
  <c r="I26" i="32"/>
  <c r="G26" i="32"/>
  <c r="H26" i="32"/>
  <c r="H27" i="32"/>
  <c r="G63" i="33"/>
  <c r="H37" i="33"/>
  <c r="G25" i="33"/>
  <c r="E27" i="32"/>
  <c r="M26" i="32"/>
  <c r="I27" i="32"/>
  <c r="K16" i="33"/>
  <c r="J15" i="33"/>
  <c r="L16" i="33"/>
  <c r="M25" i="33"/>
  <c r="F35" i="33"/>
  <c r="I63" i="33"/>
  <c r="J27" i="32"/>
  <c r="K26" i="32"/>
  <c r="I37" i="33"/>
  <c r="L25" i="33"/>
  <c r="G16" i="33"/>
  <c r="H16" i="33"/>
  <c r="F15" i="33"/>
  <c r="G15" i="33" s="1"/>
  <c r="I25" i="33"/>
  <c r="K37" i="33"/>
  <c r="L37" i="33"/>
  <c r="M37" i="33"/>
  <c r="D48" i="32"/>
  <c r="D54" i="32"/>
  <c r="D59" i="32" s="1"/>
  <c r="E46" i="32"/>
  <c r="D63" i="10" l="1"/>
  <c r="E63" i="10" s="1"/>
  <c r="D60" i="33"/>
  <c r="E60" i="33" s="1"/>
  <c r="D36" i="33"/>
  <c r="E36" i="33" s="1"/>
  <c r="I35" i="33"/>
  <c r="E35" i="33"/>
  <c r="M36" i="10"/>
  <c r="F70" i="10"/>
  <c r="F75" i="10" s="1"/>
  <c r="F63" i="10"/>
  <c r="G63" i="10" s="1"/>
  <c r="G46" i="32"/>
  <c r="F47" i="32"/>
  <c r="L15" i="33"/>
  <c r="J60" i="33"/>
  <c r="J61" i="33" s="1"/>
  <c r="K63" i="10"/>
  <c r="J64" i="10"/>
  <c r="K64" i="10" s="1"/>
  <c r="J70" i="10"/>
  <c r="J71" i="10" s="1"/>
  <c r="K62" i="10"/>
  <c r="M46" i="32"/>
  <c r="J47" i="32"/>
  <c r="H62" i="10"/>
  <c r="F64" i="10"/>
  <c r="G64" i="10" s="1"/>
  <c r="G62" i="10"/>
  <c r="E62" i="10"/>
  <c r="D70" i="10"/>
  <c r="I62" i="10"/>
  <c r="D64" i="10"/>
  <c r="M62" i="10"/>
  <c r="L62" i="10"/>
  <c r="E36" i="10"/>
  <c r="I36" i="10"/>
  <c r="L36" i="10"/>
  <c r="H46" i="32"/>
  <c r="F54" i="32"/>
  <c r="I54" i="32" s="1"/>
  <c r="F48" i="32"/>
  <c r="G48" i="32" s="1"/>
  <c r="I46" i="32"/>
  <c r="F36" i="33"/>
  <c r="H35" i="33"/>
  <c r="G35" i="33"/>
  <c r="H15" i="33"/>
  <c r="F60" i="33"/>
  <c r="I15" i="33"/>
  <c r="K15" i="33"/>
  <c r="M15" i="33"/>
  <c r="L46" i="32"/>
  <c r="K46" i="32"/>
  <c r="K27" i="32"/>
  <c r="L27" i="32"/>
  <c r="M27" i="32"/>
  <c r="E48" i="32"/>
  <c r="E54" i="32"/>
  <c r="L35" i="33"/>
  <c r="K35" i="33"/>
  <c r="M35" i="33"/>
  <c r="J36" i="33"/>
  <c r="M63" i="10" l="1"/>
  <c r="L63" i="10"/>
  <c r="D61" i="33"/>
  <c r="E61" i="33" s="1"/>
  <c r="D68" i="33"/>
  <c r="D62" i="33"/>
  <c r="E62" i="33" s="1"/>
  <c r="H36" i="33"/>
  <c r="H64" i="10"/>
  <c r="I63" i="10"/>
  <c r="H70" i="10"/>
  <c r="G70" i="10"/>
  <c r="M70" i="10"/>
  <c r="K75" i="10"/>
  <c r="H63" i="10"/>
  <c r="J48" i="32"/>
  <c r="K48" i="32" s="1"/>
  <c r="J54" i="32"/>
  <c r="M54" i="32" s="1"/>
  <c r="M60" i="33"/>
  <c r="I47" i="32"/>
  <c r="H47" i="32"/>
  <c r="G47" i="32"/>
  <c r="K61" i="33"/>
  <c r="J62" i="33"/>
  <c r="K62" i="33" s="1"/>
  <c r="F68" i="33"/>
  <c r="G68" i="33" s="1"/>
  <c r="F61" i="33"/>
  <c r="K70" i="10"/>
  <c r="M47" i="32"/>
  <c r="K47" i="32"/>
  <c r="L47" i="32"/>
  <c r="K71" i="10"/>
  <c r="M64" i="10"/>
  <c r="L70" i="10"/>
  <c r="D75" i="10"/>
  <c r="L75" i="10" s="1"/>
  <c r="L71" i="10" s="1"/>
  <c r="I70" i="10"/>
  <c r="E70" i="10"/>
  <c r="L64" i="10"/>
  <c r="E64" i="10"/>
  <c r="I64" i="10"/>
  <c r="F71" i="10"/>
  <c r="G71" i="10" s="1"/>
  <c r="G75" i="10"/>
  <c r="H54" i="32"/>
  <c r="I48" i="32"/>
  <c r="H48" i="32"/>
  <c r="H60" i="33"/>
  <c r="I36" i="33"/>
  <c r="G36" i="33"/>
  <c r="I60" i="33"/>
  <c r="G54" i="32"/>
  <c r="F59" i="32"/>
  <c r="G60" i="33"/>
  <c r="F62" i="33"/>
  <c r="G62" i="33" s="1"/>
  <c r="K36" i="33"/>
  <c r="M36" i="33"/>
  <c r="L36" i="33"/>
  <c r="D55" i="32"/>
  <c r="E59" i="32"/>
  <c r="L60" i="33"/>
  <c r="K60" i="33"/>
  <c r="J68" i="33"/>
  <c r="E68" i="33" l="1"/>
  <c r="L61" i="33"/>
  <c r="D74" i="33"/>
  <c r="M61" i="33"/>
  <c r="K54" i="32"/>
  <c r="L68" i="33"/>
  <c r="M48" i="32"/>
  <c r="L48" i="32"/>
  <c r="E75" i="10"/>
  <c r="J59" i="32"/>
  <c r="L59" i="32" s="1"/>
  <c r="L54" i="32"/>
  <c r="F74" i="33"/>
  <c r="H68" i="33"/>
  <c r="I68" i="33"/>
  <c r="H61" i="33"/>
  <c r="G61" i="33"/>
  <c r="I61" i="33"/>
  <c r="H75" i="10"/>
  <c r="D71" i="10"/>
  <c r="H71" i="10" s="1"/>
  <c r="F55" i="32"/>
  <c r="G55" i="32" s="1"/>
  <c r="G59" i="32"/>
  <c r="I59" i="32"/>
  <c r="H59" i="32"/>
  <c r="H62" i="33"/>
  <c r="E55" i="32"/>
  <c r="K68" i="33"/>
  <c r="J74" i="33"/>
  <c r="L62" i="33"/>
  <c r="M68" i="33"/>
  <c r="E74" i="33" l="1"/>
  <c r="D69" i="33"/>
  <c r="L74" i="33"/>
  <c r="I74" i="33"/>
  <c r="K59" i="32"/>
  <c r="J55" i="32"/>
  <c r="K55" i="32" s="1"/>
  <c r="M59" i="32"/>
  <c r="G74" i="33"/>
  <c r="H74" i="33"/>
  <c r="F69" i="33"/>
  <c r="G69" i="33" s="1"/>
  <c r="E71" i="10"/>
  <c r="M71" i="10"/>
  <c r="I71" i="10"/>
  <c r="H55" i="32"/>
  <c r="I55" i="32"/>
  <c r="J69" i="33"/>
  <c r="K69" i="33" s="1"/>
  <c r="K74" i="33"/>
  <c r="E69" i="33"/>
  <c r="L55" i="32" l="1"/>
  <c r="H69" i="33"/>
  <c r="M55" i="32"/>
  <c r="I69" i="33"/>
  <c r="M69" i="33"/>
  <c r="L69" i="33"/>
</calcChain>
</file>

<file path=xl/sharedStrings.xml><?xml version="1.0" encoding="utf-8"?>
<sst xmlns="http://schemas.openxmlformats.org/spreadsheetml/2006/main" count="1250" uniqueCount="472">
  <si>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</si>
  <si>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</si>
  <si>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</si>
  <si>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</si>
  <si>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</si>
  <si>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</si>
  <si>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</si>
  <si>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</si>
  <si>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</si>
  <si>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</si>
  <si>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</si>
  <si>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</si>
  <si>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</si>
  <si>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</si>
  <si>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</si>
  <si>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</si>
  <si>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</si>
  <si>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</si>
  <si>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</si>
  <si>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</si>
  <si>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</si>
  <si>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</si>
  <si>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</si>
  <si>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</si>
  <si>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</si>
  <si>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</si>
  <si>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</si>
  <si>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</si>
  <si>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</si>
  <si>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</si>
  <si>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</si>
  <si>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</si>
  <si>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</si>
  <si>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</si>
  <si>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</si>
  <si>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</si>
  <si>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</si>
  <si>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</si>
  <si>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</si>
  <si>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</si>
  <si>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</si>
  <si>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</si>
  <si>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</si>
  <si>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</si>
  <si>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</si>
  <si>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</si>
  <si>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</si>
  <si>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</si>
  <si>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</si>
  <si>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</si>
  <si>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</si>
  <si>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</si>
  <si>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</si>
  <si>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</si>
  <si>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</si>
  <si>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</si>
  <si>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</si>
  <si>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</si>
  <si>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</si>
  <si>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</si>
  <si>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</si>
  <si>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</si>
  <si>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</si>
  <si>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</si>
  <si>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</si>
  <si>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</si>
  <si>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</si>
  <si>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</si>
  <si>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</si>
  <si>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</si>
  <si>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</si>
  <si>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</si>
  <si>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</si>
  <si>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</si>
  <si>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</si>
  <si>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</si>
  <si>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</si>
  <si>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</si>
  <si>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</si>
  <si>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</si>
  <si>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</si>
  <si>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</si>
  <si>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</si>
  <si>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</si>
  <si>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</si>
  <si>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</si>
  <si>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</si>
  <si>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</si>
  <si>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</si>
  <si>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</si>
  <si>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</si>
  <si>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</si>
  <si>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</si>
  <si>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</si>
  <si>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</si>
  <si>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</si>
  <si>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</si>
  <si>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</si>
  <si>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</si>
  <si>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</si>
  <si>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</si>
  <si>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</si>
  <si>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</si>
  <si>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</si>
  <si>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</si>
  <si>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</si>
  <si>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</si>
  <si>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</si>
  <si>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</si>
  <si>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</si>
  <si>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</si>
  <si>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</si>
  <si>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</si>
  <si>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</si>
  <si>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</si>
  <si>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</si>
  <si>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</si>
  <si>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</si>
  <si>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</si>
  <si>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</si>
  <si>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</si>
  <si>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</si>
  <si>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</si>
  <si>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</si>
  <si>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</si>
  <si>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</si>
  <si>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</si>
  <si>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</si>
  <si>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</si>
  <si>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</si>
  <si>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</si>
  <si>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</si>
  <si>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</si>
  <si>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</si>
  <si>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</si>
  <si>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</si>
  <si>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</si>
  <si>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</si>
  <si>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</si>
  <si>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</si>
  <si>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</si>
  <si>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</si>
  <si>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</si>
  <si>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</si>
  <si>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</si>
  <si>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</si>
  <si>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</si>
  <si>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</si>
  <si>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</si>
  <si>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</si>
  <si>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</si>
  <si>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</si>
  <si>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</si>
  <si>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</si>
  <si>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</si>
  <si>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</si>
  <si>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</si>
  <si>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</si>
  <si>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</si>
  <si>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</si>
  <si>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</si>
  <si>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</si>
  <si>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</si>
  <si>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</si>
  <si>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</si>
  <si>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</si>
  <si>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</si>
  <si>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</si>
  <si>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</si>
  <si>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</si>
  <si>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</si>
  <si>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</si>
  <si>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</si>
  <si>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</si>
  <si>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</si>
  <si>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</si>
  <si>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</si>
  <si>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</si>
  <si>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</si>
  <si>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</si>
  <si>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</si>
  <si>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</si>
  <si>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</si>
  <si>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</si>
  <si>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</si>
  <si>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</si>
  <si>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</si>
  <si>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</si>
  <si>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</si>
  <si>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</si>
  <si>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</si>
  <si>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</si>
  <si>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</si>
  <si>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</si>
  <si>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</si>
  <si>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</si>
  <si>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</si>
  <si>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</si>
  <si>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</si>
  <si>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</si>
  <si>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</si>
  <si>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</si>
  <si>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</si>
  <si>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</si>
  <si>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</si>
  <si>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</si>
  <si>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</si>
  <si>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</si>
  <si>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</si>
  <si>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</si>
  <si>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</si>
  <si>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</si>
  <si>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</si>
  <si>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</si>
  <si>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</si>
  <si>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</si>
  <si>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</si>
  <si>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</si>
  <si>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</si>
  <si>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</si>
  <si>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</si>
  <si>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</si>
  <si>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</si>
  <si>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</si>
  <si>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</si>
  <si>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</si>
  <si>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</si>
  <si>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</si>
  <si>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</si>
  <si>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</si>
  <si>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</si>
  <si>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</si>
  <si>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</si>
  <si>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</si>
  <si>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</si>
  <si>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</si>
  <si>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</si>
  <si>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</si>
  <si>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</si>
  <si>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</si>
  <si>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</si>
  <si>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</si>
  <si>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</si>
  <si>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</si>
  <si>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</si>
  <si>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</si>
  <si>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</si>
  <si>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</si>
  <si>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</si>
  <si>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</si>
  <si>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</si>
  <si>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</si>
  <si>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</si>
  <si>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</si>
  <si>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</si>
  <si>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</si>
  <si>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</si>
  <si>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</si>
  <si>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</si>
  <si>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</si>
  <si>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</si>
  <si>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</si>
  <si>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</si>
  <si>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</si>
  <si>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</si>
  <si>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</si>
  <si>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</si>
  <si>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</si>
  <si>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</si>
  <si>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</si>
  <si>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</si>
  <si>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</si>
  <si>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</si>
  <si>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</si>
  <si>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</si>
  <si>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</si>
  <si>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</si>
  <si>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</si>
  <si>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</si>
  <si>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</si>
  <si>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</si>
  <si>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</si>
  <si>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</si>
  <si>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</si>
  <si>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</si>
  <si>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</si>
  <si>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</si>
  <si>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</si>
  <si>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</si>
  <si>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</si>
  <si>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</si>
  <si>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</si>
  <si>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</si>
  <si>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</si>
  <si>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</si>
  <si>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</si>
  <si>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</si>
  <si>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</si>
  <si>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</si>
  <si>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</si>
  <si>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</si>
  <si>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</si>
  <si>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</si>
  <si>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</si>
  <si>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</si>
  <si>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</si>
  <si>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</si>
  <si>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</si>
  <si>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</si>
  <si>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</si>
  <si>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</si>
  <si>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</si>
  <si>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</si>
  <si>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</si>
  <si>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</si>
  <si>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</si>
  <si>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</si>
  <si>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</si>
  <si>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</si>
  <si>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</si>
  <si>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</si>
  <si>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</si>
  <si>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</si>
  <si>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</si>
  <si>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</si>
  <si>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</si>
  <si>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</si>
  <si>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</si>
  <si>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</si>
  <si>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</si>
  <si>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</si>
  <si>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</si>
  <si>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</si>
  <si>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</si>
  <si>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</si>
  <si>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</si>
  <si>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</si>
  <si>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</si>
  <si>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</si>
  <si>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</si>
  <si>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</si>
  <si>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</si>
  <si>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</si>
  <si>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</si>
  <si>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</si>
  <si>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</si>
  <si>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</si>
  <si>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</si>
  <si>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</si>
  <si>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</si>
  <si>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</si>
  <si>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</si>
  <si>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</si>
  <si>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</si>
  <si>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</si>
  <si>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</si>
  <si>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</si>
  <si>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</si>
  <si>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</si>
  <si>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</si>
  <si>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</si>
  <si>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</si>
  <si>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</si>
  <si>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</si>
  <si>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</si>
  <si>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</si>
  <si>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</si>
  <si>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</si>
  <si>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</si>
  <si>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</si>
  <si>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</si>
  <si>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</si>
  <si>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</si>
  <si>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</si>
  <si>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</si>
  <si>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</si>
  <si>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</si>
  <si>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</si>
  <si>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</si>
  <si>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</si>
  <si>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</si>
  <si>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</si>
  <si>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</si>
  <si>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</si>
  <si>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</si>
  <si>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</si>
  <si>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</si>
  <si>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</si>
  <si>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</si>
  <si>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</si>
  <si>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</si>
  <si>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</si>
  <si>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</si>
  <si>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</si>
  <si>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</si>
  <si>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</si>
  <si>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</si>
  <si>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</si>
  <si>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</si>
  <si>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</si>
  <si>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</si>
  <si>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</si>
  <si>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</si>
  <si>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</si>
  <si>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</si>
  <si>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</si>
  <si>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</si>
  <si>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</si>
  <si>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</si>
  <si>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</si>
  <si>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</si>
  <si>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</si>
  <si>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</si>
  <si>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</si>
  <si>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</si>
  <si>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</si>
  <si>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</si>
  <si>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</si>
  <si>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</si>
  <si>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</si>
  <si>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</si>
  <si>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</si>
  <si>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</si>
  <si>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</si>
  <si>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</si>
  <si>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</si>
  <si>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</si>
  <si>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</si>
  <si>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</si>
  <si>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</si>
  <si>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</si>
  <si>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</si>
  <si>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</si>
  <si>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</si>
  <si>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</si>
  <si>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</si>
  <si>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</si>
  <si>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</si>
  <si>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</si>
  <si>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</si>
  <si>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</si>
  <si>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</si>
  <si>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</si>
  <si>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Suficit / deficit</t>
  </si>
  <si>
    <t>Odstupanje</t>
  </si>
  <si>
    <t>Tekući budžetski izdaci</t>
  </si>
  <si>
    <t>Otplata obaveza iz prethodnih godina</t>
  </si>
  <si>
    <t>4630a</t>
  </si>
  <si>
    <t>4630b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</si>
  <si>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</si>
  <si>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</si>
  <si>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</si>
  <si>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</si>
  <si>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</si>
  <si>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</si>
  <si>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</si>
  <si>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Budžetski izdaci</t>
  </si>
  <si>
    <t>Ostali državni prihodi</t>
  </si>
  <si>
    <t>Other State revenues</t>
  </si>
  <si>
    <t>Ostali transferi</t>
  </si>
  <si>
    <t xml:space="preserve">Receipts from repayment of loans </t>
  </si>
  <si>
    <t>Receipts from repayment of loans</t>
  </si>
  <si>
    <t>Primici od otplate kredita</t>
  </si>
  <si>
    <t>Transferi</t>
  </si>
  <si>
    <t>Ostvarenje 2018</t>
  </si>
  <si>
    <t>Izdaci za kupovinu hartija od vrijednosti</t>
  </si>
  <si>
    <t>Izdaci za otplatu hartija od vrijednosti</t>
  </si>
  <si>
    <t>...</t>
  </si>
  <si>
    <t>Primarni suficit/deficit</t>
  </si>
  <si>
    <t>Korigovani suficit/deficit</t>
  </si>
  <si>
    <t>Ostvarenje 2019</t>
  </si>
  <si>
    <t>Plan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</si>
</sst>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_-* #,##0.00\ &quot;RSD&quot;_-;\-* #,##0.00\ &quot;RSD&quot;_-;_-* &quot;-&quot;??\ &quot;RSD&quot;_-;_-@_-"/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  <numFmt numFmtId="176" formatCode="0.0000"/>
    <numFmt numFmtId="177" formatCode="_-* #,##0.00\ _R_S_D_-;\-* #,##0.00\ _R_S_D_-;_-* &quot;-&quot;??\ _R_S_D_-;_-@_-"/>
    <numFmt numFmtId="178" formatCode="[$-409]General"/>
  </numFmts>
  <fonts count="6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000000"/>
      <name val="Calibri"/>
      <family val="2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9">
    <xf numFmtId="0" fontId="0" fillId="0" borderId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9" fillId="0" borderId="0" applyProtection="0"/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2" fontId="9" fillId="0" borderId="0" applyProtection="0"/>
    <xf numFmtId="0" fontId="9" fillId="0" borderId="0" applyNumberFormat="0" applyFont="0" applyFill="0" applyBorder="0" applyAlignment="0" applyProtection="0"/>
    <xf numFmtId="0" fontId="12" fillId="0" borderId="0" applyProtection="0"/>
    <xf numFmtId="172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3" fillId="0" borderId="0"/>
    <xf numFmtId="0" fontId="14" fillId="0" borderId="0"/>
    <xf numFmtId="0" fontId="15" fillId="0" borderId="0"/>
    <xf numFmtId="0" fontId="15" fillId="0" borderId="0"/>
    <xf numFmtId="0" fontId="8" fillId="0" borderId="0"/>
    <xf numFmtId="0" fontId="7" fillId="0" borderId="0"/>
    <xf numFmtId="174" fontId="8" fillId="0" borderId="0" applyFont="0" applyFill="0" applyBorder="0" applyAlignment="0" applyProtection="0"/>
    <xf numFmtId="0" fontId="1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" fillId="0" borderId="0"/>
    <xf numFmtId="9" fontId="35" fillId="0" borderId="0" applyFont="0" applyFill="0" applyBorder="0" applyAlignment="0" applyProtection="0"/>
    <xf numFmtId="0" fontId="7" fillId="0" borderId="0"/>
    <xf numFmtId="164" fontId="4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4" fillId="0" borderId="55" applyNumberFormat="0" applyFill="0" applyAlignment="0" applyProtection="0"/>
    <xf numFmtId="0" fontId="45" fillId="0" borderId="56" applyNumberFormat="0" applyFill="0" applyAlignment="0" applyProtection="0"/>
    <xf numFmtId="0" fontId="46" fillId="0" borderId="57" applyNumberFormat="0" applyFill="0" applyAlignment="0" applyProtection="0"/>
    <xf numFmtId="0" fontId="46" fillId="0" borderId="0" applyNumberFormat="0" applyFill="0" applyBorder="0" applyAlignment="0" applyProtection="0"/>
    <xf numFmtId="0" fontId="47" fillId="16" borderId="0" applyNumberFormat="0" applyBorder="0" applyAlignment="0" applyProtection="0"/>
    <xf numFmtId="0" fontId="48" fillId="17" borderId="0" applyNumberFormat="0" applyBorder="0" applyAlignment="0" applyProtection="0"/>
    <xf numFmtId="0" fontId="49" fillId="18" borderId="0" applyNumberFormat="0" applyBorder="0" applyAlignment="0" applyProtection="0"/>
    <xf numFmtId="0" fontId="50" fillId="19" borderId="58" applyNumberFormat="0" applyAlignment="0" applyProtection="0"/>
    <xf numFmtId="0" fontId="51" fillId="20" borderId="59" applyNumberFormat="0" applyAlignment="0" applyProtection="0"/>
    <xf numFmtId="0" fontId="52" fillId="20" borderId="58" applyNumberFormat="0" applyAlignment="0" applyProtection="0"/>
    <xf numFmtId="0" fontId="53" fillId="0" borderId="60" applyNumberFormat="0" applyFill="0" applyAlignment="0" applyProtection="0"/>
    <xf numFmtId="0" fontId="54" fillId="21" borderId="61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63" applyNumberFormat="0" applyFill="0" applyAlignment="0" applyProtection="0"/>
    <xf numFmtId="0" fontId="5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58" fillId="46" borderId="0" applyNumberFormat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13" fillId="0" borderId="0"/>
    <xf numFmtId="174" fontId="7" fillId="0" borderId="0" applyFont="0" applyFill="0" applyBorder="0" applyAlignment="0" applyProtection="0"/>
    <xf numFmtId="0" fontId="37" fillId="0" borderId="0"/>
    <xf numFmtId="0" fontId="48" fillId="17" borderId="0" applyNumberFormat="0" applyBorder="0" applyAlignment="0" applyProtection="0"/>
    <xf numFmtId="0" fontId="60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22" borderId="6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62" applyNumberFormat="0" applyFont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174" fontId="7" fillId="0" borderId="0" applyFont="0" applyFill="0" applyBorder="0" applyAlignment="0" applyProtection="0"/>
    <xf numFmtId="0" fontId="59" fillId="0" borderId="0"/>
    <xf numFmtId="171" fontId="7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6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62" applyNumberFormat="0" applyFont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78" fontId="61" fillId="0" borderId="0"/>
  </cellStyleXfs>
  <cellXfs count="358">
    <xf numFmtId="0" fontId="0" fillId="0" borderId="0" xfId="0"/>
    <xf numFmtId="0" fontId="7" fillId="0" borderId="0" xfId="0" applyFont="1"/>
    <xf numFmtId="0" fontId="17" fillId="0" borderId="0" xfId="0" applyFont="1" applyFill="1" applyAlignment="1">
      <alignment horizontal="center" vertical="center"/>
    </xf>
    <xf numFmtId="0" fontId="7" fillId="0" borderId="0" xfId="22" applyFont="1" applyFill="1" applyBorder="1" applyAlignment="1">
      <alignment horizontal="center" vertical="center" wrapText="1"/>
    </xf>
    <xf numFmtId="0" fontId="17" fillId="0" borderId="0" xfId="22" applyFont="1" applyFill="1" applyBorder="1" applyAlignment="1">
      <alignment vertical="center"/>
    </xf>
    <xf numFmtId="0" fontId="17" fillId="0" borderId="0" xfId="22" applyFont="1" applyFill="1" applyAlignment="1">
      <alignment vertical="center"/>
    </xf>
    <xf numFmtId="0" fontId="17" fillId="0" borderId="0" xfId="22" applyFont="1" applyFill="1" applyBorder="1" applyAlignment="1">
      <alignment horizontal="center" vertical="center"/>
    </xf>
    <xf numFmtId="2" fontId="17" fillId="0" borderId="0" xfId="22" applyNumberFormat="1" applyFont="1" applyFill="1" applyBorder="1" applyAlignment="1">
      <alignment vertical="center"/>
    </xf>
    <xf numFmtId="2" fontId="17" fillId="0" borderId="0" xfId="22" applyNumberFormat="1" applyFont="1" applyFill="1" applyBorder="1" applyAlignment="1">
      <alignment horizontal="left" vertical="center"/>
    </xf>
    <xf numFmtId="49" fontId="17" fillId="0" borderId="0" xfId="22" applyNumberFormat="1" applyFont="1" applyFill="1" applyBorder="1" applyAlignment="1">
      <alignment vertical="center"/>
    </xf>
    <xf numFmtId="0" fontId="17" fillId="3" borderId="0" xfId="0" applyFont="1" applyFill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17" fillId="0" borderId="0" xfId="22" applyFont="1" applyAlignment="1">
      <alignment vertical="center"/>
    </xf>
    <xf numFmtId="1" fontId="17" fillId="0" borderId="0" xfId="0" applyNumberFormat="1" applyFont="1" applyFill="1" applyBorder="1" applyAlignment="1">
      <alignment horizontal="center" vertical="center"/>
    </xf>
    <xf numFmtId="1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" fontId="17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/>
    </xf>
    <xf numFmtId="16" fontId="17" fillId="0" borderId="0" xfId="0" applyNumberFormat="1" applyFont="1" applyFill="1" applyBorder="1" applyAlignment="1">
      <alignment horizontal="left" vertical="center"/>
    </xf>
    <xf numFmtId="17" fontId="17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7" fontId="17" fillId="0" borderId="0" xfId="0" applyNumberFormat="1" applyFont="1" applyFill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" fontId="18" fillId="0" borderId="0" xfId="22" applyNumberFormat="1" applyFont="1" applyFill="1" applyBorder="1" applyAlignment="1">
      <alignment vertical="center"/>
    </xf>
    <xf numFmtId="165" fontId="18" fillId="0" borderId="0" xfId="22" applyNumberFormat="1" applyFont="1" applyFill="1" applyBorder="1" applyAlignment="1">
      <alignment vertical="center"/>
    </xf>
    <xf numFmtId="49" fontId="17" fillId="0" borderId="0" xfId="22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17" fontId="7" fillId="0" borderId="0" xfId="0" applyNumberFormat="1" applyFont="1"/>
    <xf numFmtId="0" fontId="3" fillId="0" borderId="0" xfId="37"/>
    <xf numFmtId="0" fontId="22" fillId="0" borderId="5" xfId="37" applyFont="1" applyBorder="1" applyAlignment="1">
      <alignment horizontal="center" vertical="center" wrapText="1"/>
    </xf>
    <xf numFmtId="0" fontId="6" fillId="0" borderId="38" xfId="37" applyFont="1" applyBorder="1" applyAlignment="1">
      <alignment horizontal="center" vertical="center" wrapText="1"/>
    </xf>
    <xf numFmtId="0" fontId="6" fillId="0" borderId="10" xfId="37" applyFont="1" applyBorder="1" applyAlignment="1">
      <alignment horizontal="center" vertical="center" wrapText="1"/>
    </xf>
    <xf numFmtId="0" fontId="5" fillId="0" borderId="5" xfId="37" applyFont="1" applyBorder="1" applyAlignment="1">
      <alignment horizontal="left"/>
    </xf>
    <xf numFmtId="0" fontId="5" fillId="0" borderId="38" xfId="37" applyFont="1" applyBorder="1" applyAlignment="1">
      <alignment wrapText="1"/>
    </xf>
    <xf numFmtId="4" fontId="5" fillId="0" borderId="10" xfId="37" applyNumberFormat="1" applyFont="1" applyBorder="1"/>
    <xf numFmtId="4" fontId="24" fillId="3" borderId="0" xfId="37" applyNumberFormat="1" applyFont="1" applyFill="1"/>
    <xf numFmtId="0" fontId="5" fillId="0" borderId="15" xfId="37" applyFont="1" applyBorder="1" applyAlignment="1">
      <alignment horizontal="left"/>
    </xf>
    <xf numFmtId="0" fontId="5" fillId="0" borderId="31" xfId="37" applyFont="1" applyBorder="1" applyAlignment="1">
      <alignment wrapText="1"/>
    </xf>
    <xf numFmtId="4" fontId="5" fillId="0" borderId="7" xfId="37" applyNumberFormat="1" applyFont="1" applyBorder="1"/>
    <xf numFmtId="4" fontId="3" fillId="0" borderId="0" xfId="37" applyNumberFormat="1"/>
    <xf numFmtId="0" fontId="5" fillId="0" borderId="44" xfId="37" applyFont="1" applyBorder="1" applyAlignment="1">
      <alignment horizontal="center"/>
    </xf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6" fillId="0" borderId="44" xfId="37" applyFont="1" applyBorder="1"/>
    <xf numFmtId="0" fontId="6" fillId="0" borderId="3" xfId="37" applyFont="1" applyBorder="1" applyAlignment="1">
      <alignment vertical="center" wrapText="1"/>
    </xf>
    <xf numFmtId="4" fontId="6" fillId="0" borderId="8" xfId="37" applyNumberFormat="1" applyFont="1" applyBorder="1"/>
    <xf numFmtId="0" fontId="6" fillId="0" borderId="3" xfId="37" applyFont="1" applyBorder="1" applyAlignment="1">
      <alignment horizontal="left" wrapText="1"/>
    </xf>
    <xf numFmtId="0" fontId="6" fillId="0" borderId="3" xfId="37" applyFont="1" applyBorder="1" applyAlignment="1">
      <alignment wrapText="1"/>
    </xf>
    <xf numFmtId="0" fontId="5" fillId="0" borderId="44" xfId="37" applyFont="1" applyBorder="1" applyAlignment="1">
      <alignment horizontal="left"/>
    </xf>
    <xf numFmtId="0" fontId="5" fillId="0" borderId="3" xfId="37" applyFont="1" applyBorder="1" applyAlignment="1">
      <alignment wrapText="1"/>
    </xf>
    <xf numFmtId="0" fontId="6" fillId="0" borderId="44" xfId="37" applyFont="1" applyBorder="1" applyAlignment="1">
      <alignment horizontal="right"/>
    </xf>
    <xf numFmtId="0" fontId="6" fillId="0" borderId="44" xfId="37" applyFont="1" applyBorder="1" applyAlignment="1">
      <alignment horizontal="center"/>
    </xf>
    <xf numFmtId="0" fontId="6" fillId="0" borderId="45" xfId="37" applyFont="1" applyBorder="1" applyAlignment="1">
      <alignment horizontal="center"/>
    </xf>
    <xf numFmtId="0" fontId="6" fillId="0" borderId="39" xfId="37" applyFont="1" applyBorder="1" applyAlignment="1">
      <alignment wrapText="1"/>
    </xf>
    <xf numFmtId="4" fontId="6" fillId="0" borderId="9" xfId="37" applyNumberFormat="1" applyFont="1" applyBorder="1"/>
    <xf numFmtId="0" fontId="6" fillId="0" borderId="1" xfId="37" applyFont="1" applyBorder="1"/>
    <xf numFmtId="0" fontId="6" fillId="0" borderId="41" xfId="37" applyFont="1" applyBorder="1" applyAlignment="1">
      <alignment wrapText="1"/>
    </xf>
    <xf numFmtId="4" fontId="6" fillId="0" borderId="40" xfId="37" applyNumberFormat="1" applyFont="1" applyBorder="1"/>
    <xf numFmtId="0" fontId="25" fillId="0" borderId="10" xfId="37" applyFont="1" applyBorder="1" applyAlignment="1">
      <alignment horizontal="center"/>
    </xf>
    <xf numFmtId="4" fontId="5" fillId="0" borderId="24" xfId="37" applyNumberFormat="1" applyFont="1" applyBorder="1" applyAlignment="1">
      <alignment horizontal="center" wrapText="1"/>
    </xf>
    <xf numFmtId="0" fontId="26" fillId="0" borderId="17" xfId="37" applyFont="1" applyBorder="1" applyAlignment="1">
      <alignment wrapText="1"/>
    </xf>
    <xf numFmtId="4" fontId="5" fillId="0" borderId="19" xfId="37" applyNumberFormat="1" applyFont="1" applyBorder="1" applyAlignment="1">
      <alignment horizontal="right"/>
    </xf>
    <xf numFmtId="4" fontId="21" fillId="0" borderId="0" xfId="37" applyNumberFormat="1" applyFont="1"/>
    <xf numFmtId="4" fontId="6" fillId="0" borderId="47" xfId="37" applyNumberFormat="1" applyFont="1" applyBorder="1" applyAlignment="1">
      <alignment horizontal="right"/>
    </xf>
    <xf numFmtId="0" fontId="21" fillId="0" borderId="0" xfId="37" applyFont="1"/>
    <xf numFmtId="0" fontId="26" fillId="0" borderId="17" xfId="37" applyFont="1" applyBorder="1"/>
    <xf numFmtId="0" fontId="27" fillId="0" borderId="17" xfId="37" applyFont="1" applyBorder="1" applyAlignment="1">
      <alignment wrapText="1"/>
    </xf>
    <xf numFmtId="0" fontId="6" fillId="0" borderId="46" xfId="37" applyFont="1" applyBorder="1" applyAlignment="1">
      <alignment wrapText="1"/>
    </xf>
    <xf numFmtId="165" fontId="21" fillId="0" borderId="0" xfId="37" applyNumberFormat="1" applyFont="1"/>
    <xf numFmtId="4" fontId="23" fillId="10" borderId="0" xfId="37" applyNumberFormat="1" applyFont="1" applyFill="1"/>
    <xf numFmtId="0" fontId="20" fillId="0" borderId="43" xfId="37" applyFont="1" applyBorder="1" applyAlignment="1">
      <alignment wrapText="1"/>
    </xf>
    <xf numFmtId="4" fontId="6" fillId="0" borderId="42" xfId="37" applyNumberFormat="1" applyFont="1" applyBorder="1" applyAlignment="1">
      <alignment horizontal="right"/>
    </xf>
    <xf numFmtId="0" fontId="20" fillId="0" borderId="40" xfId="37" applyFont="1" applyBorder="1" applyAlignment="1">
      <alignment wrapText="1"/>
    </xf>
    <xf numFmtId="4" fontId="6" fillId="0" borderId="25" xfId="37" applyNumberFormat="1" applyFont="1" applyBorder="1" applyAlignment="1">
      <alignment horizontal="right"/>
    </xf>
    <xf numFmtId="0" fontId="20" fillId="0" borderId="43" xfId="37" applyFont="1" applyBorder="1"/>
    <xf numFmtId="0" fontId="6" fillId="0" borderId="43" xfId="37" applyFont="1" applyBorder="1" applyAlignment="1">
      <alignment wrapText="1"/>
    </xf>
    <xf numFmtId="0" fontId="6" fillId="0" borderId="8" xfId="37" applyFont="1" applyBorder="1" applyAlignment="1">
      <alignment wrapText="1"/>
    </xf>
    <xf numFmtId="0" fontId="6" fillId="0" borderId="40" xfId="37" applyFont="1" applyBorder="1" applyAlignment="1">
      <alignment wrapText="1"/>
    </xf>
    <xf numFmtId="4" fontId="6" fillId="0" borderId="40" xfId="37" applyNumberFormat="1" applyFont="1" applyBorder="1" applyAlignment="1">
      <alignment horizontal="right"/>
    </xf>
    <xf numFmtId="0" fontId="28" fillId="2" borderId="0" xfId="22" applyFont="1" applyFill="1"/>
    <xf numFmtId="0" fontId="28" fillId="2" borderId="0" xfId="22" applyFont="1" applyFill="1" applyBorder="1"/>
    <xf numFmtId="166" fontId="28" fillId="2" borderId="0" xfId="0" applyNumberFormat="1" applyFont="1" applyFill="1" applyBorder="1" applyAlignment="1" applyProtection="1">
      <protection hidden="1"/>
    </xf>
    <xf numFmtId="166" fontId="28" fillId="2" borderId="21" xfId="0" applyNumberFormat="1" applyFont="1" applyFill="1" applyBorder="1" applyAlignment="1" applyProtection="1">
      <protection hidden="1"/>
    </xf>
    <xf numFmtId="0" fontId="28" fillId="2" borderId="0" xfId="36" applyFont="1" applyFill="1" applyBorder="1"/>
    <xf numFmtId="0" fontId="28" fillId="2" borderId="0" xfId="22" applyFont="1" applyFill="1" applyProtection="1"/>
    <xf numFmtId="0" fontId="28" fillId="2" borderId="0" xfId="22" applyFont="1" applyFill="1" applyBorder="1" applyAlignment="1">
      <alignment vertical="center"/>
    </xf>
    <xf numFmtId="0" fontId="28" fillId="2" borderId="0" xfId="22" applyFont="1" applyFill="1" applyProtection="1">
      <protection locked="0"/>
    </xf>
    <xf numFmtId="0" fontId="30" fillId="5" borderId="33" xfId="36" applyFont="1" applyFill="1" applyBorder="1" applyAlignment="1">
      <alignment horizontal="center" vertical="center" wrapText="1"/>
    </xf>
    <xf numFmtId="0" fontId="30" fillId="5" borderId="19" xfId="36" applyFont="1" applyFill="1" applyBorder="1" applyAlignment="1">
      <alignment horizontal="center" vertical="center" wrapText="1"/>
    </xf>
    <xf numFmtId="2" fontId="30" fillId="5" borderId="6" xfId="22" applyNumberFormat="1" applyFont="1" applyFill="1" applyBorder="1" applyAlignment="1">
      <alignment vertical="center"/>
    </xf>
    <xf numFmtId="165" fontId="30" fillId="5" borderId="5" xfId="22" applyNumberFormat="1" applyFont="1" applyFill="1" applyBorder="1" applyAlignment="1">
      <alignment vertical="center"/>
    </xf>
    <xf numFmtId="4" fontId="30" fillId="5" borderId="24" xfId="22" applyNumberFormat="1" applyFont="1" applyFill="1" applyBorder="1" applyAlignment="1">
      <alignment vertical="center"/>
    </xf>
    <xf numFmtId="2" fontId="30" fillId="2" borderId="16" xfId="22" applyNumberFormat="1" applyFont="1" applyFill="1" applyBorder="1" applyAlignment="1">
      <alignment vertical="center"/>
    </xf>
    <xf numFmtId="165" fontId="30" fillId="2" borderId="30" xfId="22" applyNumberFormat="1" applyFont="1" applyFill="1" applyBorder="1" applyAlignment="1">
      <alignment vertical="center"/>
    </xf>
    <xf numFmtId="4" fontId="30" fillId="2" borderId="0" xfId="22" applyNumberFormat="1" applyFont="1" applyFill="1" applyBorder="1" applyAlignment="1">
      <alignment vertical="center"/>
    </xf>
    <xf numFmtId="4" fontId="30" fillId="2" borderId="14" xfId="22" applyNumberFormat="1" applyFont="1" applyFill="1" applyBorder="1" applyAlignment="1">
      <alignment vertical="center"/>
    </xf>
    <xf numFmtId="2" fontId="28" fillId="2" borderId="16" xfId="22" applyNumberFormat="1" applyFont="1" applyFill="1" applyBorder="1" applyAlignment="1">
      <alignment vertical="center"/>
    </xf>
    <xf numFmtId="4" fontId="28" fillId="2" borderId="14" xfId="22" applyNumberFormat="1" applyFont="1" applyFill="1" applyBorder="1" applyAlignment="1">
      <alignment vertical="center"/>
    </xf>
    <xf numFmtId="4" fontId="28" fillId="2" borderId="0" xfId="22" applyNumberFormat="1" applyFont="1" applyFill="1" applyBorder="1"/>
    <xf numFmtId="4" fontId="28" fillId="2" borderId="0" xfId="22" applyNumberFormat="1" applyFont="1" applyFill="1"/>
    <xf numFmtId="2" fontId="30" fillId="2" borderId="16" xfId="22" applyNumberFormat="1" applyFont="1" applyFill="1" applyBorder="1" applyAlignment="1">
      <alignment vertical="center" wrapText="1"/>
    </xf>
    <xf numFmtId="165" fontId="28" fillId="2" borderId="0" xfId="22" applyNumberFormat="1" applyFont="1" applyFill="1"/>
    <xf numFmtId="2" fontId="28" fillId="0" borderId="16" xfId="22" applyNumberFormat="1" applyFont="1" applyFill="1" applyBorder="1" applyAlignment="1">
      <alignment vertical="center"/>
    </xf>
    <xf numFmtId="4" fontId="28" fillId="0" borderId="14" xfId="22" applyNumberFormat="1" applyFont="1" applyFill="1" applyBorder="1" applyAlignment="1">
      <alignment vertical="center"/>
    </xf>
    <xf numFmtId="49" fontId="28" fillId="2" borderId="0" xfId="22" applyNumberFormat="1" applyFont="1" applyFill="1" applyBorder="1" applyAlignment="1">
      <alignment wrapText="1"/>
    </xf>
    <xf numFmtId="2" fontId="34" fillId="2" borderId="0" xfId="22" applyNumberFormat="1" applyFont="1" applyFill="1" applyBorder="1" applyAlignment="1">
      <alignment vertical="center"/>
    </xf>
    <xf numFmtId="2" fontId="28" fillId="2" borderId="0" xfId="22" applyNumberFormat="1" applyFont="1" applyFill="1" applyBorder="1" applyAlignment="1">
      <alignment wrapText="1"/>
    </xf>
    <xf numFmtId="0" fontId="30" fillId="5" borderId="36" xfId="36" applyFont="1" applyFill="1" applyBorder="1" applyAlignment="1">
      <alignment horizontal="center" vertical="center" wrapText="1"/>
    </xf>
    <xf numFmtId="0" fontId="28" fillId="2" borderId="0" xfId="22" applyNumberFormat="1" applyFont="1" applyFill="1" applyBorder="1"/>
    <xf numFmtId="49" fontId="28" fillId="2" borderId="0" xfId="22" applyNumberFormat="1" applyFont="1" applyFill="1" applyAlignment="1">
      <alignment wrapText="1"/>
    </xf>
    <xf numFmtId="0" fontId="28" fillId="2" borderId="0" xfId="22" applyNumberFormat="1" applyFont="1" applyFill="1"/>
    <xf numFmtId="0" fontId="28" fillId="2" borderId="0" xfId="22" applyFont="1" applyFill="1" applyBorder="1" applyAlignment="1">
      <alignment wrapText="1"/>
    </xf>
    <xf numFmtId="0" fontId="28" fillId="2" borderId="0" xfId="22" applyFont="1" applyFill="1" applyBorder="1" applyAlignment="1">
      <alignment horizontal="center" wrapText="1"/>
    </xf>
    <xf numFmtId="0" fontId="28" fillId="2" borderId="0" xfId="22" applyFont="1" applyFill="1" applyBorder="1" applyAlignment="1">
      <alignment horizontal="right"/>
    </xf>
    <xf numFmtId="0" fontId="28" fillId="2" borderId="0" xfId="22" applyFont="1" applyFill="1" applyAlignment="1">
      <alignment wrapText="1"/>
    </xf>
    <xf numFmtId="2" fontId="28" fillId="2" borderId="0" xfId="22" applyNumberFormat="1" applyFont="1" applyFill="1" applyBorder="1" applyAlignment="1">
      <alignment horizontal="right"/>
    </xf>
    <xf numFmtId="0" fontId="33" fillId="2" borderId="0" xfId="22" applyFont="1" applyFill="1" applyBorder="1"/>
    <xf numFmtId="0" fontId="28" fillId="2" borderId="35" xfId="22" applyFont="1" applyFill="1" applyBorder="1"/>
    <xf numFmtId="2" fontId="30" fillId="2" borderId="6" xfId="22" applyNumberFormat="1" applyFont="1" applyFill="1" applyBorder="1" applyAlignment="1">
      <alignment vertical="center"/>
    </xf>
    <xf numFmtId="165" fontId="30" fillId="2" borderId="5" xfId="22" applyNumberFormat="1" applyFont="1" applyFill="1" applyBorder="1" applyAlignment="1">
      <alignment vertical="center"/>
    </xf>
    <xf numFmtId="4" fontId="30" fillId="2" borderId="24" xfId="22" applyNumberFormat="1" applyFont="1" applyFill="1" applyBorder="1" applyAlignment="1">
      <alignment vertical="center"/>
    </xf>
    <xf numFmtId="0" fontId="29" fillId="12" borderId="6" xfId="22" applyFont="1" applyFill="1" applyBorder="1" applyAlignment="1">
      <alignment vertical="center"/>
    </xf>
    <xf numFmtId="0" fontId="30" fillId="8" borderId="33" xfId="22" applyFont="1" applyFill="1" applyBorder="1" applyAlignment="1">
      <alignment horizontal="center" vertical="center" wrapText="1"/>
    </xf>
    <xf numFmtId="2" fontId="30" fillId="8" borderId="6" xfId="22" applyNumberFormat="1" applyFont="1" applyFill="1" applyBorder="1" applyAlignment="1">
      <alignment vertical="center"/>
    </xf>
    <xf numFmtId="165" fontId="30" fillId="2" borderId="30" xfId="36" applyNumberFormat="1" applyFont="1" applyFill="1" applyBorder="1" applyAlignment="1">
      <alignment vertical="center"/>
    </xf>
    <xf numFmtId="165" fontId="28" fillId="0" borderId="30" xfId="36" applyNumberFormat="1" applyFont="1" applyFill="1" applyBorder="1" applyAlignment="1">
      <alignment vertical="center"/>
    </xf>
    <xf numFmtId="165" fontId="28" fillId="2" borderId="30" xfId="36" applyNumberFormat="1" applyFont="1" applyFill="1" applyBorder="1" applyAlignment="1">
      <alignment vertical="center"/>
    </xf>
    <xf numFmtId="0" fontId="30" fillId="8" borderId="36" xfId="22" applyFont="1" applyFill="1" applyBorder="1" applyAlignment="1">
      <alignment horizontal="center" vertical="center" wrapText="1"/>
    </xf>
    <xf numFmtId="4" fontId="30" fillId="2" borderId="14" xfId="36" applyNumberFormat="1" applyFont="1" applyFill="1" applyBorder="1" applyAlignment="1">
      <alignment vertical="center"/>
    </xf>
    <xf numFmtId="0" fontId="32" fillId="2" borderId="0" xfId="22" applyFont="1" applyFill="1" applyBorder="1"/>
    <xf numFmtId="165" fontId="30" fillId="5" borderId="5" xfId="36" applyNumberFormat="1" applyFont="1" applyFill="1" applyBorder="1" applyAlignment="1">
      <alignment vertical="center"/>
    </xf>
    <xf numFmtId="165" fontId="30" fillId="2" borderId="5" xfId="36" applyNumberFormat="1" applyFont="1" applyFill="1" applyBorder="1" applyAlignment="1">
      <alignment vertical="center"/>
    </xf>
    <xf numFmtId="0" fontId="32" fillId="2" borderId="22" xfId="36" applyFont="1" applyFill="1" applyBorder="1" applyAlignment="1"/>
    <xf numFmtId="165" fontId="30" fillId="5" borderId="11" xfId="36" applyNumberFormat="1" applyFont="1" applyFill="1" applyBorder="1" applyAlignment="1">
      <alignment vertical="center"/>
    </xf>
    <xf numFmtId="165" fontId="30" fillId="0" borderId="30" xfId="36" applyNumberFormat="1" applyFont="1" applyFill="1" applyBorder="1" applyAlignment="1">
      <alignment vertical="center"/>
    </xf>
    <xf numFmtId="0" fontId="29" fillId="7" borderId="6" xfId="22" applyFont="1" applyFill="1" applyBorder="1" applyAlignment="1">
      <alignment vertical="center"/>
    </xf>
    <xf numFmtId="0" fontId="29" fillId="2" borderId="0" xfId="22" applyFont="1" applyFill="1" applyBorder="1" applyAlignment="1">
      <alignment vertical="center"/>
    </xf>
    <xf numFmtId="2" fontId="30" fillId="6" borderId="6" xfId="22" applyNumberFormat="1" applyFont="1" applyFill="1" applyBorder="1" applyAlignment="1">
      <alignment vertical="center"/>
    </xf>
    <xf numFmtId="0" fontId="2" fillId="0" borderId="0" xfId="37" applyFont="1"/>
    <xf numFmtId="0" fontId="29" fillId="9" borderId="6" xfId="22" applyFont="1" applyFill="1" applyBorder="1" applyAlignment="1">
      <alignment vertical="center"/>
    </xf>
    <xf numFmtId="0" fontId="37" fillId="0" borderId="0" xfId="0" applyFont="1"/>
    <xf numFmtId="175" fontId="0" fillId="0" borderId="0" xfId="0" applyNumberFormat="1"/>
    <xf numFmtId="0" fontId="28" fillId="2" borderId="35" xfId="22" applyFont="1" applyFill="1" applyBorder="1" applyAlignment="1"/>
    <xf numFmtId="0" fontId="30" fillId="5" borderId="0" xfId="36" applyFont="1" applyFill="1" applyBorder="1" applyAlignment="1">
      <alignment horizontal="center" vertical="center" wrapText="1"/>
    </xf>
    <xf numFmtId="165" fontId="28" fillId="10" borderId="30" xfId="36" applyNumberFormat="1" applyFont="1" applyFill="1" applyBorder="1" applyAlignment="1">
      <alignment vertical="center"/>
    </xf>
    <xf numFmtId="4" fontId="28" fillId="10" borderId="14" xfId="22" applyNumberFormat="1" applyFont="1" applyFill="1" applyBorder="1" applyAlignment="1">
      <alignment vertical="center"/>
    </xf>
    <xf numFmtId="165" fontId="30" fillId="10" borderId="5" xfId="22" applyNumberFormat="1" applyFont="1" applyFill="1" applyBorder="1" applyAlignment="1">
      <alignment vertical="center"/>
    </xf>
    <xf numFmtId="4" fontId="30" fillId="10" borderId="24" xfId="22" applyNumberFormat="1" applyFont="1" applyFill="1" applyBorder="1" applyAlignment="1">
      <alignment vertical="center"/>
    </xf>
    <xf numFmtId="0" fontId="28" fillId="2" borderId="0" xfId="39" applyFont="1" applyFill="1"/>
    <xf numFmtId="2" fontId="34" fillId="2" borderId="0" xfId="39" applyNumberFormat="1" applyFont="1" applyFill="1" applyBorder="1" applyAlignment="1">
      <alignment vertical="center"/>
    </xf>
    <xf numFmtId="49" fontId="28" fillId="2" borderId="0" xfId="39" applyNumberFormat="1" applyFont="1" applyFill="1" applyBorder="1" applyAlignment="1">
      <alignment wrapText="1"/>
    </xf>
    <xf numFmtId="49" fontId="28" fillId="2" borderId="0" xfId="39" applyNumberFormat="1" applyFont="1" applyFill="1" applyAlignment="1">
      <alignment horizontal="right" wrapText="1"/>
    </xf>
    <xf numFmtId="2" fontId="30" fillId="2" borderId="10" xfId="22" applyNumberFormat="1" applyFont="1" applyFill="1" applyBorder="1" applyAlignment="1">
      <alignment vertical="center"/>
    </xf>
    <xf numFmtId="0" fontId="28" fillId="2" borderId="10" xfId="22" applyFont="1" applyFill="1" applyBorder="1"/>
    <xf numFmtId="0" fontId="28" fillId="2" borderId="16" xfId="22" applyFont="1" applyFill="1" applyBorder="1"/>
    <xf numFmtId="0" fontId="30" fillId="5" borderId="22" xfId="36" applyFont="1" applyFill="1" applyBorder="1" applyAlignment="1">
      <alignment horizontal="center" vertical="center" wrapText="1"/>
    </xf>
    <xf numFmtId="0" fontId="30" fillId="5" borderId="37" xfId="36" applyFont="1" applyFill="1" applyBorder="1" applyAlignment="1">
      <alignment horizontal="center" vertical="center" wrapText="1"/>
    </xf>
    <xf numFmtId="0" fontId="30" fillId="5" borderId="11" xfId="36" applyFont="1" applyFill="1" applyBorder="1" applyAlignment="1">
      <alignment horizontal="center" vertical="center" wrapText="1"/>
    </xf>
    <xf numFmtId="166" fontId="31" fillId="2" borderId="0" xfId="0" applyNumberFormat="1" applyFont="1" applyFill="1" applyBorder="1" applyAlignment="1" applyProtection="1">
      <alignment vertical="center"/>
      <protection hidden="1"/>
    </xf>
    <xf numFmtId="176" fontId="28" fillId="2" borderId="0" xfId="22" applyNumberFormat="1" applyFont="1" applyFill="1"/>
    <xf numFmtId="2" fontId="28" fillId="2" borderId="6" xfId="22" applyNumberFormat="1" applyFont="1" applyFill="1" applyBorder="1" applyAlignment="1">
      <alignment vertical="center"/>
    </xf>
    <xf numFmtId="2" fontId="28" fillId="2" borderId="0" xfId="22" applyNumberFormat="1" applyFont="1" applyFill="1"/>
    <xf numFmtId="2" fontId="17" fillId="2" borderId="16" xfId="22" applyNumberFormat="1" applyFont="1" applyFill="1" applyBorder="1" applyAlignment="1">
      <alignment vertical="center"/>
    </xf>
    <xf numFmtId="167" fontId="28" fillId="14" borderId="12" xfId="0" applyNumberFormat="1" applyFont="1" applyFill="1" applyBorder="1" applyAlignment="1">
      <alignment horizontal="right"/>
    </xf>
    <xf numFmtId="2" fontId="30" fillId="5" borderId="10" xfId="22" applyNumberFormat="1" applyFont="1" applyFill="1" applyBorder="1" applyAlignment="1">
      <alignment vertical="center"/>
    </xf>
    <xf numFmtId="0" fontId="28" fillId="2" borderId="0" xfId="22" applyFont="1" applyFill="1" applyAlignment="1">
      <alignment horizontal="right"/>
    </xf>
    <xf numFmtId="2" fontId="28" fillId="2" borderId="17" xfId="22" applyNumberFormat="1" applyFont="1" applyFill="1" applyBorder="1" applyAlignment="1">
      <alignment vertical="center"/>
    </xf>
    <xf numFmtId="2" fontId="28" fillId="2" borderId="0" xfId="22" applyNumberFormat="1" applyFont="1" applyFill="1" applyBorder="1"/>
    <xf numFmtId="166" fontId="28" fillId="2" borderId="0" xfId="0" applyNumberFormat="1" applyFont="1" applyFill="1" applyBorder="1" applyAlignment="1" applyProtection="1">
      <alignment horizontal="right"/>
      <protection hidden="1"/>
    </xf>
    <xf numFmtId="0" fontId="30" fillId="11" borderId="48" xfId="0" applyNumberFormat="1" applyFont="1" applyFill="1" applyBorder="1" applyAlignment="1" applyProtection="1">
      <alignment horizontal="right"/>
      <protection hidden="1"/>
    </xf>
    <xf numFmtId="2" fontId="28" fillId="11" borderId="48" xfId="0" applyNumberFormat="1" applyFont="1" applyFill="1" applyBorder="1" applyAlignment="1" applyProtection="1">
      <alignment horizontal="right" vertical="center"/>
      <protection hidden="1"/>
    </xf>
    <xf numFmtId="2" fontId="28" fillId="11" borderId="0" xfId="0" applyNumberFormat="1" applyFont="1" applyFill="1" applyBorder="1" applyAlignment="1" applyProtection="1">
      <alignment horizontal="right" vertical="center"/>
      <protection hidden="1"/>
    </xf>
    <xf numFmtId="2" fontId="28" fillId="11" borderId="50" xfId="0" applyNumberFormat="1" applyFont="1" applyFill="1" applyBorder="1" applyAlignment="1" applyProtection="1">
      <alignment horizontal="right" vertical="center"/>
      <protection hidden="1"/>
    </xf>
    <xf numFmtId="10" fontId="28" fillId="2" borderId="2" xfId="38" applyNumberFormat="1" applyFont="1" applyFill="1" applyBorder="1" applyAlignment="1" applyProtection="1">
      <alignment horizontal="right" vertical="center"/>
      <protection hidden="1"/>
    </xf>
    <xf numFmtId="166" fontId="28" fillId="11" borderId="0" xfId="0" applyNumberFormat="1" applyFont="1" applyFill="1" applyBorder="1" applyAlignment="1" applyProtection="1">
      <alignment horizontal="right"/>
      <protection hidden="1"/>
    </xf>
    <xf numFmtId="2" fontId="28" fillId="11" borderId="48" xfId="0" applyNumberFormat="1" applyFont="1" applyFill="1" applyBorder="1" applyAlignment="1" applyProtection="1">
      <alignment horizontal="right"/>
      <protection hidden="1"/>
    </xf>
    <xf numFmtId="2" fontId="28" fillId="11" borderId="50" xfId="0" applyNumberFormat="1" applyFont="1" applyFill="1" applyBorder="1" applyAlignment="1" applyProtection="1">
      <alignment horizontal="right"/>
      <protection hidden="1"/>
    </xf>
    <xf numFmtId="0" fontId="39" fillId="2" borderId="22" xfId="36" applyFont="1" applyFill="1" applyBorder="1" applyAlignment="1">
      <alignment horizontal="right"/>
    </xf>
    <xf numFmtId="167" fontId="30" fillId="5" borderId="13" xfId="22" applyNumberFormat="1" applyFont="1" applyFill="1" applyBorder="1" applyAlignment="1">
      <alignment horizontal="right" vertical="center"/>
    </xf>
    <xf numFmtId="167" fontId="30" fillId="14" borderId="12" xfId="22" applyNumberFormat="1" applyFont="1" applyFill="1" applyBorder="1" applyAlignment="1">
      <alignment horizontal="right" vertical="center"/>
    </xf>
    <xf numFmtId="167" fontId="28" fillId="14" borderId="12" xfId="22" applyNumberFormat="1" applyFont="1" applyFill="1" applyBorder="1" applyAlignment="1">
      <alignment horizontal="right" vertical="center"/>
    </xf>
    <xf numFmtId="167" fontId="30" fillId="14" borderId="12" xfId="36" applyNumberFormat="1" applyFont="1" applyFill="1" applyBorder="1" applyAlignment="1">
      <alignment horizontal="right" vertical="center"/>
    </xf>
    <xf numFmtId="167" fontId="17" fillId="14" borderId="12" xfId="22" applyNumberFormat="1" applyFont="1" applyFill="1" applyBorder="1" applyAlignment="1">
      <alignment horizontal="right" vertical="center"/>
    </xf>
    <xf numFmtId="167" fontId="30" fillId="14" borderId="13" xfId="22" applyNumberFormat="1" applyFont="1" applyFill="1" applyBorder="1" applyAlignment="1">
      <alignment horizontal="right" vertical="center"/>
    </xf>
    <xf numFmtId="167" fontId="28" fillId="14" borderId="13" xfId="22" applyNumberFormat="1" applyFont="1" applyFill="1" applyBorder="1" applyAlignment="1">
      <alignment horizontal="right" vertical="center"/>
    </xf>
    <xf numFmtId="0" fontId="28" fillId="2" borderId="21" xfId="39" applyFont="1" applyFill="1" applyBorder="1" applyAlignment="1">
      <alignment horizontal="right"/>
    </xf>
    <xf numFmtId="0" fontId="28" fillId="2" borderId="0" xfId="39" applyFont="1" applyFill="1" applyBorder="1" applyAlignment="1">
      <alignment horizontal="right"/>
    </xf>
    <xf numFmtId="0" fontId="28" fillId="2" borderId="0" xfId="39" applyFont="1" applyFill="1" applyAlignment="1">
      <alignment horizontal="right"/>
    </xf>
    <xf numFmtId="0" fontId="28" fillId="2" borderId="0" xfId="0" applyNumberFormat="1" applyFont="1" applyFill="1" applyBorder="1" applyAlignment="1" applyProtection="1">
      <alignment horizontal="right"/>
      <protection hidden="1"/>
    </xf>
    <xf numFmtId="0" fontId="28" fillId="2" borderId="0" xfId="22" applyFont="1" applyFill="1" applyBorder="1" applyAlignment="1">
      <alignment horizontal="right" vertical="center"/>
    </xf>
    <xf numFmtId="165" fontId="30" fillId="6" borderId="11" xfId="36" applyNumberFormat="1" applyFont="1" applyFill="1" applyBorder="1" applyAlignment="1">
      <alignment horizontal="right" vertical="center"/>
    </xf>
    <xf numFmtId="167" fontId="30" fillId="6" borderId="24" xfId="22" applyNumberFormat="1" applyFont="1" applyFill="1" applyBorder="1" applyAlignment="1">
      <alignment horizontal="right" vertical="center"/>
    </xf>
    <xf numFmtId="165" fontId="30" fillId="2" borderId="30" xfId="36" applyNumberFormat="1" applyFont="1" applyFill="1" applyBorder="1" applyAlignment="1">
      <alignment horizontal="right" vertical="center"/>
    </xf>
    <xf numFmtId="167" fontId="30" fillId="2" borderId="0" xfId="22" applyNumberFormat="1" applyFont="1" applyFill="1" applyBorder="1" applyAlignment="1">
      <alignment horizontal="right" vertical="center"/>
    </xf>
    <xf numFmtId="165" fontId="30" fillId="14" borderId="30" xfId="36" applyNumberFormat="1" applyFont="1" applyFill="1" applyBorder="1" applyAlignment="1">
      <alignment horizontal="right" vertical="center"/>
    </xf>
    <xf numFmtId="167" fontId="30" fillId="14" borderId="0" xfId="22" applyNumberFormat="1" applyFont="1" applyFill="1" applyBorder="1" applyAlignment="1">
      <alignment horizontal="right" vertical="center"/>
    </xf>
    <xf numFmtId="167" fontId="30" fillId="14" borderId="14" xfId="22" applyNumberFormat="1" applyFont="1" applyFill="1" applyBorder="1" applyAlignment="1">
      <alignment horizontal="right" vertical="center"/>
    </xf>
    <xf numFmtId="165" fontId="28" fillId="2" borderId="30" xfId="36" applyNumberFormat="1" applyFont="1" applyFill="1" applyBorder="1" applyAlignment="1">
      <alignment horizontal="right" vertical="center"/>
    </xf>
    <xf numFmtId="167" fontId="28" fillId="2" borderId="14" xfId="22" applyNumberFormat="1" applyFont="1" applyFill="1" applyBorder="1" applyAlignment="1">
      <alignment horizontal="right" vertical="center"/>
    </xf>
    <xf numFmtId="165" fontId="28" fillId="14" borderId="30" xfId="36" applyNumberFormat="1" applyFont="1" applyFill="1" applyBorder="1" applyAlignment="1">
      <alignment horizontal="right" vertical="center"/>
    </xf>
    <xf numFmtId="167" fontId="28" fillId="14" borderId="14" xfId="22" applyNumberFormat="1" applyFont="1" applyFill="1" applyBorder="1" applyAlignment="1">
      <alignment horizontal="right" vertical="center"/>
    </xf>
    <xf numFmtId="167" fontId="30" fillId="2" borderId="14" xfId="22" applyNumberFormat="1" applyFont="1" applyFill="1" applyBorder="1" applyAlignment="1">
      <alignment horizontal="right" vertical="center"/>
    </xf>
    <xf numFmtId="165" fontId="30" fillId="6" borderId="5" xfId="22" applyNumberFormat="1" applyFont="1" applyFill="1" applyBorder="1" applyAlignment="1">
      <alignment horizontal="right" vertical="center"/>
    </xf>
    <xf numFmtId="165" fontId="30" fillId="2" borderId="30" xfId="22" applyNumberFormat="1" applyFont="1" applyFill="1" applyBorder="1" applyAlignment="1">
      <alignment horizontal="right" vertical="center"/>
    </xf>
    <xf numFmtId="165" fontId="30" fillId="14" borderId="30" xfId="22" applyNumberFormat="1" applyFont="1" applyFill="1" applyBorder="1" applyAlignment="1">
      <alignment horizontal="right" vertical="center"/>
    </xf>
    <xf numFmtId="165" fontId="30" fillId="6" borderId="5" xfId="36" applyNumberFormat="1" applyFont="1" applyFill="1" applyBorder="1" applyAlignment="1">
      <alignment horizontal="right" vertical="center"/>
    </xf>
    <xf numFmtId="165" fontId="30" fillId="2" borderId="5" xfId="36" applyNumberFormat="1" applyFont="1" applyFill="1" applyBorder="1" applyAlignment="1">
      <alignment horizontal="right" vertical="center"/>
    </xf>
    <xf numFmtId="167" fontId="30" fillId="2" borderId="24" xfId="22" applyNumberFormat="1" applyFont="1" applyFill="1" applyBorder="1" applyAlignment="1">
      <alignment horizontal="right" vertical="center"/>
    </xf>
    <xf numFmtId="165" fontId="30" fillId="14" borderId="5" xfId="36" applyNumberFormat="1" applyFont="1" applyFill="1" applyBorder="1" applyAlignment="1">
      <alignment horizontal="right" vertical="center"/>
    </xf>
    <xf numFmtId="167" fontId="30" fillId="14" borderId="24" xfId="22" applyNumberFormat="1" applyFont="1" applyFill="1" applyBorder="1" applyAlignment="1">
      <alignment horizontal="right" vertical="center"/>
    </xf>
    <xf numFmtId="165" fontId="28" fillId="2" borderId="5" xfId="36" applyNumberFormat="1" applyFont="1" applyFill="1" applyBorder="1" applyAlignment="1">
      <alignment horizontal="right" vertical="center"/>
    </xf>
    <xf numFmtId="167" fontId="28" fillId="2" borderId="24" xfId="22" applyNumberFormat="1" applyFont="1" applyFill="1" applyBorder="1" applyAlignment="1">
      <alignment horizontal="right" vertical="center"/>
    </xf>
    <xf numFmtId="165" fontId="28" fillId="14" borderId="5" xfId="36" applyNumberFormat="1" applyFont="1" applyFill="1" applyBorder="1" applyAlignment="1">
      <alignment horizontal="right" vertical="center"/>
    </xf>
    <xf numFmtId="167" fontId="28" fillId="14" borderId="24" xfId="22" applyNumberFormat="1" applyFont="1" applyFill="1" applyBorder="1" applyAlignment="1">
      <alignment horizontal="right" vertical="center"/>
    </xf>
    <xf numFmtId="167" fontId="28" fillId="0" borderId="14" xfId="22" applyNumberFormat="1" applyFont="1" applyFill="1" applyBorder="1" applyAlignment="1">
      <alignment horizontal="right" vertical="center"/>
    </xf>
    <xf numFmtId="165" fontId="30" fillId="2" borderId="5" xfId="22" applyNumberFormat="1" applyFont="1" applyFill="1" applyBorder="1" applyAlignment="1">
      <alignment horizontal="right" vertical="center"/>
    </xf>
    <xf numFmtId="165" fontId="30" fillId="14" borderId="5" xfId="22" applyNumberFormat="1" applyFont="1" applyFill="1" applyBorder="1" applyAlignment="1">
      <alignment horizontal="right" vertical="center"/>
    </xf>
    <xf numFmtId="2" fontId="28" fillId="2" borderId="0" xfId="22" applyNumberFormat="1" applyFont="1" applyFill="1" applyBorder="1" applyAlignment="1">
      <alignment horizontal="right" wrapText="1"/>
    </xf>
    <xf numFmtId="2" fontId="28" fillId="2" borderId="0" xfId="22" applyNumberFormat="1" applyFont="1" applyFill="1" applyAlignment="1">
      <alignment horizontal="right"/>
    </xf>
    <xf numFmtId="165" fontId="28" fillId="2" borderId="0" xfId="22" applyNumberFormat="1" applyFont="1" applyFill="1" applyAlignment="1">
      <alignment horizontal="right"/>
    </xf>
    <xf numFmtId="0" fontId="28" fillId="11" borderId="48" xfId="0" applyNumberFormat="1" applyFont="1" applyFill="1" applyBorder="1" applyAlignment="1" applyProtection="1">
      <alignment horizontal="right"/>
      <protection hidden="1"/>
    </xf>
    <xf numFmtId="0" fontId="30" fillId="11" borderId="49" xfId="22" applyNumberFormat="1" applyFont="1" applyFill="1" applyBorder="1" applyAlignment="1">
      <alignment horizontal="right"/>
    </xf>
    <xf numFmtId="0" fontId="28" fillId="11" borderId="48" xfId="0" applyNumberFormat="1" applyFont="1" applyFill="1" applyBorder="1" applyAlignment="1" applyProtection="1">
      <alignment horizontal="right" vertical="center"/>
      <protection hidden="1"/>
    </xf>
    <xf numFmtId="2" fontId="28" fillId="11" borderId="49" xfId="0" applyNumberFormat="1" applyFont="1" applyFill="1" applyBorder="1" applyAlignment="1" applyProtection="1">
      <alignment horizontal="right" vertical="center"/>
      <protection hidden="1"/>
    </xf>
    <xf numFmtId="0" fontId="28" fillId="11" borderId="0" xfId="0" applyNumberFormat="1" applyFont="1" applyFill="1" applyBorder="1" applyAlignment="1" applyProtection="1">
      <alignment horizontal="right" vertical="center"/>
      <protection hidden="1"/>
    </xf>
    <xf numFmtId="2" fontId="28" fillId="11" borderId="28" xfId="0" applyNumberFormat="1" applyFont="1" applyFill="1" applyBorder="1" applyAlignment="1" applyProtection="1">
      <alignment horizontal="right" vertical="center"/>
      <protection hidden="1"/>
    </xf>
    <xf numFmtId="0" fontId="28" fillId="11" borderId="50" xfId="0" applyNumberFormat="1" applyFont="1" applyFill="1" applyBorder="1" applyAlignment="1" applyProtection="1">
      <alignment horizontal="right" vertical="center"/>
      <protection hidden="1"/>
    </xf>
    <xf numFmtId="2" fontId="28" fillId="11" borderId="32" xfId="22" applyNumberFormat="1" applyFont="1" applyFill="1" applyBorder="1" applyAlignment="1">
      <alignment horizontal="right" vertical="center"/>
    </xf>
    <xf numFmtId="166" fontId="28" fillId="11" borderId="4" xfId="0" applyNumberFormat="1" applyFont="1" applyFill="1" applyBorder="1" applyAlignment="1" applyProtection="1">
      <alignment horizontal="right"/>
      <protection hidden="1"/>
    </xf>
    <xf numFmtId="0" fontId="28" fillId="11" borderId="28" xfId="22" applyFont="1" applyFill="1" applyBorder="1" applyAlignment="1">
      <alignment horizontal="right"/>
    </xf>
    <xf numFmtId="166" fontId="28" fillId="11" borderId="48" xfId="0" applyNumberFormat="1" applyFont="1" applyFill="1" applyBorder="1" applyAlignment="1" applyProtection="1">
      <alignment horizontal="right"/>
      <protection hidden="1"/>
    </xf>
    <xf numFmtId="2" fontId="28" fillId="11" borderId="49" xfId="0" applyNumberFormat="1" applyFont="1" applyFill="1" applyBorder="1" applyAlignment="1" applyProtection="1">
      <alignment horizontal="right"/>
      <protection hidden="1"/>
    </xf>
    <xf numFmtId="166" fontId="28" fillId="11" borderId="50" xfId="0" applyNumberFormat="1" applyFont="1" applyFill="1" applyBorder="1" applyAlignment="1" applyProtection="1">
      <alignment horizontal="right"/>
      <protection hidden="1"/>
    </xf>
    <xf numFmtId="2" fontId="28" fillId="11" borderId="32" xfId="0" applyNumberFormat="1" applyFont="1" applyFill="1" applyBorder="1" applyAlignment="1" applyProtection="1">
      <alignment horizontal="right"/>
      <protection hidden="1"/>
    </xf>
    <xf numFmtId="165" fontId="28" fillId="2" borderId="21" xfId="36" applyNumberFormat="1" applyFont="1" applyFill="1" applyBorder="1" applyAlignment="1">
      <alignment horizontal="right" wrapText="1"/>
    </xf>
    <xf numFmtId="166" fontId="28" fillId="2" borderId="21" xfId="0" applyNumberFormat="1" applyFont="1" applyFill="1" applyBorder="1" applyAlignment="1" applyProtection="1">
      <alignment horizontal="right"/>
      <protection hidden="1"/>
    </xf>
    <xf numFmtId="0" fontId="32" fillId="2" borderId="22" xfId="36" applyFont="1" applyFill="1" applyBorder="1" applyAlignment="1">
      <alignment horizontal="right"/>
    </xf>
    <xf numFmtId="165" fontId="30" fillId="5" borderId="11" xfId="36" applyNumberFormat="1" applyFont="1" applyFill="1" applyBorder="1" applyAlignment="1">
      <alignment horizontal="right" vertical="center"/>
    </xf>
    <xf numFmtId="167" fontId="30" fillId="5" borderId="36" xfId="22" applyNumberFormat="1" applyFont="1" applyFill="1" applyBorder="1" applyAlignment="1">
      <alignment horizontal="right" vertical="center"/>
    </xf>
    <xf numFmtId="167" fontId="30" fillId="2" borderId="12" xfId="22" applyNumberFormat="1" applyFont="1" applyFill="1" applyBorder="1" applyAlignment="1">
      <alignment horizontal="right" vertical="center"/>
    </xf>
    <xf numFmtId="165" fontId="28" fillId="0" borderId="30" xfId="36" applyNumberFormat="1" applyFont="1" applyFill="1" applyBorder="1" applyAlignment="1">
      <alignment horizontal="right" vertical="center"/>
    </xf>
    <xf numFmtId="167" fontId="28" fillId="2" borderId="12" xfId="22" applyNumberFormat="1" applyFont="1" applyFill="1" applyBorder="1" applyAlignment="1">
      <alignment horizontal="right" vertical="center"/>
    </xf>
    <xf numFmtId="165" fontId="30" fillId="5" borderId="5" xfId="22" applyNumberFormat="1" applyFont="1" applyFill="1" applyBorder="1" applyAlignment="1">
      <alignment horizontal="right" vertical="center"/>
    </xf>
    <xf numFmtId="167" fontId="30" fillId="5" borderId="24" xfId="36" applyNumberFormat="1" applyFont="1" applyFill="1" applyBorder="1" applyAlignment="1">
      <alignment horizontal="right" vertical="center"/>
    </xf>
    <xf numFmtId="165" fontId="30" fillId="5" borderId="5" xfId="36" applyNumberFormat="1" applyFont="1" applyFill="1" applyBorder="1" applyAlignment="1">
      <alignment horizontal="right" vertical="center"/>
    </xf>
    <xf numFmtId="167" fontId="30" fillId="2" borderId="14" xfId="36" applyNumberFormat="1" applyFont="1" applyFill="1" applyBorder="1" applyAlignment="1">
      <alignment horizontal="right" vertical="center"/>
    </xf>
    <xf numFmtId="165" fontId="30" fillId="0" borderId="30" xfId="36" applyNumberFormat="1" applyFont="1" applyFill="1" applyBorder="1" applyAlignment="1">
      <alignment horizontal="right" vertical="center"/>
    </xf>
    <xf numFmtId="167" fontId="30" fillId="2" borderId="12" xfId="36" applyNumberFormat="1" applyFont="1" applyFill="1" applyBorder="1" applyAlignment="1">
      <alignment horizontal="right" vertical="center"/>
    </xf>
    <xf numFmtId="167" fontId="28" fillId="2" borderId="14" xfId="36" applyNumberFormat="1" applyFont="1" applyFill="1" applyBorder="1" applyAlignment="1">
      <alignment horizontal="right" vertical="center"/>
    </xf>
    <xf numFmtId="175" fontId="28" fillId="2" borderId="30" xfId="36" applyNumberFormat="1" applyFont="1" applyFill="1" applyBorder="1" applyAlignment="1">
      <alignment horizontal="right" vertical="center"/>
    </xf>
    <xf numFmtId="165" fontId="17" fillId="0" borderId="30" xfId="36" applyNumberFormat="1" applyFont="1" applyFill="1" applyBorder="1" applyAlignment="1">
      <alignment horizontal="right" vertical="center"/>
    </xf>
    <xf numFmtId="165" fontId="17" fillId="2" borderId="30" xfId="36" applyNumberFormat="1" applyFont="1" applyFill="1" applyBorder="1" applyAlignment="1">
      <alignment horizontal="right" vertical="center"/>
    </xf>
    <xf numFmtId="165" fontId="17" fillId="14" borderId="30" xfId="22" applyNumberFormat="1" applyFont="1" applyFill="1" applyBorder="1" applyAlignment="1">
      <alignment horizontal="right" vertical="center"/>
    </xf>
    <xf numFmtId="165" fontId="17" fillId="0" borderId="11" xfId="36" applyNumberFormat="1" applyFont="1" applyFill="1" applyBorder="1" applyAlignment="1">
      <alignment horizontal="right" vertical="center"/>
    </xf>
    <xf numFmtId="165" fontId="30" fillId="15" borderId="5" xfId="36" applyNumberFormat="1" applyFont="1" applyFill="1" applyBorder="1" applyAlignment="1">
      <alignment horizontal="right" vertical="center"/>
    </xf>
    <xf numFmtId="167" fontId="30" fillId="2" borderId="13" xfId="22" applyNumberFormat="1" applyFont="1" applyFill="1" applyBorder="1" applyAlignment="1">
      <alignment horizontal="right" vertical="center"/>
    </xf>
    <xf numFmtId="167" fontId="30" fillId="2" borderId="24" xfId="36" applyNumberFormat="1" applyFont="1" applyFill="1" applyBorder="1" applyAlignment="1">
      <alignment horizontal="right" vertical="center"/>
    </xf>
    <xf numFmtId="167" fontId="28" fillId="2" borderId="13" xfId="22" applyNumberFormat="1" applyFont="1" applyFill="1" applyBorder="1" applyAlignment="1">
      <alignment horizontal="right" vertical="center"/>
    </xf>
    <xf numFmtId="167" fontId="28" fillId="2" borderId="24" xfId="36" applyNumberFormat="1" applyFont="1" applyFill="1" applyBorder="1" applyAlignment="1">
      <alignment horizontal="right" vertical="center"/>
    </xf>
    <xf numFmtId="165" fontId="28" fillId="2" borderId="11" xfId="36" applyNumberFormat="1" applyFont="1" applyFill="1" applyBorder="1" applyAlignment="1">
      <alignment horizontal="right" vertical="center"/>
    </xf>
    <xf numFmtId="167" fontId="28" fillId="0" borderId="12" xfId="22" applyNumberFormat="1" applyFont="1" applyFill="1" applyBorder="1" applyAlignment="1">
      <alignment horizontal="right" vertical="center"/>
    </xf>
    <xf numFmtId="167" fontId="28" fillId="0" borderId="14" xfId="36" applyNumberFormat="1" applyFont="1" applyFill="1" applyBorder="1" applyAlignment="1">
      <alignment horizontal="right" vertical="center"/>
    </xf>
    <xf numFmtId="165" fontId="28" fillId="2" borderId="21" xfId="39" applyNumberFormat="1" applyFont="1" applyFill="1" applyBorder="1" applyAlignment="1">
      <alignment horizontal="right"/>
    </xf>
    <xf numFmtId="2" fontId="28" fillId="2" borderId="0" xfId="39" applyNumberFormat="1" applyFont="1" applyFill="1" applyBorder="1" applyAlignment="1">
      <alignment horizontal="right"/>
    </xf>
    <xf numFmtId="165" fontId="28" fillId="2" borderId="0" xfId="39" applyNumberFormat="1" applyFont="1" applyFill="1" applyBorder="1" applyAlignment="1">
      <alignment horizontal="right" vertical="center"/>
    </xf>
    <xf numFmtId="4" fontId="38" fillId="2" borderId="0" xfId="39" applyNumberFormat="1" applyFont="1" applyFill="1" applyBorder="1" applyAlignment="1">
      <alignment horizontal="right"/>
    </xf>
    <xf numFmtId="165" fontId="30" fillId="8" borderId="5" xfId="0" applyNumberFormat="1" applyFont="1" applyFill="1" applyBorder="1" applyAlignment="1">
      <alignment horizontal="right"/>
    </xf>
    <xf numFmtId="167" fontId="30" fillId="8" borderId="13" xfId="0" applyNumberFormat="1" applyFont="1" applyFill="1" applyBorder="1" applyAlignment="1">
      <alignment horizontal="right"/>
    </xf>
    <xf numFmtId="165" fontId="30" fillId="2" borderId="29" xfId="0" applyNumberFormat="1" applyFont="1" applyFill="1" applyBorder="1" applyAlignment="1">
      <alignment horizontal="right"/>
    </xf>
    <xf numFmtId="167" fontId="30" fillId="2" borderId="34" xfId="0" applyNumberFormat="1" applyFont="1" applyFill="1" applyBorder="1" applyAlignment="1">
      <alignment horizontal="right"/>
    </xf>
    <xf numFmtId="165" fontId="30" fillId="14" borderId="29" xfId="0" applyNumberFormat="1" applyFont="1" applyFill="1" applyBorder="1" applyAlignment="1">
      <alignment horizontal="right"/>
    </xf>
    <xf numFmtId="167" fontId="30" fillId="14" borderId="34" xfId="0" applyNumberFormat="1" applyFont="1" applyFill="1" applyBorder="1" applyAlignment="1">
      <alignment horizontal="right"/>
    </xf>
    <xf numFmtId="165" fontId="28" fillId="2" borderId="30" xfId="0" applyNumberFormat="1" applyFont="1" applyFill="1" applyBorder="1" applyAlignment="1">
      <alignment horizontal="right"/>
    </xf>
    <xf numFmtId="167" fontId="28" fillId="2" borderId="12" xfId="0" applyNumberFormat="1" applyFont="1" applyFill="1" applyBorder="1" applyAlignment="1">
      <alignment horizontal="right"/>
    </xf>
    <xf numFmtId="165" fontId="28" fillId="14" borderId="30" xfId="0" applyNumberFormat="1" applyFont="1" applyFill="1" applyBorder="1" applyAlignment="1">
      <alignment horizontal="right"/>
    </xf>
    <xf numFmtId="165" fontId="30" fillId="2" borderId="30" xfId="0" applyNumberFormat="1" applyFont="1" applyFill="1" applyBorder="1" applyAlignment="1">
      <alignment horizontal="right"/>
    </xf>
    <xf numFmtId="167" fontId="30" fillId="2" borderId="12" xfId="0" applyNumberFormat="1" applyFont="1" applyFill="1" applyBorder="1" applyAlignment="1">
      <alignment horizontal="right"/>
    </xf>
    <xf numFmtId="165" fontId="30" fillId="14" borderId="30" xfId="0" applyNumberFormat="1" applyFont="1" applyFill="1" applyBorder="1" applyAlignment="1">
      <alignment horizontal="right"/>
    </xf>
    <xf numFmtId="167" fontId="30" fillId="14" borderId="12" xfId="0" applyNumberFormat="1" applyFont="1" applyFill="1" applyBorder="1" applyAlignment="1">
      <alignment horizontal="right"/>
    </xf>
    <xf numFmtId="165" fontId="30" fillId="8" borderId="5" xfId="22" applyNumberFormat="1" applyFont="1" applyFill="1" applyBorder="1" applyAlignment="1">
      <alignment horizontal="right" vertical="center"/>
    </xf>
    <xf numFmtId="167" fontId="30" fillId="8" borderId="13" xfId="22" applyNumberFormat="1" applyFont="1" applyFill="1" applyBorder="1" applyAlignment="1">
      <alignment horizontal="right" vertical="center"/>
    </xf>
    <xf numFmtId="167" fontId="30" fillId="8" borderId="13" xfId="36" applyNumberFormat="1" applyFont="1" applyFill="1" applyBorder="1" applyAlignment="1">
      <alignment horizontal="right" vertical="center"/>
    </xf>
    <xf numFmtId="165" fontId="30" fillId="8" borderId="5" xfId="36" applyNumberFormat="1" applyFont="1" applyFill="1" applyBorder="1" applyAlignment="1">
      <alignment horizontal="right" vertical="center"/>
    </xf>
    <xf numFmtId="165" fontId="30" fillId="2" borderId="11" xfId="0" applyNumberFormat="1" applyFont="1" applyFill="1" applyBorder="1" applyAlignment="1">
      <alignment horizontal="right"/>
    </xf>
    <xf numFmtId="167" fontId="30" fillId="2" borderId="36" xfId="0" applyNumberFormat="1" applyFont="1" applyFill="1" applyBorder="1" applyAlignment="1">
      <alignment horizontal="right"/>
    </xf>
    <xf numFmtId="165" fontId="30" fillId="14" borderId="11" xfId="0" applyNumberFormat="1" applyFont="1" applyFill="1" applyBorder="1" applyAlignment="1">
      <alignment horizontal="right"/>
    </xf>
    <xf numFmtId="167" fontId="30" fillId="14" borderId="36" xfId="0" applyNumberFormat="1" applyFont="1" applyFill="1" applyBorder="1" applyAlignment="1">
      <alignment horizontal="right"/>
    </xf>
    <xf numFmtId="165" fontId="30" fillId="2" borderId="15" xfId="0" applyNumberFormat="1" applyFont="1" applyFill="1" applyBorder="1" applyAlignment="1">
      <alignment horizontal="right"/>
    </xf>
    <xf numFmtId="167" fontId="30" fillId="2" borderId="53" xfId="0" applyNumberFormat="1" applyFont="1" applyFill="1" applyBorder="1" applyAlignment="1">
      <alignment horizontal="right"/>
    </xf>
    <xf numFmtId="165" fontId="30" fillId="14" borderId="15" xfId="0" applyNumberFormat="1" applyFont="1" applyFill="1" applyBorder="1" applyAlignment="1">
      <alignment horizontal="right"/>
    </xf>
    <xf numFmtId="167" fontId="30" fillId="14" borderId="53" xfId="0" applyNumberFormat="1" applyFont="1" applyFill="1" applyBorder="1" applyAlignment="1">
      <alignment horizontal="right"/>
    </xf>
    <xf numFmtId="165" fontId="28" fillId="2" borderId="30" xfId="36" applyNumberFormat="1" applyFont="1" applyFill="1" applyBorder="1" applyAlignment="1">
      <alignment horizontal="right"/>
    </xf>
    <xf numFmtId="165" fontId="30" fillId="2" borderId="5" xfId="0" applyNumberFormat="1" applyFont="1" applyFill="1" applyBorder="1" applyAlignment="1">
      <alignment horizontal="right"/>
    </xf>
    <xf numFmtId="167" fontId="30" fillId="2" borderId="13" xfId="0" applyNumberFormat="1" applyFont="1" applyFill="1" applyBorder="1" applyAlignment="1">
      <alignment horizontal="right"/>
    </xf>
    <xf numFmtId="165" fontId="30" fillId="14" borderId="5" xfId="0" applyNumberFormat="1" applyFont="1" applyFill="1" applyBorder="1" applyAlignment="1">
      <alignment horizontal="right"/>
    </xf>
    <xf numFmtId="165" fontId="28" fillId="2" borderId="29" xfId="36" applyNumberFormat="1" applyFont="1" applyFill="1" applyBorder="1" applyAlignment="1">
      <alignment horizontal="right"/>
    </xf>
    <xf numFmtId="167" fontId="28" fillId="2" borderId="34" xfId="0" applyNumberFormat="1" applyFont="1" applyFill="1" applyBorder="1" applyAlignment="1">
      <alignment horizontal="right"/>
    </xf>
    <xf numFmtId="165" fontId="28" fillId="14" borderId="29" xfId="0" applyNumberFormat="1" applyFont="1" applyFill="1" applyBorder="1" applyAlignment="1">
      <alignment horizontal="right"/>
    </xf>
    <xf numFmtId="167" fontId="28" fillId="14" borderId="34" xfId="0" applyNumberFormat="1" applyFont="1" applyFill="1" applyBorder="1" applyAlignment="1">
      <alignment horizontal="right"/>
    </xf>
    <xf numFmtId="167" fontId="30" fillId="2" borderId="13" xfId="36" applyNumberFormat="1" applyFont="1" applyFill="1" applyBorder="1" applyAlignment="1">
      <alignment horizontal="right" vertical="center"/>
    </xf>
    <xf numFmtId="49" fontId="28" fillId="2" borderId="0" xfId="22" applyNumberFormat="1" applyFont="1" applyFill="1" applyBorder="1" applyAlignment="1">
      <alignment horizontal="right" wrapText="1"/>
    </xf>
    <xf numFmtId="164" fontId="28" fillId="2" borderId="0" xfId="40" applyFont="1" applyFill="1" applyBorder="1" applyAlignment="1">
      <alignment horizontal="right" wrapText="1"/>
    </xf>
    <xf numFmtId="49" fontId="28" fillId="2" borderId="0" xfId="22" applyNumberFormat="1" applyFont="1" applyFill="1" applyAlignment="1">
      <alignment horizontal="right"/>
    </xf>
    <xf numFmtId="49" fontId="28" fillId="2" borderId="0" xfId="22" applyNumberFormat="1" applyFont="1" applyFill="1" applyAlignment="1">
      <alignment horizontal="right" wrapText="1"/>
    </xf>
    <xf numFmtId="49" fontId="42" fillId="2" borderId="0" xfId="22" applyNumberFormat="1" applyFont="1" applyFill="1" applyAlignment="1">
      <alignment horizontal="right" wrapText="1"/>
    </xf>
    <xf numFmtId="0" fontId="30" fillId="6" borderId="33" xfId="22" applyFont="1" applyFill="1" applyBorder="1" applyAlignment="1">
      <alignment horizontal="center" vertical="center" wrapText="1"/>
    </xf>
    <xf numFmtId="0" fontId="30" fillId="6" borderId="19" xfId="22" applyFont="1" applyFill="1" applyBorder="1" applyAlignment="1">
      <alignment horizontal="center" vertical="center" wrapText="1"/>
    </xf>
    <xf numFmtId="0" fontId="30" fillId="6" borderId="22" xfId="22" applyFont="1" applyFill="1" applyBorder="1" applyAlignment="1">
      <alignment horizontal="center" vertical="center" wrapText="1"/>
    </xf>
    <xf numFmtId="0" fontId="30" fillId="6" borderId="37" xfId="22" applyFont="1" applyFill="1" applyBorder="1" applyAlignment="1">
      <alignment horizontal="center" vertical="center" wrapText="1"/>
    </xf>
    <xf numFmtId="0" fontId="30" fillId="6" borderId="18" xfId="22" applyFont="1" applyFill="1" applyBorder="1" applyAlignment="1">
      <alignment horizontal="center" vertical="center" wrapText="1"/>
    </xf>
    <xf numFmtId="0" fontId="30" fillId="5" borderId="26" xfId="36" applyFont="1" applyFill="1" applyBorder="1" applyAlignment="1">
      <alignment horizontal="center" vertical="center"/>
    </xf>
    <xf numFmtId="0" fontId="30" fillId="5" borderId="27" xfId="36" applyFont="1" applyFill="1" applyBorder="1" applyAlignment="1">
      <alignment horizontal="center" vertical="center"/>
    </xf>
    <xf numFmtId="166" fontId="28" fillId="5" borderId="6" xfId="0" applyNumberFormat="1" applyFont="1" applyFill="1" applyBorder="1" applyAlignment="1" applyProtection="1">
      <alignment horizontal="center" vertical="center"/>
      <protection hidden="1"/>
    </xf>
    <xf numFmtId="166" fontId="28" fillId="5" borderId="23" xfId="0" applyNumberFormat="1" applyFont="1" applyFill="1" applyBorder="1" applyAlignment="1" applyProtection="1">
      <alignment horizontal="center" vertical="center"/>
      <protection hidden="1"/>
    </xf>
    <xf numFmtId="166" fontId="28" fillId="5" borderId="24" xfId="0" applyNumberFormat="1" applyFont="1" applyFill="1" applyBorder="1" applyAlignment="1" applyProtection="1">
      <alignment horizontal="center" vertical="center"/>
      <protection hidden="1"/>
    </xf>
    <xf numFmtId="0" fontId="36" fillId="13" borderId="20" xfId="22" applyFont="1" applyFill="1" applyBorder="1" applyAlignment="1">
      <alignment horizontal="center" vertical="center"/>
    </xf>
    <xf numFmtId="0" fontId="36" fillId="13" borderId="18" xfId="22" applyFont="1" applyFill="1" applyBorder="1" applyAlignment="1">
      <alignment horizontal="center" vertical="center"/>
    </xf>
    <xf numFmtId="166" fontId="28" fillId="0" borderId="16" xfId="0" applyNumberFormat="1" applyFont="1" applyFill="1" applyBorder="1" applyAlignment="1" applyProtection="1">
      <alignment horizontal="right" vertical="center"/>
      <protection hidden="1"/>
    </xf>
    <xf numFmtId="166" fontId="28" fillId="0" borderId="0" xfId="0" applyNumberFormat="1" applyFont="1" applyFill="1" applyBorder="1" applyAlignment="1" applyProtection="1">
      <alignment horizontal="right" vertical="center"/>
      <protection hidden="1"/>
    </xf>
    <xf numFmtId="166" fontId="28" fillId="5" borderId="10" xfId="0" applyNumberFormat="1" applyFont="1" applyFill="1" applyBorder="1" applyAlignment="1" applyProtection="1">
      <alignment horizontal="center" vertical="center"/>
      <protection hidden="1"/>
    </xf>
    <xf numFmtId="0" fontId="30" fillId="5" borderId="51" xfId="36" applyFont="1" applyFill="1" applyBorder="1" applyAlignment="1">
      <alignment horizontal="center" vertical="center"/>
    </xf>
    <xf numFmtId="0" fontId="30" fillId="5" borderId="52" xfId="36" applyFont="1" applyFill="1" applyBorder="1" applyAlignment="1">
      <alignment horizontal="center" vertical="center"/>
    </xf>
    <xf numFmtId="166" fontId="28" fillId="0" borderId="14" xfId="0" applyNumberFormat="1" applyFont="1" applyFill="1" applyBorder="1" applyAlignment="1" applyProtection="1">
      <alignment horizontal="right" vertical="center"/>
      <protection hidden="1"/>
    </xf>
    <xf numFmtId="2" fontId="38" fillId="2" borderId="22" xfId="36" applyNumberFormat="1" applyFont="1" applyFill="1" applyBorder="1" applyAlignment="1">
      <alignment horizontal="right" wrapText="1"/>
    </xf>
    <xf numFmtId="0" fontId="38" fillId="2" borderId="22" xfId="36" applyFont="1" applyFill="1" applyBorder="1" applyAlignment="1">
      <alignment horizontal="right" wrapText="1"/>
    </xf>
    <xf numFmtId="165" fontId="38" fillId="2" borderId="22" xfId="36" applyNumberFormat="1" applyFont="1" applyFill="1" applyBorder="1" applyAlignment="1">
      <alignment horizontal="right" wrapText="1"/>
    </xf>
    <xf numFmtId="0" fontId="36" fillId="12" borderId="54" xfId="22" applyFont="1" applyFill="1" applyBorder="1" applyAlignment="1">
      <alignment horizontal="center" vertical="center"/>
    </xf>
    <xf numFmtId="0" fontId="36" fillId="12" borderId="17" xfId="22" applyFont="1" applyFill="1" applyBorder="1" applyAlignment="1">
      <alignment horizontal="center" vertical="center"/>
    </xf>
    <xf numFmtId="0" fontId="30" fillId="8" borderId="26" xfId="22" applyFont="1" applyFill="1" applyBorder="1" applyAlignment="1">
      <alignment horizontal="center" vertical="center"/>
    </xf>
    <xf numFmtId="0" fontId="30" fillId="8" borderId="27" xfId="22" applyFont="1" applyFill="1" applyBorder="1" applyAlignment="1">
      <alignment horizontal="center" vertical="center"/>
    </xf>
    <xf numFmtId="166" fontId="28" fillId="0" borderId="16" xfId="0" applyNumberFormat="1" applyFont="1" applyFill="1" applyBorder="1" applyAlignment="1">
      <alignment horizontal="right" vertical="center"/>
    </xf>
    <xf numFmtId="166" fontId="28" fillId="0" borderId="14" xfId="0" applyNumberFormat="1" applyFont="1" applyFill="1" applyBorder="1" applyAlignment="1">
      <alignment horizontal="right" vertical="center"/>
    </xf>
    <xf numFmtId="166" fontId="28" fillId="8" borderId="6" xfId="0" applyNumberFormat="1" applyFont="1" applyFill="1" applyBorder="1" applyAlignment="1">
      <alignment horizontal="center" vertical="center"/>
    </xf>
    <xf numFmtId="166" fontId="28" fillId="8" borderId="24" xfId="0" applyNumberFormat="1" applyFont="1" applyFill="1" applyBorder="1" applyAlignment="1">
      <alignment horizontal="center" vertical="center"/>
    </xf>
    <xf numFmtId="166" fontId="28" fillId="0" borderId="0" xfId="0" applyNumberFormat="1" applyFont="1" applyFill="1" applyBorder="1" applyAlignment="1">
      <alignment horizontal="right" vertical="center"/>
    </xf>
    <xf numFmtId="166" fontId="28" fillId="8" borderId="6" xfId="0" applyNumberFormat="1" applyFont="1" applyFill="1" applyBorder="1" applyAlignment="1" applyProtection="1">
      <alignment horizontal="center" vertical="center"/>
      <protection hidden="1"/>
    </xf>
    <xf numFmtId="166" fontId="28" fillId="8" borderId="23" xfId="0" applyNumberFormat="1" applyFont="1" applyFill="1" applyBorder="1" applyAlignment="1" applyProtection="1">
      <alignment horizontal="center" vertical="center"/>
      <protection hidden="1"/>
    </xf>
    <xf numFmtId="166" fontId="28" fillId="8" borderId="24" xfId="0" applyNumberFormat="1" applyFont="1" applyFill="1" applyBorder="1" applyAlignment="1" applyProtection="1">
      <alignment horizontal="center" vertical="center"/>
      <protection hidden="1"/>
    </xf>
    <xf numFmtId="0" fontId="40" fillId="2" borderId="22" xfId="22" applyFont="1" applyFill="1" applyBorder="1" applyAlignment="1">
      <alignment horizontal="right"/>
    </xf>
    <xf numFmtId="166" fontId="28" fillId="6" borderId="6" xfId="0" applyNumberFormat="1" applyFont="1" applyFill="1" applyBorder="1" applyAlignment="1">
      <alignment horizontal="center" vertical="center"/>
    </xf>
    <xf numFmtId="166" fontId="28" fillId="6" borderId="24" xfId="0" applyNumberFormat="1" applyFont="1" applyFill="1" applyBorder="1" applyAlignment="1">
      <alignment horizontal="center" vertical="center"/>
    </xf>
    <xf numFmtId="166" fontId="28" fillId="6" borderId="6" xfId="0" applyNumberFormat="1" applyFont="1" applyFill="1" applyBorder="1" applyAlignment="1" applyProtection="1">
      <alignment horizontal="center" vertical="center"/>
      <protection hidden="1"/>
    </xf>
    <xf numFmtId="166" fontId="28" fillId="6" borderId="23" xfId="0" applyNumberFormat="1" applyFont="1" applyFill="1" applyBorder="1" applyAlignment="1" applyProtection="1">
      <alignment horizontal="center" vertical="center"/>
      <protection hidden="1"/>
    </xf>
    <xf numFmtId="166" fontId="28" fillId="6" borderId="24" xfId="0" applyNumberFormat="1" applyFont="1" applyFill="1" applyBorder="1" applyAlignment="1" applyProtection="1">
      <alignment horizontal="center" vertical="center"/>
      <protection hidden="1"/>
    </xf>
    <xf numFmtId="0" fontId="36" fillId="7" borderId="20" xfId="22" applyFont="1" applyFill="1" applyBorder="1" applyAlignment="1">
      <alignment horizontal="center" vertical="center"/>
    </xf>
    <xf numFmtId="0" fontId="36" fillId="7" borderId="18" xfId="22" applyFont="1" applyFill="1" applyBorder="1" applyAlignment="1">
      <alignment horizontal="center" vertical="center"/>
    </xf>
    <xf numFmtId="0" fontId="30" fillId="6" borderId="26" xfId="22" applyFont="1" applyFill="1" applyBorder="1" applyAlignment="1">
      <alignment horizontal="center" vertical="center"/>
    </xf>
    <xf numFmtId="0" fontId="30" fillId="6" borderId="27" xfId="22" applyFont="1" applyFill="1" applyBorder="1" applyAlignment="1">
      <alignment horizontal="center" vertical="center"/>
    </xf>
    <xf numFmtId="0" fontId="41" fillId="2" borderId="22" xfId="22" applyFont="1" applyFill="1" applyBorder="1" applyAlignment="1">
      <alignment horizontal="right" vertical="center" wrapText="1"/>
    </xf>
    <xf numFmtId="0" fontId="18" fillId="4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textRotation="45"/>
    </xf>
    <xf numFmtId="0" fontId="17" fillId="0" borderId="0" xfId="0" applyFont="1" applyFill="1" applyAlignment="1">
      <alignment horizontal="center" vertical="center" textRotation="45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6" fontId="17" fillId="0" borderId="0" xfId="0" applyNumberFormat="1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</cellXfs>
  <cellStyles count="199">
    <cellStyle name="1 indent" xfId="1"/>
    <cellStyle name="1 indent 2" xfId="124"/>
    <cellStyle name="1 indent 3" xfId="82"/>
    <cellStyle name="2 indents" xfId="2"/>
    <cellStyle name="2 indents 2" xfId="125"/>
    <cellStyle name="2 indents 3" xfId="83"/>
    <cellStyle name="20% - Accent1 2" xfId="112"/>
    <cellStyle name="20% - Accent1 2 2" xfId="183"/>
    <cellStyle name="20% - Accent1 3" xfId="149"/>
    <cellStyle name="20% - Accent1 4" xfId="59"/>
    <cellStyle name="20% - Accent2 2" xfId="114"/>
    <cellStyle name="20% - Accent2 2 2" xfId="185"/>
    <cellStyle name="20% - Accent2 3" xfId="151"/>
    <cellStyle name="20% - Accent2 4" xfId="63"/>
    <cellStyle name="20% - Accent3 2" xfId="116"/>
    <cellStyle name="20% - Accent3 2 2" xfId="187"/>
    <cellStyle name="20% - Accent3 3" xfId="153"/>
    <cellStyle name="20% - Accent3 4" xfId="67"/>
    <cellStyle name="20% - Accent4 2" xfId="118"/>
    <cellStyle name="20% - Accent4 2 2" xfId="189"/>
    <cellStyle name="20% - Accent4 3" xfId="155"/>
    <cellStyle name="20% - Accent4 4" xfId="71"/>
    <cellStyle name="20% - Accent5 2" xfId="120"/>
    <cellStyle name="20% - Accent5 2 2" xfId="191"/>
    <cellStyle name="20% - Accent5 3" xfId="157"/>
    <cellStyle name="20% - Accent5 4" xfId="75"/>
    <cellStyle name="20% - Accent6 2" xfId="122"/>
    <cellStyle name="20% - Accent6 2 2" xfId="193"/>
    <cellStyle name="20% - Accent6 3" xfId="159"/>
    <cellStyle name="20% - Accent6 4" xfId="79"/>
    <cellStyle name="3 indents" xfId="3"/>
    <cellStyle name="3 indents 2" xfId="126"/>
    <cellStyle name="3 indents 3" xfId="84"/>
    <cellStyle name="4 indents" xfId="4"/>
    <cellStyle name="4 indents 2" xfId="135"/>
    <cellStyle name="4 indents 3" xfId="85"/>
    <cellStyle name="40% - Accent1 2" xfId="113"/>
    <cellStyle name="40% - Accent1 2 2" xfId="184"/>
    <cellStyle name="40% - Accent1 3" xfId="150"/>
    <cellStyle name="40% - Accent1 4" xfId="60"/>
    <cellStyle name="40% - Accent2 2" xfId="115"/>
    <cellStyle name="40% - Accent2 2 2" xfId="186"/>
    <cellStyle name="40% - Accent2 3" xfId="152"/>
    <cellStyle name="40% - Accent2 4" xfId="64"/>
    <cellStyle name="40% - Accent3 2" xfId="117"/>
    <cellStyle name="40% - Accent3 2 2" xfId="188"/>
    <cellStyle name="40% - Accent3 3" xfId="154"/>
    <cellStyle name="40% - Accent3 4" xfId="68"/>
    <cellStyle name="40% - Accent4 2" xfId="119"/>
    <cellStyle name="40% - Accent4 2 2" xfId="190"/>
    <cellStyle name="40% - Accent4 3" xfId="156"/>
    <cellStyle name="40% - Accent4 4" xfId="72"/>
    <cellStyle name="40% - Accent5 2" xfId="121"/>
    <cellStyle name="40% - Accent5 2 2" xfId="192"/>
    <cellStyle name="40% - Accent5 3" xfId="158"/>
    <cellStyle name="40% - Accent5 4" xfId="76"/>
    <cellStyle name="40% - Accent6 2" xfId="123"/>
    <cellStyle name="40% - Accent6 2 2" xfId="194"/>
    <cellStyle name="40% - Accent6 3" xfId="160"/>
    <cellStyle name="40% - Accent6 4" xfId="80"/>
    <cellStyle name="60% - Accent1 2" xfId="61"/>
    <cellStyle name="60% - Accent2 2" xfId="65"/>
    <cellStyle name="60% - Accent3 2" xfId="69"/>
    <cellStyle name="60% - Accent4 2" xfId="73"/>
    <cellStyle name="60% - Accent5 2" xfId="77"/>
    <cellStyle name="60% - Accent6 2" xfId="81"/>
    <cellStyle name="Accent1 2" xfId="58"/>
    <cellStyle name="Accent2 2" xfId="62"/>
    <cellStyle name="Accent3 2" xfId="66"/>
    <cellStyle name="Accent4 2" xfId="70"/>
    <cellStyle name="Accent5 2" xfId="74"/>
    <cellStyle name="Accent6 2" xfId="78"/>
    <cellStyle name="Bad 2" xfId="91"/>
    <cellStyle name="Bad 3" xfId="48"/>
    <cellStyle name="Calculation 2" xfId="52"/>
    <cellStyle name="Check Cell 2" xfId="54"/>
    <cellStyle name="Comma 2" xfId="143"/>
    <cellStyle name="Currency" xfId="40" builtinId="4"/>
    <cellStyle name="Currency 2" xfId="144"/>
    <cellStyle name="Date" xfId="5"/>
    <cellStyle name="Excel Built-in Normal" xfId="198"/>
    <cellStyle name="Explanatory Text 2" xfId="56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Good 2" xfId="47"/>
    <cellStyle name="Heading 1 2" xfId="43"/>
    <cellStyle name="Heading 2 2" xfId="44"/>
    <cellStyle name="Heading 3 2" xfId="45"/>
    <cellStyle name="Heading 4 2" xfId="46"/>
    <cellStyle name="HEADING1" xfId="14"/>
    <cellStyle name="HEADING2" xfId="15"/>
    <cellStyle name="imf-one decimal" xfId="16"/>
    <cellStyle name="imf-one decimal 2" xfId="127"/>
    <cellStyle name="imf-one decimal 3" xfId="86"/>
    <cellStyle name="imf-zero decimal" xfId="17"/>
    <cellStyle name="imf-zero decimal 2" xfId="128"/>
    <cellStyle name="imf-zero decimal 3" xfId="87"/>
    <cellStyle name="Input 2" xfId="50"/>
    <cellStyle name="Label" xfId="18"/>
    <cellStyle name="Label 2" xfId="88"/>
    <cellStyle name="Linked Cell 2" xfId="53"/>
    <cellStyle name="Neutral 2" xfId="49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0 2" xfId="167"/>
    <cellStyle name="Normal 11" xfId="34"/>
    <cellStyle name="Normal 11 2" xfId="168"/>
    <cellStyle name="Normal 12" xfId="35"/>
    <cellStyle name="Normal 12 2" xfId="169"/>
    <cellStyle name="Normal 13" xfId="90"/>
    <cellStyle name="Normal 14" xfId="99"/>
    <cellStyle name="Normal 14 2" xfId="170"/>
    <cellStyle name="Normal 15" xfId="101"/>
    <cellStyle name="Normal 15 2" xfId="172"/>
    <cellStyle name="Normal 16" xfId="105"/>
    <cellStyle name="Normal 16 2" xfId="129"/>
    <cellStyle name="Normal 16 2 2" xfId="195"/>
    <cellStyle name="Normal 16 3" xfId="176"/>
    <cellStyle name="Normal 17" xfId="107"/>
    <cellStyle name="Normal 17 2" xfId="130"/>
    <cellStyle name="Normal 17 2 2" xfId="196"/>
    <cellStyle name="Normal 17 3" xfId="178"/>
    <cellStyle name="Normal 18" xfId="108"/>
    <cellStyle name="Normal 18 2" xfId="179"/>
    <cellStyle name="Normal 19" xfId="103"/>
    <cellStyle name="Normal 19 2" xfId="131"/>
    <cellStyle name="Normal 19 2 2" xfId="197"/>
    <cellStyle name="Normal 19 3" xfId="174"/>
    <cellStyle name="Normal 2" xfId="22"/>
    <cellStyle name="Normal 2 2" xfId="36"/>
    <cellStyle name="Normal 2 2 2" xfId="39"/>
    <cellStyle name="Normal 2 3" xfId="146"/>
    <cellStyle name="Normal 20" xfId="102"/>
    <cellStyle name="Normal 20 2" xfId="173"/>
    <cellStyle name="Normal 21" xfId="104"/>
    <cellStyle name="Normal 21 2" xfId="175"/>
    <cellStyle name="Normal 22" xfId="106"/>
    <cellStyle name="Normal 22 2" xfId="177"/>
    <cellStyle name="Normal 23" xfId="109"/>
    <cellStyle name="Normal 23 2" xfId="180"/>
    <cellStyle name="Normal 24" xfId="110"/>
    <cellStyle name="Normal 24 2" xfId="181"/>
    <cellStyle name="Normal 25" xfId="95"/>
    <cellStyle name="Normal 26" xfId="137"/>
    <cellStyle name="Normal 27" xfId="94"/>
    <cellStyle name="Normal 28" xfId="98"/>
    <cellStyle name="Normal 29" xfId="142"/>
    <cellStyle name="Normal 3" xfId="26"/>
    <cellStyle name="Normal 30" xfId="138"/>
    <cellStyle name="Normal 31" xfId="93"/>
    <cellStyle name="Normal 32" xfId="141"/>
    <cellStyle name="Normal 33" xfId="140"/>
    <cellStyle name="Normal 34" xfId="139"/>
    <cellStyle name="Normal 35" xfId="96"/>
    <cellStyle name="Normal 36" xfId="97"/>
    <cellStyle name="Normal 37" xfId="145"/>
    <cellStyle name="Normal 38" xfId="147"/>
    <cellStyle name="Normal 39" xfId="148"/>
    <cellStyle name="Normal 4" xfId="27"/>
    <cellStyle name="Normal 4 2" xfId="37"/>
    <cellStyle name="Normal 4 2 2" xfId="132"/>
    <cellStyle name="Normal 4 3" xfId="161"/>
    <cellStyle name="Normal 40" xfId="41"/>
    <cellStyle name="Normal 5" xfId="28"/>
    <cellStyle name="Normal 5 2" xfId="136"/>
    <cellStyle name="Normal 5 3" xfId="162"/>
    <cellStyle name="Normal 6" xfId="29"/>
    <cellStyle name="Normal 6 2" xfId="163"/>
    <cellStyle name="Normal 7" xfId="30"/>
    <cellStyle name="Normal 7 2" xfId="164"/>
    <cellStyle name="Normal 8" xfId="31"/>
    <cellStyle name="Normal 8 2" xfId="165"/>
    <cellStyle name="Normal 9" xfId="32"/>
    <cellStyle name="Normal 9 2" xfId="166"/>
    <cellStyle name="Note 2" xfId="100"/>
    <cellStyle name="Note 2 2" xfId="171"/>
    <cellStyle name="Note 3" xfId="111"/>
    <cellStyle name="Note 3 2" xfId="182"/>
    <cellStyle name="Obično_KnjigaZIKS i Min pomorstva i saobracaja" xfId="23"/>
    <cellStyle name="Output 2" xfId="51"/>
    <cellStyle name="Percent" xfId="38" builtinId="5"/>
    <cellStyle name="Percent 2" xfId="42"/>
    <cellStyle name="percentage difference" xfId="24"/>
    <cellStyle name="percentage difference 2" xfId="133"/>
    <cellStyle name="percentage difference 3" xfId="89"/>
    <cellStyle name="Publication" xfId="25"/>
    <cellStyle name="Standard_Tabellenteil in EURO" xfId="134"/>
    <cellStyle name="Title 2" xfId="92"/>
    <cellStyle name="Total 2" xfId="57"/>
    <cellStyle name="Warning Text 2" xfId="55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30087378318533E-2"/>
          <c:y val="9.3067220764072242E-2"/>
          <c:w val="0.91423489152463533"/>
          <c:h val="0.80647637795275029"/>
        </c:manualLayout>
      </c:layout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C214-4F9C-9597-60FBFB448219}"/>
            </c:ext>
          </c:extLst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214-4F9C-9597-60FBFB448219}"/>
              </c:ext>
            </c:extLst>
          </c:dPt>
          <c:dPt>
            <c:idx val="2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214-4F9C-9597-60FBFB448219}"/>
              </c:ext>
            </c:extLst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C214-4F9C-9597-60FBFB448219}"/>
            </c:ext>
          </c:extLst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C214-4F9C-9597-60FBFB448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26222944"/>
        <c:axId val="-326208256"/>
      </c:lineChart>
      <c:catAx>
        <c:axId val="-326222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-326208256"/>
        <c:crosses val="autoZero"/>
        <c:auto val="1"/>
        <c:lblAlgn val="ctr"/>
        <c:lblOffset val="100"/>
        <c:noMultiLvlLbl val="0"/>
      </c:catAx>
      <c:valAx>
        <c:axId val="-326208256"/>
        <c:scaling>
          <c:orientation val="minMax"/>
          <c:max val="130000000"/>
          <c:min val="50000000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-326222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236"/>
          <c:y val="0.63831291921843114"/>
          <c:w val="0.24343466560350838"/>
          <c:h val="0.2176017060367454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varyColors val="0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CAE7-408C-A49B-85C2A6E6B2DC}"/>
            </c:ext>
          </c:extLst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CAE7-408C-A49B-85C2A6E6B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26219680"/>
        <c:axId val="-392850656"/>
      </c:lineChart>
      <c:catAx>
        <c:axId val="-32621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-392850656"/>
        <c:crosses val="autoZero"/>
        <c:auto val="1"/>
        <c:lblAlgn val="ctr"/>
        <c:lblOffset val="100"/>
        <c:noMultiLvlLbl val="0"/>
      </c:catAx>
      <c:valAx>
        <c:axId val="-392850656"/>
        <c:scaling>
          <c:orientation val="minMax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-32621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3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3009" name="List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6081" name="List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R79"/>
  <sheetViews>
    <sheetView topLeftCell="B1" zoomScaleNormal="100" workbookViewId="0">
      <selection activeCell="C10" sqref="C10"/>
    </sheetView>
  </sheetViews>
  <sheetFormatPr defaultColWidth="9.140625" defaultRowHeight="12.75"/>
  <cols>
    <col min="1" max="2" width="9.140625" style="80" customWidth="1"/>
    <col min="3" max="3" width="38.28515625" style="80" customWidth="1"/>
    <col min="4" max="4" width="9.42578125" style="166" customWidth="1"/>
    <col min="5" max="5" width="7.7109375" style="166" customWidth="1"/>
    <col min="6" max="6" width="7.42578125" style="166" customWidth="1"/>
    <col min="7" max="7" width="6.42578125" style="166" customWidth="1"/>
    <col min="8" max="8" width="7.7109375" style="166" customWidth="1"/>
    <col min="9" max="9" width="6.5703125" style="166" customWidth="1"/>
    <col min="10" max="10" width="7.7109375" style="166" customWidth="1"/>
    <col min="11" max="11" width="6.7109375" style="166" customWidth="1"/>
    <col min="12" max="12" width="7.7109375" style="166" customWidth="1"/>
    <col min="13" max="13" width="8" style="166" customWidth="1"/>
    <col min="14" max="14" width="9.140625" style="80" customWidth="1"/>
    <col min="15" max="15" width="12.42578125" style="80" bestFit="1" customWidth="1"/>
    <col min="16" max="62" width="9.140625" style="80" customWidth="1"/>
    <col min="63" max="63" width="9.140625" style="80"/>
    <col min="64" max="64" width="15.42578125" style="80" customWidth="1"/>
    <col min="65" max="65" width="12.7109375" style="80" customWidth="1"/>
    <col min="66" max="66" width="11.85546875" style="80" customWidth="1"/>
    <col min="67" max="16384" width="9.140625" style="80"/>
  </cols>
  <sheetData>
    <row r="1" spans="2:62" ht="15" customHeight="1">
      <c r="C1" s="81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</row>
    <row r="2" spans="2:62" ht="15" hidden="1" customHeight="1">
      <c r="C2" s="81"/>
      <c r="D2" s="221"/>
      <c r="E2" s="221"/>
      <c r="F2" s="221"/>
      <c r="G2" s="170">
        <v>2014</v>
      </c>
      <c r="H2" s="170"/>
      <c r="I2" s="170"/>
      <c r="J2" s="222">
        <v>2017</v>
      </c>
      <c r="L2" s="170"/>
      <c r="M2" s="170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</row>
    <row r="3" spans="2:62" ht="15" hidden="1" customHeight="1">
      <c r="C3" s="81"/>
      <c r="D3" s="223"/>
      <c r="E3" s="223"/>
      <c r="F3" s="223"/>
      <c r="G3" s="171">
        <v>5.4037200000000007</v>
      </c>
      <c r="H3" s="171"/>
      <c r="I3" s="171"/>
      <c r="J3" s="224">
        <v>6.0799999999999965</v>
      </c>
      <c r="L3" s="171"/>
      <c r="M3" s="17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</row>
    <row r="4" spans="2:62" ht="15" hidden="1" customHeight="1">
      <c r="C4" s="81"/>
      <c r="D4" s="225"/>
      <c r="E4" s="225"/>
      <c r="F4" s="225"/>
      <c r="G4" s="172">
        <v>3.54</v>
      </c>
      <c r="H4" s="172"/>
      <c r="I4" s="172"/>
      <c r="J4" s="226">
        <v>4</v>
      </c>
      <c r="L4" s="172"/>
      <c r="M4" s="17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</row>
    <row r="5" spans="2:62" ht="15" hidden="1" customHeight="1">
      <c r="C5" s="81"/>
      <c r="D5" s="227"/>
      <c r="E5" s="227"/>
      <c r="F5" s="227"/>
      <c r="G5" s="173">
        <v>1.8</v>
      </c>
      <c r="H5" s="173"/>
      <c r="I5" s="173"/>
      <c r="J5" s="228">
        <v>2</v>
      </c>
      <c r="L5" s="173"/>
      <c r="M5" s="173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</row>
    <row r="6" spans="2:62" ht="15" hidden="1" customHeight="1">
      <c r="C6" s="81"/>
      <c r="D6" s="229"/>
      <c r="E6" s="229"/>
      <c r="F6" s="229"/>
      <c r="G6" s="174">
        <v>2.3E-2</v>
      </c>
      <c r="H6" s="174"/>
      <c r="I6" s="174"/>
      <c r="J6" s="174">
        <v>5.1999999999999998E-2</v>
      </c>
      <c r="L6" s="174"/>
      <c r="M6" s="174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</row>
    <row r="7" spans="2:62" ht="15" hidden="1" customHeight="1">
      <c r="C7" s="81"/>
      <c r="D7" s="175"/>
      <c r="E7" s="175"/>
      <c r="F7" s="175"/>
      <c r="G7" s="175"/>
      <c r="H7" s="175"/>
      <c r="I7" s="175"/>
      <c r="J7" s="230"/>
      <c r="L7" s="175"/>
      <c r="M7" s="175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</row>
    <row r="8" spans="2:62" ht="15" hidden="1" customHeight="1">
      <c r="C8" s="81"/>
      <c r="D8" s="231"/>
      <c r="E8" s="231"/>
      <c r="F8" s="231"/>
      <c r="G8" s="176">
        <f>+J16/F16*100-100</f>
        <v>-2.3435855052232455</v>
      </c>
      <c r="H8" s="176"/>
      <c r="I8" s="176"/>
      <c r="J8" s="232" t="e">
        <f>+#REF!/#REF!*100-100</f>
        <v>#REF!</v>
      </c>
      <c r="L8" s="176"/>
      <c r="M8" s="176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</row>
    <row r="9" spans="2:62" ht="15" hidden="1" customHeight="1">
      <c r="C9" s="81"/>
      <c r="D9" s="233"/>
      <c r="E9" s="233"/>
      <c r="F9" s="233"/>
      <c r="G9" s="177" t="e">
        <f>+J16/#REF!*100-100</f>
        <v>#REF!</v>
      </c>
      <c r="H9" s="177"/>
      <c r="I9" s="177"/>
      <c r="J9" s="234" t="e">
        <f>+#REF!/#REF!*100-100</f>
        <v>#REF!</v>
      </c>
      <c r="L9" s="177"/>
      <c r="M9" s="177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</row>
    <row r="10" spans="2:62" ht="15" customHeight="1" thickBot="1">
      <c r="C10" s="81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</row>
    <row r="11" spans="2:62" ht="18.75" customHeight="1" thickTop="1" thickBot="1">
      <c r="C11" s="140" t="str">
        <f>IF(MasterSheet!$A$1=1,MasterSheet!B67,MasterSheet!B66)</f>
        <v>BDP (u mil. €)</v>
      </c>
      <c r="D11" s="313">
        <v>4817100000</v>
      </c>
      <c r="E11" s="314"/>
      <c r="F11" s="314"/>
      <c r="G11" s="315"/>
      <c r="H11" s="318"/>
      <c r="I11" s="323"/>
      <c r="J11" s="320">
        <v>4663000000</v>
      </c>
      <c r="K11" s="320">
        <v>0</v>
      </c>
      <c r="L11" s="318"/>
      <c r="M11" s="319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</row>
    <row r="12" spans="2:62" ht="19.5" hidden="1" customHeight="1" thickTop="1">
      <c r="C12" s="81"/>
      <c r="D12" s="235"/>
      <c r="E12" s="235"/>
      <c r="F12" s="236"/>
      <c r="G12" s="236"/>
      <c r="H12" s="169"/>
      <c r="I12" s="169"/>
      <c r="J12" s="169"/>
      <c r="K12" s="169"/>
      <c r="L12" s="169"/>
      <c r="M12" s="169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</row>
    <row r="13" spans="2:62" ht="17.25" customHeight="1" thickTop="1" thickBot="1">
      <c r="B13" s="85"/>
      <c r="C13" s="86"/>
      <c r="D13" s="326"/>
      <c r="E13" s="326"/>
      <c r="F13" s="178"/>
      <c r="G13" s="178"/>
      <c r="H13" s="178"/>
      <c r="I13" s="178"/>
      <c r="J13" s="324"/>
      <c r="K13" s="325"/>
      <c r="L13" s="237"/>
      <c r="M13" s="237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</row>
    <row r="14" spans="2:62" ht="15.75" customHeight="1" thickTop="1">
      <c r="B14" s="87"/>
      <c r="C14" s="316" t="str">
        <f>IF(MasterSheet!$A$1=1,MasterSheet!B71,MasterSheet!B70)</f>
        <v>Budžet Crne Gore</v>
      </c>
      <c r="D14" s="311" t="s">
        <v>470</v>
      </c>
      <c r="E14" s="312"/>
      <c r="F14" s="311" t="s">
        <v>471</v>
      </c>
      <c r="G14" s="312"/>
      <c r="H14" s="311" t="s">
        <v>444</v>
      </c>
      <c r="I14" s="312"/>
      <c r="J14" s="311" t="s">
        <v>464</v>
      </c>
      <c r="K14" s="312"/>
      <c r="L14" s="321" t="str">
        <f>+H14</f>
        <v>Odstupanje</v>
      </c>
      <c r="M14" s="322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</row>
    <row r="15" spans="2:62" ht="15" customHeight="1" thickBot="1">
      <c r="C15" s="317" t="str">
        <f>IF(MasterSheet!$A$1=1,MasterSheet!B71,MasterSheet!B70)</f>
        <v>Budžet Crne Gore</v>
      </c>
      <c r="D15" s="88" t="str">
        <f>+F15</f>
        <v>mil. €</v>
      </c>
      <c r="E15" s="157" t="str">
        <f>+G15</f>
        <v>% BDP</v>
      </c>
      <c r="F15" s="88" t="s">
        <v>262</v>
      </c>
      <c r="G15" s="89" t="s">
        <v>149</v>
      </c>
      <c r="H15" s="156" t="s">
        <v>262</v>
      </c>
      <c r="I15" s="156" t="s">
        <v>439</v>
      </c>
      <c r="J15" s="88" t="s">
        <v>262</v>
      </c>
      <c r="K15" s="89" t="s">
        <v>149</v>
      </c>
      <c r="L15" s="158" t="s">
        <v>262</v>
      </c>
      <c r="M15" s="108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</row>
    <row r="16" spans="2:62" ht="15" customHeight="1" thickTop="1" thickBot="1">
      <c r="B16" s="80">
        <v>7</v>
      </c>
      <c r="C16" s="90" t="str">
        <f>IF(MasterSheet!$A$1=1,MasterSheet!C72,MasterSheet!B72)</f>
        <v>Izvorni prihodi</v>
      </c>
      <c r="D16" s="238">
        <f>+D17+D25+SUM(D30:D34)</f>
        <v>1338159888.7400002</v>
      </c>
      <c r="E16" s="239">
        <f>+D16/$D$11*100</f>
        <v>27.779367020406475</v>
      </c>
      <c r="F16" s="238">
        <f>+F17+F25+SUM(F30:F34)</f>
        <v>1303552944.387578</v>
      </c>
      <c r="G16" s="239">
        <f>+F16/$D$11*100</f>
        <v>27.06094837947267</v>
      </c>
      <c r="H16" s="238">
        <f>+D16-F16</f>
        <v>34606944.352422237</v>
      </c>
      <c r="I16" s="179">
        <f>+IF(ISNUMBER(D16/F16*100-100),D16/F16*100-100,"...")</f>
        <v>2.6548169371579178</v>
      </c>
      <c r="J16" s="238">
        <f>+J17+J25+SUM(J30:J34)</f>
        <v>1273003066.53</v>
      </c>
      <c r="K16" s="239">
        <f>+J16/$J$11*100</f>
        <v>27.300087208449497</v>
      </c>
      <c r="L16" s="238">
        <f>+D16-J16</f>
        <v>65156822.210000277</v>
      </c>
      <c r="M16" s="239">
        <f t="shared" ref="M16:M58" si="0">+IF(ISNUMBER(D16/J16*100-100),D16/J16*100-100,"...")</f>
        <v>5.1183554795046291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</row>
    <row r="17" spans="2:69" ht="15" customHeight="1" thickTop="1">
      <c r="B17" s="80">
        <v>711</v>
      </c>
      <c r="C17" s="93" t="str">
        <f>IF(MasterSheet!$A$1=1,MasterSheet!C73,MasterSheet!B73)</f>
        <v>Porezi</v>
      </c>
      <c r="D17" s="193">
        <f>+SUM(D18:D24)</f>
        <v>878844461.47000015</v>
      </c>
      <c r="E17" s="240">
        <f t="shared" ref="E17:E75" si="1">+D17/$D$11*100</f>
        <v>18.244264421955123</v>
      </c>
      <c r="F17" s="193">
        <f>+SUM(F18:F24)</f>
        <v>849090792.91920161</v>
      </c>
      <c r="G17" s="240">
        <f t="shared" ref="G17:G75" si="2">+F17/$D$11*100</f>
        <v>17.626596768163452</v>
      </c>
      <c r="H17" s="195">
        <f t="shared" ref="H17:H69" si="3">+D17-F17</f>
        <v>29753668.550798535</v>
      </c>
      <c r="I17" s="180">
        <f t="shared" ref="I17:I69" si="4">+IF(ISNUMBER(D17/F17*100-100),D17/F17*100-100,"...")</f>
        <v>3.504179859082484</v>
      </c>
      <c r="J17" s="193">
        <f>+SUM(J18:J24)</f>
        <v>806018384.75999999</v>
      </c>
      <c r="K17" s="240">
        <f t="shared" ref="K17:K69" si="5">+J17/$J$11*100</f>
        <v>17.285403919365216</v>
      </c>
      <c r="L17" s="195">
        <f t="shared" ref="L17:L35" si="6">+D17-J17</f>
        <v>72826076.710000157</v>
      </c>
      <c r="M17" s="180">
        <f t="shared" si="0"/>
        <v>9.0352872945552889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</row>
    <row r="18" spans="2:69" ht="15" customHeight="1">
      <c r="B18" s="80">
        <v>7111</v>
      </c>
      <c r="C18" s="97" t="str">
        <f>IF(MasterSheet!$A$1=1,MasterSheet!C74,MasterSheet!B74)</f>
        <v>Porez na dohodak fizičkih lica</v>
      </c>
      <c r="D18" s="241">
        <v>85547113.409999996</v>
      </c>
      <c r="E18" s="242">
        <f t="shared" si="1"/>
        <v>1.7759048682817462</v>
      </c>
      <c r="F18" s="241">
        <v>83749020.423508063</v>
      </c>
      <c r="G18" s="242">
        <f t="shared" si="2"/>
        <v>1.7385775762078441</v>
      </c>
      <c r="H18" s="200">
        <f t="shared" si="3"/>
        <v>1798092.9864919335</v>
      </c>
      <c r="I18" s="181">
        <f t="shared" si="4"/>
        <v>2.1470018125575763</v>
      </c>
      <c r="J18" s="198">
        <v>85245067.910000011</v>
      </c>
      <c r="K18" s="242">
        <f t="shared" si="5"/>
        <v>1.8281164038172852</v>
      </c>
      <c r="L18" s="200">
        <f t="shared" si="6"/>
        <v>302045.4999999851</v>
      </c>
      <c r="M18" s="181">
        <f t="shared" si="0"/>
        <v>0.35432607117971315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</row>
    <row r="19" spans="2:69" ht="15" customHeight="1">
      <c r="B19" s="80">
        <v>7112</v>
      </c>
      <c r="C19" s="97" t="str">
        <f>IF(MasterSheet!$A$1=1,MasterSheet!C75,MasterSheet!B75)</f>
        <v>Porez na dobit pravnih lica</v>
      </c>
      <c r="D19" s="198">
        <v>63460533.5</v>
      </c>
      <c r="E19" s="242">
        <f t="shared" si="1"/>
        <v>1.3174012061198646</v>
      </c>
      <c r="F19" s="198">
        <v>63932260.051758736</v>
      </c>
      <c r="G19" s="242">
        <f t="shared" si="2"/>
        <v>1.3271939559435912</v>
      </c>
      <c r="H19" s="200">
        <f t="shared" si="3"/>
        <v>-471726.55175873637</v>
      </c>
      <c r="I19" s="181">
        <f t="shared" si="4"/>
        <v>-0.73785370856094801</v>
      </c>
      <c r="J19" s="198">
        <v>64513553.079999991</v>
      </c>
      <c r="K19" s="242">
        <f t="shared" si="5"/>
        <v>1.3835203319751233</v>
      </c>
      <c r="L19" s="200">
        <f t="shared" si="6"/>
        <v>-1053019.5799999908</v>
      </c>
      <c r="M19" s="181">
        <f t="shared" si="0"/>
        <v>-1.6322455200912458</v>
      </c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L19" s="81"/>
    </row>
    <row r="20" spans="2:69" ht="15" customHeight="1">
      <c r="B20" s="80">
        <v>7113</v>
      </c>
      <c r="C20" s="97" t="str">
        <f>IF(MasterSheet!$A$1=1,MasterSheet!C76,MasterSheet!B76)</f>
        <v>Porez na promet nepokretnosti</v>
      </c>
      <c r="D20" s="198">
        <v>1401042.18</v>
      </c>
      <c r="E20" s="242">
        <f t="shared" si="1"/>
        <v>2.908476427726225E-2</v>
      </c>
      <c r="F20" s="198">
        <v>1363866.611374062</v>
      </c>
      <c r="G20" s="242">
        <f t="shared" si="2"/>
        <v>2.8313022593968611E-2</v>
      </c>
      <c r="H20" s="200">
        <f t="shared" si="3"/>
        <v>37175.568625937914</v>
      </c>
      <c r="I20" s="181">
        <f t="shared" si="4"/>
        <v>2.7257481278527962</v>
      </c>
      <c r="J20" s="198">
        <v>1277928.1599999999</v>
      </c>
      <c r="K20" s="242">
        <f t="shared" si="5"/>
        <v>2.7405707913360496E-2</v>
      </c>
      <c r="L20" s="200">
        <f t="shared" si="6"/>
        <v>123114.02000000002</v>
      </c>
      <c r="M20" s="181">
        <f t="shared" si="0"/>
        <v>9.633876445762013</v>
      </c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</row>
    <row r="21" spans="2:69" ht="15" customHeight="1">
      <c r="B21" s="80">
        <v>7114</v>
      </c>
      <c r="C21" s="97" t="str">
        <f>IF(MasterSheet!$A$1=1,MasterSheet!C77,MasterSheet!B77)</f>
        <v>Porez na dodatu vrijednost</v>
      </c>
      <c r="D21" s="241">
        <v>517818183.34000003</v>
      </c>
      <c r="E21" s="242">
        <f t="shared" si="1"/>
        <v>10.749583428618879</v>
      </c>
      <c r="F21" s="241">
        <v>494931132.74945468</v>
      </c>
      <c r="G21" s="242">
        <f t="shared" si="2"/>
        <v>10.274462492982389</v>
      </c>
      <c r="H21" s="200">
        <f t="shared" si="3"/>
        <v>22887050.590545356</v>
      </c>
      <c r="I21" s="181">
        <f t="shared" si="4"/>
        <v>4.6242899417950412</v>
      </c>
      <c r="J21" s="198">
        <v>461468715.59000003</v>
      </c>
      <c r="K21" s="242">
        <f t="shared" si="5"/>
        <v>9.8963910699120756</v>
      </c>
      <c r="L21" s="200">
        <f t="shared" si="6"/>
        <v>56349467.75</v>
      </c>
      <c r="M21" s="181">
        <f t="shared" si="0"/>
        <v>12.210896610392254</v>
      </c>
    </row>
    <row r="22" spans="2:69" ht="15" customHeight="1">
      <c r="B22" s="80">
        <v>7115</v>
      </c>
      <c r="C22" s="97" t="str">
        <f>IF(MasterSheet!$A$1=1,MasterSheet!C78,MasterSheet!B78)</f>
        <v>Akcize</v>
      </c>
      <c r="D22" s="198">
        <v>178709360.70000002</v>
      </c>
      <c r="E22" s="242">
        <f t="shared" si="1"/>
        <v>3.7098951796724169</v>
      </c>
      <c r="F22" s="198">
        <v>175855385.3949388</v>
      </c>
      <c r="G22" s="242">
        <f t="shared" si="2"/>
        <v>3.6506484273720456</v>
      </c>
      <c r="H22" s="200">
        <f>+D22-F22</f>
        <v>2853975.3050612211</v>
      </c>
      <c r="I22" s="181">
        <f t="shared" si="4"/>
        <v>1.622910380965422</v>
      </c>
      <c r="J22" s="198">
        <v>166496597.86000001</v>
      </c>
      <c r="K22" s="242">
        <f t="shared" si="5"/>
        <v>3.5705897031953682</v>
      </c>
      <c r="L22" s="200">
        <f t="shared" si="6"/>
        <v>12212762.840000004</v>
      </c>
      <c r="M22" s="181">
        <f t="shared" si="0"/>
        <v>7.335142577669501</v>
      </c>
    </row>
    <row r="23" spans="2:69" ht="15" customHeight="1">
      <c r="B23" s="80">
        <v>7116</v>
      </c>
      <c r="C23" s="97" t="str">
        <f>IF(MasterSheet!$A$1=1,MasterSheet!C79,MasterSheet!B79)</f>
        <v>Porez na međunarodnu trgovinu i transakcije</v>
      </c>
      <c r="D23" s="198">
        <v>21570886.120000001</v>
      </c>
      <c r="E23" s="242">
        <f t="shared" si="1"/>
        <v>0.44779817981773268</v>
      </c>
      <c r="F23" s="198">
        <v>20809214.705640629</v>
      </c>
      <c r="G23" s="242">
        <f t="shared" si="2"/>
        <v>0.43198635497790427</v>
      </c>
      <c r="H23" s="200">
        <f t="shared" si="3"/>
        <v>761671.41435937211</v>
      </c>
      <c r="I23" s="181">
        <f t="shared" si="4"/>
        <v>3.6602602507287827</v>
      </c>
      <c r="J23" s="198">
        <v>20112543.760000002</v>
      </c>
      <c r="K23" s="242">
        <f t="shared" si="5"/>
        <v>0.43132197641003645</v>
      </c>
      <c r="L23" s="200">
        <f t="shared" si="6"/>
        <v>1458342.3599999994</v>
      </c>
      <c r="M23" s="181">
        <f t="shared" si="0"/>
        <v>7.2509095686859979</v>
      </c>
      <c r="BM23" s="114"/>
      <c r="BN23" s="114"/>
      <c r="BO23" s="81"/>
    </row>
    <row r="24" spans="2:69" ht="15" customHeight="1">
      <c r="B24" s="80">
        <v>7118</v>
      </c>
      <c r="C24" s="97" t="s">
        <v>457</v>
      </c>
      <c r="D24" s="198">
        <v>10337342.220000001</v>
      </c>
      <c r="E24" s="242">
        <f t="shared" si="1"/>
        <v>0.2145967951672168</v>
      </c>
      <c r="F24" s="198">
        <v>8449912.9825265706</v>
      </c>
      <c r="G24" s="242">
        <f t="shared" si="2"/>
        <v>0.17541493808570655</v>
      </c>
      <c r="H24" s="200">
        <f t="shared" si="3"/>
        <v>1887429.2374734301</v>
      </c>
      <c r="I24" s="181">
        <f t="shared" si="4"/>
        <v>22.336670701537557</v>
      </c>
      <c r="J24" s="198">
        <v>6903978.3999999994</v>
      </c>
      <c r="K24" s="242">
        <f t="shared" si="5"/>
        <v>0.14805872614196866</v>
      </c>
      <c r="L24" s="200">
        <f t="shared" si="6"/>
        <v>3433363.8200000012</v>
      </c>
      <c r="M24" s="181">
        <f t="shared" si="0"/>
        <v>49.730222504751765</v>
      </c>
      <c r="BM24" s="114"/>
      <c r="BN24" s="114"/>
      <c r="BO24" s="81"/>
    </row>
    <row r="25" spans="2:69" ht="15" customHeight="1">
      <c r="B25" s="80">
        <v>712</v>
      </c>
      <c r="C25" s="93" t="str">
        <f>IF(MasterSheet!$A$1=1,MasterSheet!C81,MasterSheet!B81)</f>
        <v>Doprinosi</v>
      </c>
      <c r="D25" s="193">
        <f>+SUM(D26:D29)</f>
        <v>370571042.34999996</v>
      </c>
      <c r="E25" s="240">
        <f t="shared" si="1"/>
        <v>7.6928243621681087</v>
      </c>
      <c r="F25" s="193">
        <f>+SUM(F26:F29)</f>
        <v>364529987.6633634</v>
      </c>
      <c r="G25" s="240">
        <f t="shared" si="2"/>
        <v>7.5674158241133345</v>
      </c>
      <c r="H25" s="195">
        <f t="shared" si="3"/>
        <v>6041054.6866365671</v>
      </c>
      <c r="I25" s="180">
        <f t="shared" si="4"/>
        <v>1.657217483082718</v>
      </c>
      <c r="J25" s="193">
        <f>+SUM(J26:J29)</f>
        <v>351331389.50999999</v>
      </c>
      <c r="K25" s="240">
        <f t="shared" si="5"/>
        <v>7.5344496999785546</v>
      </c>
      <c r="L25" s="195">
        <f t="shared" si="6"/>
        <v>19239652.839999974</v>
      </c>
      <c r="M25" s="180">
        <f t="shared" si="0"/>
        <v>5.4762123210321221</v>
      </c>
      <c r="BM25" s="114"/>
      <c r="BN25" s="114"/>
      <c r="BO25" s="81"/>
    </row>
    <row r="26" spans="2:69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98">
        <v>220192746.31</v>
      </c>
      <c r="E26" s="242">
        <f t="shared" si="1"/>
        <v>4.57106446430425</v>
      </c>
      <c r="F26" s="198">
        <v>218717926.64664456</v>
      </c>
      <c r="G26" s="242">
        <f t="shared" si="2"/>
        <v>4.5404481253585054</v>
      </c>
      <c r="H26" s="200">
        <f t="shared" si="3"/>
        <v>1474819.6633554399</v>
      </c>
      <c r="I26" s="181">
        <f t="shared" si="4"/>
        <v>0.67430214156067336</v>
      </c>
      <c r="J26" s="198">
        <v>211532835.92000002</v>
      </c>
      <c r="K26" s="242">
        <f t="shared" si="5"/>
        <v>4.5364108067767539</v>
      </c>
      <c r="L26" s="200">
        <f t="shared" si="6"/>
        <v>8659910.3899999857</v>
      </c>
      <c r="M26" s="181">
        <f t="shared" si="0"/>
        <v>4.0938846928119972</v>
      </c>
      <c r="BM26" s="114"/>
      <c r="BN26" s="114"/>
      <c r="BO26" s="81"/>
    </row>
    <row r="27" spans="2:69" ht="15" customHeight="1">
      <c r="B27" s="80">
        <v>7122</v>
      </c>
      <c r="C27" s="97" t="str">
        <f>IF(MasterSheet!$A$1=1,MasterSheet!C83,MasterSheet!B83)</f>
        <v>Doprinosi za zdravstveno osiguranje</v>
      </c>
      <c r="D27" s="198">
        <v>130738336.89</v>
      </c>
      <c r="E27" s="242">
        <f t="shared" si="1"/>
        <v>2.7140465610014322</v>
      </c>
      <c r="F27" s="198">
        <v>126489292.97035752</v>
      </c>
      <c r="G27" s="242">
        <f t="shared" si="2"/>
        <v>2.6258390519266266</v>
      </c>
      <c r="H27" s="200">
        <f t="shared" si="3"/>
        <v>4249043.9196424782</v>
      </c>
      <c r="I27" s="181">
        <f t="shared" si="4"/>
        <v>3.3592123252979462</v>
      </c>
      <c r="J27" s="198">
        <v>122263069.46000001</v>
      </c>
      <c r="K27" s="242">
        <f t="shared" si="5"/>
        <v>2.6219830465365646</v>
      </c>
      <c r="L27" s="200">
        <f t="shared" si="6"/>
        <v>8475267.4299999923</v>
      </c>
      <c r="M27" s="181">
        <f t="shared" si="0"/>
        <v>6.9319930109989656</v>
      </c>
      <c r="BM27" s="114"/>
      <c r="BN27" s="114"/>
      <c r="BO27" s="81"/>
    </row>
    <row r="28" spans="2:69" ht="15" customHeight="1">
      <c r="B28" s="80">
        <v>7123</v>
      </c>
      <c r="C28" s="97" t="str">
        <f>IF(MasterSheet!$A$1=1,MasterSheet!C84,MasterSheet!B84)</f>
        <v>Doprinosi za osiguranje od nezaposlenosti</v>
      </c>
      <c r="D28" s="198">
        <v>10196734.950000001</v>
      </c>
      <c r="E28" s="242">
        <f t="shared" si="1"/>
        <v>0.21167787569284427</v>
      </c>
      <c r="F28" s="198">
        <v>10011379.703413513</v>
      </c>
      <c r="G28" s="242">
        <f t="shared" si="2"/>
        <v>0.20783001605558352</v>
      </c>
      <c r="H28" s="200">
        <f t="shared" si="3"/>
        <v>185355.24658648856</v>
      </c>
      <c r="I28" s="181">
        <f t="shared" si="4"/>
        <v>1.8514455757111108</v>
      </c>
      <c r="J28" s="198">
        <v>9066838.9000000004</v>
      </c>
      <c r="K28" s="242">
        <f t="shared" si="5"/>
        <v>0.19444218099935665</v>
      </c>
      <c r="L28" s="200">
        <f t="shared" si="6"/>
        <v>1129896.0500000007</v>
      </c>
      <c r="M28" s="181">
        <f t="shared" si="0"/>
        <v>12.461852057391255</v>
      </c>
      <c r="BM28" s="114"/>
      <c r="BN28" s="114"/>
      <c r="BO28" s="81"/>
    </row>
    <row r="29" spans="2:69" ht="15" customHeight="1">
      <c r="B29" s="80">
        <v>7124</v>
      </c>
      <c r="C29" s="97" t="str">
        <f>IF(MasterSheet!$A$1=1,MasterSheet!C85,MasterSheet!B85)</f>
        <v>Ostali doprinosi</v>
      </c>
      <c r="D29" s="241">
        <v>9443224.1999999993</v>
      </c>
      <c r="E29" s="242">
        <f t="shared" si="1"/>
        <v>0.19603546116958334</v>
      </c>
      <c r="F29" s="241">
        <v>9311388.3429478463</v>
      </c>
      <c r="G29" s="242">
        <f t="shared" si="2"/>
        <v>0.19329863077261933</v>
      </c>
      <c r="H29" s="200">
        <f t="shared" si="3"/>
        <v>131835.85705215298</v>
      </c>
      <c r="I29" s="181">
        <f t="shared" si="4"/>
        <v>1.4158560699705021</v>
      </c>
      <c r="J29" s="198">
        <v>8468645.2300000004</v>
      </c>
      <c r="K29" s="242">
        <f t="shared" si="5"/>
        <v>0.18161366566588033</v>
      </c>
      <c r="L29" s="200">
        <f t="shared" si="6"/>
        <v>974578.96999999881</v>
      </c>
      <c r="M29" s="181">
        <f t="shared" si="0"/>
        <v>11.508085927930622</v>
      </c>
      <c r="BM29" s="81"/>
      <c r="BN29" s="81"/>
      <c r="BO29" s="81"/>
    </row>
    <row r="30" spans="2:69" ht="15" customHeight="1">
      <c r="B30" s="80">
        <v>713</v>
      </c>
      <c r="C30" s="93" t="str">
        <f>IF(MasterSheet!$A$1=1,MasterSheet!C86,MasterSheet!B86)</f>
        <v>Takse</v>
      </c>
      <c r="D30" s="193">
        <v>11793221.899999999</v>
      </c>
      <c r="E30" s="240">
        <f t="shared" si="1"/>
        <v>0.2448199518382429</v>
      </c>
      <c r="F30" s="193">
        <v>11596412.930811292</v>
      </c>
      <c r="G30" s="240">
        <f t="shared" si="2"/>
        <v>0.24073432004341391</v>
      </c>
      <c r="H30" s="195">
        <f t="shared" si="3"/>
        <v>196808.96918870695</v>
      </c>
      <c r="I30" s="180">
        <f t="shared" si="4"/>
        <v>1.6971538557909724</v>
      </c>
      <c r="J30" s="193">
        <v>12549696.83</v>
      </c>
      <c r="K30" s="240">
        <f t="shared" si="5"/>
        <v>0.26913353699335191</v>
      </c>
      <c r="L30" s="195">
        <f t="shared" si="6"/>
        <v>-756474.93000000156</v>
      </c>
      <c r="M30" s="181">
        <f t="shared" si="0"/>
        <v>-6.0278342994840415</v>
      </c>
      <c r="BM30" s="81"/>
      <c r="BN30" s="81"/>
      <c r="BO30" s="81"/>
    </row>
    <row r="31" spans="2:69" ht="15" customHeight="1">
      <c r="B31" s="80">
        <v>714</v>
      </c>
      <c r="C31" s="93" t="str">
        <f>IF(MasterSheet!$A$1=1,MasterSheet!C91,MasterSheet!B91)</f>
        <v>Naknade</v>
      </c>
      <c r="D31" s="193">
        <v>20484439.07</v>
      </c>
      <c r="E31" s="240">
        <f t="shared" si="1"/>
        <v>0.42524421477652524</v>
      </c>
      <c r="F31" s="193">
        <v>22138576.355701763</v>
      </c>
      <c r="G31" s="240">
        <f t="shared" si="2"/>
        <v>0.45958307603541054</v>
      </c>
      <c r="H31" s="195">
        <f t="shared" si="3"/>
        <v>-1654137.2857017629</v>
      </c>
      <c r="I31" s="180">
        <f t="shared" si="4"/>
        <v>-7.4717419003130345</v>
      </c>
      <c r="J31" s="193">
        <v>19352293.23</v>
      </c>
      <c r="K31" s="240">
        <f t="shared" si="5"/>
        <v>0.4150180834226892</v>
      </c>
      <c r="L31" s="195">
        <f t="shared" si="6"/>
        <v>1132145.8399999999</v>
      </c>
      <c r="M31" s="180">
        <f t="shared" si="0"/>
        <v>5.8501895694973456</v>
      </c>
      <c r="BM31" s="114"/>
      <c r="BN31" s="114"/>
      <c r="BO31" s="114"/>
    </row>
    <row r="32" spans="2:69" ht="15" customHeight="1">
      <c r="B32" s="80">
        <v>715</v>
      </c>
      <c r="C32" s="93" t="str">
        <f>IF(MasterSheet!$A$1=1,MasterSheet!C98,MasterSheet!B98)</f>
        <v>Ostali prihodi</v>
      </c>
      <c r="D32" s="193">
        <v>28702244.289999999</v>
      </c>
      <c r="E32" s="240">
        <f t="shared" si="1"/>
        <v>0.59584074007182741</v>
      </c>
      <c r="F32" s="193">
        <v>29581442.065193646</v>
      </c>
      <c r="G32" s="240">
        <f t="shared" si="2"/>
        <v>0.61409233906694161</v>
      </c>
      <c r="H32" s="195">
        <f t="shared" si="3"/>
        <v>-879197.77519364655</v>
      </c>
      <c r="I32" s="180">
        <f t="shared" si="4"/>
        <v>-2.9721261500910288</v>
      </c>
      <c r="J32" s="193">
        <v>61250952.480000004</v>
      </c>
      <c r="K32" s="240">
        <f t="shared" si="5"/>
        <v>1.3135524872399744</v>
      </c>
      <c r="L32" s="195">
        <f t="shared" si="6"/>
        <v>-32548708.190000005</v>
      </c>
      <c r="M32" s="180">
        <f t="shared" si="0"/>
        <v>-53.139921702651051</v>
      </c>
      <c r="BM32" s="81"/>
      <c r="BN32" s="81"/>
      <c r="BO32" s="81"/>
      <c r="BP32" s="81"/>
      <c r="BQ32" s="81"/>
    </row>
    <row r="33" spans="1:70">
      <c r="B33" s="80">
        <v>73</v>
      </c>
      <c r="C33" s="101" t="str">
        <f>IF(MasterSheet!$A$1=1,MasterSheet!C103,MasterSheet!B103)</f>
        <v xml:space="preserve">Primici od otplate kredita </v>
      </c>
      <c r="D33" s="193">
        <v>4775383.3</v>
      </c>
      <c r="E33" s="240">
        <f t="shared" si="1"/>
        <v>9.9133987253741881E-2</v>
      </c>
      <c r="F33" s="193">
        <v>4143986.8926909333</v>
      </c>
      <c r="G33" s="240">
        <f t="shared" si="2"/>
        <v>8.6026590535611319E-2</v>
      </c>
      <c r="H33" s="195">
        <f t="shared" si="3"/>
        <v>631396.4073090665</v>
      </c>
      <c r="I33" s="180">
        <f t="shared" si="4"/>
        <v>15.236447982562609</v>
      </c>
      <c r="J33" s="193">
        <v>5587769.7700000005</v>
      </c>
      <c r="K33" s="240">
        <f t="shared" si="5"/>
        <v>0.11983207741797126</v>
      </c>
      <c r="L33" s="195">
        <f t="shared" si="6"/>
        <v>-812386.47000000067</v>
      </c>
      <c r="M33" s="180">
        <f t="shared" si="0"/>
        <v>-14.53865322729645</v>
      </c>
      <c r="BL33" s="100"/>
      <c r="BM33" s="100"/>
      <c r="BN33" s="99"/>
      <c r="BO33" s="116"/>
      <c r="BP33" s="116"/>
      <c r="BQ33" s="116"/>
      <c r="BR33" s="115"/>
    </row>
    <row r="34" spans="1:70" ht="13.5" customHeight="1" thickBot="1">
      <c r="B34" s="80">
        <v>74</v>
      </c>
      <c r="C34" s="93" t="s">
        <v>122</v>
      </c>
      <c r="D34" s="193">
        <v>22989096.359999996</v>
      </c>
      <c r="E34" s="240">
        <f t="shared" si="1"/>
        <v>0.47723934234290327</v>
      </c>
      <c r="F34" s="193">
        <v>22471745.560615223</v>
      </c>
      <c r="G34" s="240">
        <f t="shared" si="2"/>
        <v>0.46649946151450505</v>
      </c>
      <c r="H34" s="195">
        <f t="shared" si="3"/>
        <v>517350.79938477278</v>
      </c>
      <c r="I34" s="180">
        <f t="shared" si="4"/>
        <v>2.302227915447304</v>
      </c>
      <c r="J34" s="193">
        <v>16912579.950000003</v>
      </c>
      <c r="K34" s="240">
        <f t="shared" si="5"/>
        <v>0.36269740403173928</v>
      </c>
      <c r="L34" s="195">
        <f t="shared" si="6"/>
        <v>6076516.4099999927</v>
      </c>
      <c r="M34" s="180">
        <f t="shared" si="0"/>
        <v>35.928973745959979</v>
      </c>
      <c r="BM34" s="130"/>
      <c r="BN34" s="130"/>
      <c r="BO34" s="116"/>
      <c r="BP34" s="116"/>
      <c r="BQ34" s="116"/>
      <c r="BR34" s="115"/>
    </row>
    <row r="35" spans="1:70" ht="15" customHeight="1" thickTop="1" thickBot="1">
      <c r="B35" s="102"/>
      <c r="C35" s="90" t="s">
        <v>456</v>
      </c>
      <c r="D35" s="243">
        <f>+D37+D47+D53+SUM(D56:D61)</f>
        <v>1376541027.2900002</v>
      </c>
      <c r="E35" s="179">
        <f t="shared" si="1"/>
        <v>28.576135585518266</v>
      </c>
      <c r="F35" s="243">
        <f>+F37+F47+F53+SUM(F56:F61)</f>
        <v>1519743214.4375002</v>
      </c>
      <c r="G35" s="244">
        <f t="shared" si="2"/>
        <v>31.548923925961681</v>
      </c>
      <c r="H35" s="243">
        <f t="shared" si="3"/>
        <v>-143202187.14750004</v>
      </c>
      <c r="I35" s="179">
        <f t="shared" si="4"/>
        <v>-9.4227883886623118</v>
      </c>
      <c r="J35" s="243">
        <f>+J37+J47+J53+SUM(J56:J60)</f>
        <v>1313611388.3699999</v>
      </c>
      <c r="K35" s="179">
        <f t="shared" si="5"/>
        <v>28.17094978275788</v>
      </c>
      <c r="L35" s="243">
        <f t="shared" si="6"/>
        <v>62929638.920000315</v>
      </c>
      <c r="M35" s="179">
        <f t="shared" si="0"/>
        <v>4.7905826241417344</v>
      </c>
      <c r="BM35" s="81"/>
      <c r="BN35" s="81"/>
      <c r="BO35" s="116"/>
      <c r="BP35" s="116"/>
      <c r="BQ35" s="116"/>
      <c r="BR35" s="115"/>
    </row>
    <row r="36" spans="1:70" ht="13.5" customHeight="1" thickTop="1" thickBot="1">
      <c r="C36" s="165" t="s">
        <v>445</v>
      </c>
      <c r="D36" s="243">
        <f>+D35-D56</f>
        <v>1216554698.6500001</v>
      </c>
      <c r="E36" s="179">
        <f t="shared" si="1"/>
        <v>25.254918906603564</v>
      </c>
      <c r="F36" s="243">
        <f>+F35-F56</f>
        <v>1279049464.5275002</v>
      </c>
      <c r="G36" s="244">
        <f t="shared" si="2"/>
        <v>26.552271377540432</v>
      </c>
      <c r="H36" s="243">
        <f t="shared" si="3"/>
        <v>-62494765.877500057</v>
      </c>
      <c r="I36" s="179">
        <f t="shared" si="4"/>
        <v>-4.886031980052195</v>
      </c>
      <c r="J36" s="245">
        <f>+J35-J56</f>
        <v>1166805515.6199999</v>
      </c>
      <c r="K36" s="179">
        <f t="shared" si="5"/>
        <v>25.02263597726785</v>
      </c>
      <c r="L36" s="243">
        <f t="shared" ref="L36:L75" si="7">+D36-J36</f>
        <v>49749183.03000021</v>
      </c>
      <c r="M36" s="179">
        <f t="shared" si="0"/>
        <v>4.2637082499190342</v>
      </c>
      <c r="N36" s="162"/>
      <c r="O36" s="162"/>
      <c r="BM36" s="130"/>
      <c r="BN36" s="130"/>
      <c r="BO36" s="116"/>
      <c r="BP36" s="116"/>
      <c r="BQ36" s="116"/>
      <c r="BR36" s="115"/>
    </row>
    <row r="37" spans="1:70" ht="13.5" customHeight="1" thickTop="1">
      <c r="A37" s="80">
        <v>41</v>
      </c>
      <c r="B37" s="80">
        <v>41</v>
      </c>
      <c r="C37" s="93" t="s">
        <v>62</v>
      </c>
      <c r="D37" s="204">
        <f>+SUM(D38:D46)</f>
        <v>603594875.94000018</v>
      </c>
      <c r="E37" s="240">
        <f t="shared" si="1"/>
        <v>12.53025421809803</v>
      </c>
      <c r="F37" s="204">
        <f>+SUM(F38:F46)</f>
        <v>652694826.47250021</v>
      </c>
      <c r="G37" s="246">
        <f t="shared" si="2"/>
        <v>13.54953865339105</v>
      </c>
      <c r="H37" s="205">
        <f t="shared" si="3"/>
        <v>-49099950.532500029</v>
      </c>
      <c r="I37" s="180">
        <f t="shared" si="4"/>
        <v>-7.522650485505082</v>
      </c>
      <c r="J37" s="204">
        <f>+SUM(J38:J46)</f>
        <v>591632003.34000003</v>
      </c>
      <c r="K37" s="240">
        <f t="shared" si="5"/>
        <v>12.687797626849667</v>
      </c>
      <c r="L37" s="205">
        <f t="shared" si="7"/>
        <v>11962872.600000143</v>
      </c>
      <c r="M37" s="180">
        <f t="shared" si="0"/>
        <v>2.0220124219895013</v>
      </c>
      <c r="BM37" s="130"/>
      <c r="BN37" s="130"/>
      <c r="BO37" s="116"/>
      <c r="BP37" s="116"/>
      <c r="BQ37" s="116"/>
      <c r="BR37" s="115"/>
    </row>
    <row r="38" spans="1:70" ht="13.5" customHeight="1">
      <c r="B38" s="80">
        <v>411</v>
      </c>
      <c r="C38" s="163" t="s">
        <v>63</v>
      </c>
      <c r="D38" s="251">
        <v>350689855.90000004</v>
      </c>
      <c r="E38" s="240">
        <f t="shared" si="1"/>
        <v>7.2801032965892354</v>
      </c>
      <c r="F38" s="193">
        <v>354981087.26500005</v>
      </c>
      <c r="G38" s="246">
        <f t="shared" si="2"/>
        <v>7.3691865907911405</v>
      </c>
      <c r="H38" s="195">
        <f>+D38-F38</f>
        <v>-4291231.3650000095</v>
      </c>
      <c r="I38" s="180">
        <f t="shared" si="4"/>
        <v>-1.2088619701016654</v>
      </c>
      <c r="J38" s="193">
        <v>340115718.94</v>
      </c>
      <c r="K38" s="240">
        <f t="shared" si="5"/>
        <v>7.2939249182929444</v>
      </c>
      <c r="L38" s="195">
        <f t="shared" si="7"/>
        <v>10574136.960000038</v>
      </c>
      <c r="M38" s="180">
        <f t="shared" si="0"/>
        <v>3.1089821408299798</v>
      </c>
      <c r="BM38" s="130"/>
      <c r="BN38" s="130"/>
      <c r="BO38" s="116"/>
      <c r="BP38" s="116"/>
      <c r="BQ38" s="116"/>
      <c r="BR38" s="115"/>
    </row>
    <row r="39" spans="1:70" ht="13.5" customHeight="1">
      <c r="B39" s="80">
        <v>412</v>
      </c>
      <c r="C39" s="163" t="s">
        <v>74</v>
      </c>
      <c r="D39" s="252">
        <v>9067522.4299999997</v>
      </c>
      <c r="E39" s="240">
        <f t="shared" si="1"/>
        <v>0.18823612609246226</v>
      </c>
      <c r="F39" s="193">
        <v>11359195.2875</v>
      </c>
      <c r="G39" s="246">
        <f t="shared" si="2"/>
        <v>0.23580982930601399</v>
      </c>
      <c r="H39" s="195">
        <f t="shared" si="3"/>
        <v>-2291672.8574999999</v>
      </c>
      <c r="I39" s="180">
        <f t="shared" si="4"/>
        <v>-20.174605678465852</v>
      </c>
      <c r="J39" s="193">
        <v>7751391.4900000002</v>
      </c>
      <c r="K39" s="240">
        <f t="shared" si="5"/>
        <v>0.16623185695903925</v>
      </c>
      <c r="L39" s="195">
        <f t="shared" si="7"/>
        <v>1316130.9399999995</v>
      </c>
      <c r="M39" s="180">
        <f t="shared" si="0"/>
        <v>16.979286128147805</v>
      </c>
      <c r="BM39" s="130"/>
      <c r="BN39" s="130"/>
      <c r="BO39" s="116"/>
      <c r="BP39" s="116"/>
      <c r="BQ39" s="116"/>
      <c r="BR39" s="115"/>
    </row>
    <row r="40" spans="1:70" ht="13.5" customHeight="1">
      <c r="B40" s="80">
        <v>413</v>
      </c>
      <c r="C40" s="163" t="s">
        <v>76</v>
      </c>
      <c r="D40" s="252">
        <v>68521022.710000008</v>
      </c>
      <c r="E40" s="240">
        <f t="shared" si="1"/>
        <v>1.4224538147433103</v>
      </c>
      <c r="F40" s="193">
        <v>75486402.199999988</v>
      </c>
      <c r="G40" s="246">
        <f t="shared" si="2"/>
        <v>1.5670507608312054</v>
      </c>
      <c r="H40" s="195">
        <f t="shared" si="3"/>
        <v>-6965379.4899999797</v>
      </c>
      <c r="I40" s="180">
        <f t="shared" si="4"/>
        <v>-9.2273300713753912</v>
      </c>
      <c r="J40" s="193">
        <v>68751867.789999992</v>
      </c>
      <c r="K40" s="240">
        <f t="shared" si="5"/>
        <v>1.4744127769676172</v>
      </c>
      <c r="L40" s="195">
        <f t="shared" si="7"/>
        <v>-230845.07999998331</v>
      </c>
      <c r="M40" s="180">
        <f t="shared" si="0"/>
        <v>-0.33576553978880952</v>
      </c>
      <c r="BM40" s="130"/>
      <c r="BN40" s="130"/>
      <c r="BO40" s="116"/>
      <c r="BP40" s="116"/>
      <c r="BQ40" s="116"/>
      <c r="BR40" s="115"/>
    </row>
    <row r="41" spans="1:70" ht="13.5" customHeight="1">
      <c r="B41" s="80">
        <v>415</v>
      </c>
      <c r="C41" s="163" t="s">
        <v>430</v>
      </c>
      <c r="D41" s="252">
        <v>12787106.300000001</v>
      </c>
      <c r="E41" s="240">
        <f t="shared" si="1"/>
        <v>0.26545237383487996</v>
      </c>
      <c r="F41" s="193">
        <v>17355445.824999999</v>
      </c>
      <c r="G41" s="246">
        <f t="shared" si="2"/>
        <v>0.36028826109069767</v>
      </c>
      <c r="H41" s="195">
        <f t="shared" si="3"/>
        <v>-4568339.5249999985</v>
      </c>
      <c r="I41" s="180">
        <f t="shared" si="4"/>
        <v>-26.322225145144031</v>
      </c>
      <c r="J41" s="193">
        <v>13156245.33</v>
      </c>
      <c r="K41" s="240">
        <f t="shared" si="5"/>
        <v>0.28214122517692469</v>
      </c>
      <c r="L41" s="195">
        <f t="shared" si="7"/>
        <v>-369139.02999999933</v>
      </c>
      <c r="M41" s="180">
        <f t="shared" si="0"/>
        <v>-2.8058083498812323</v>
      </c>
      <c r="BM41" s="130"/>
      <c r="BN41" s="130"/>
      <c r="BO41" s="116"/>
      <c r="BP41" s="116"/>
      <c r="BQ41" s="116"/>
      <c r="BR41" s="115"/>
    </row>
    <row r="42" spans="1:70" ht="13.5" customHeight="1">
      <c r="B42" s="80">
        <v>416</v>
      </c>
      <c r="C42" s="163" t="s">
        <v>79</v>
      </c>
      <c r="D42" s="252">
        <v>83053577.350000009</v>
      </c>
      <c r="E42" s="240">
        <f t="shared" si="1"/>
        <v>1.7241406105333086</v>
      </c>
      <c r="F42" s="193">
        <v>84790322.819999993</v>
      </c>
      <c r="G42" s="246">
        <f t="shared" si="2"/>
        <v>1.7601943663199848</v>
      </c>
      <c r="H42" s="195">
        <f t="shared" si="3"/>
        <v>-1736745.4699999839</v>
      </c>
      <c r="I42" s="180">
        <f t="shared" si="4"/>
        <v>-2.0482826485834948</v>
      </c>
      <c r="J42" s="193">
        <v>86097723.319999978</v>
      </c>
      <c r="K42" s="240">
        <f t="shared" si="5"/>
        <v>1.8464019583958819</v>
      </c>
      <c r="L42" s="195">
        <f t="shared" si="7"/>
        <v>-3044145.969999969</v>
      </c>
      <c r="M42" s="180">
        <f t="shared" si="0"/>
        <v>-3.5356869527034718</v>
      </c>
      <c r="BM42" s="130"/>
      <c r="BN42" s="130"/>
      <c r="BO42" s="116"/>
      <c r="BP42" s="116"/>
      <c r="BQ42" s="116"/>
      <c r="BR42" s="115"/>
    </row>
    <row r="43" spans="1:70" ht="13.5" customHeight="1">
      <c r="B43" s="80">
        <v>417</v>
      </c>
      <c r="C43" s="163" t="s">
        <v>81</v>
      </c>
      <c r="D43" s="252">
        <v>7407218.8200000003</v>
      </c>
      <c r="E43" s="240">
        <f t="shared" si="1"/>
        <v>0.15376925577629694</v>
      </c>
      <c r="F43" s="193">
        <v>7322390.5899999989</v>
      </c>
      <c r="G43" s="246">
        <f t="shared" si="2"/>
        <v>0.15200827448049653</v>
      </c>
      <c r="H43" s="195">
        <f t="shared" si="3"/>
        <v>84828.230000001378</v>
      </c>
      <c r="I43" s="180">
        <f t="shared" si="4"/>
        <v>1.1584772617271994</v>
      </c>
      <c r="J43" s="193">
        <v>6570072.1200000001</v>
      </c>
      <c r="K43" s="240">
        <f t="shared" si="5"/>
        <v>0.14089796525841733</v>
      </c>
      <c r="L43" s="195">
        <f t="shared" si="7"/>
        <v>837146.70000000019</v>
      </c>
      <c r="M43" s="180">
        <f t="shared" si="0"/>
        <v>12.741819035009328</v>
      </c>
      <c r="BM43" s="130"/>
      <c r="BN43" s="130"/>
      <c r="BO43" s="116"/>
      <c r="BP43" s="116"/>
      <c r="BQ43" s="116"/>
      <c r="BR43" s="115"/>
    </row>
    <row r="44" spans="1:70" ht="13.5" customHeight="1">
      <c r="B44" s="80">
        <v>418</v>
      </c>
      <c r="C44" s="163" t="s">
        <v>83</v>
      </c>
      <c r="D44" s="252">
        <v>18961258.32</v>
      </c>
      <c r="E44" s="240">
        <f t="shared" si="1"/>
        <v>0.39362392975026467</v>
      </c>
      <c r="F44" s="193">
        <v>24585837.449999996</v>
      </c>
      <c r="G44" s="246">
        <f t="shared" si="2"/>
        <v>0.51038669427663941</v>
      </c>
      <c r="H44" s="195">
        <f t="shared" si="3"/>
        <v>-5624579.1299999952</v>
      </c>
      <c r="I44" s="180">
        <f t="shared" si="4"/>
        <v>-22.877313581197527</v>
      </c>
      <c r="J44" s="193">
        <v>17985849.389999997</v>
      </c>
      <c r="K44" s="240">
        <f t="shared" si="5"/>
        <v>0.38571411945099715</v>
      </c>
      <c r="L44" s="195">
        <f t="shared" si="7"/>
        <v>975408.93000000343</v>
      </c>
      <c r="M44" s="180">
        <f t="shared" si="0"/>
        <v>5.4232019230758368</v>
      </c>
      <c r="BM44" s="130"/>
      <c r="BN44" s="130"/>
      <c r="BO44" s="116"/>
      <c r="BP44" s="116"/>
      <c r="BQ44" s="116"/>
      <c r="BR44" s="115"/>
    </row>
    <row r="45" spans="1:70" ht="13.5" customHeight="1">
      <c r="B45" s="80">
        <v>419</v>
      </c>
      <c r="C45" s="163" t="s">
        <v>85</v>
      </c>
      <c r="D45" s="252">
        <v>30283143.110000003</v>
      </c>
      <c r="E45" s="240">
        <f t="shared" si="1"/>
        <v>0.62865921633347877</v>
      </c>
      <c r="F45" s="193">
        <v>32289446.38750001</v>
      </c>
      <c r="G45" s="246">
        <f t="shared" si="2"/>
        <v>0.6703088245521166</v>
      </c>
      <c r="H45" s="195">
        <f t="shared" si="3"/>
        <v>-2006303.2775000073</v>
      </c>
      <c r="I45" s="180">
        <f t="shared" si="4"/>
        <v>-6.2134954356996843</v>
      </c>
      <c r="J45" s="193">
        <v>24857600.639999997</v>
      </c>
      <c r="K45" s="240">
        <f>+J44/$J$11*100</f>
        <v>0.38571411945099715</v>
      </c>
      <c r="L45" s="195">
        <f t="shared" si="7"/>
        <v>5425542.4700000063</v>
      </c>
      <c r="M45" s="180">
        <f t="shared" si="0"/>
        <v>21.826493025515134</v>
      </c>
      <c r="BM45" s="130"/>
      <c r="BN45" s="130"/>
      <c r="BO45" s="116"/>
      <c r="BP45" s="116"/>
      <c r="BQ45" s="116"/>
      <c r="BR45" s="115"/>
    </row>
    <row r="46" spans="1:70" ht="13.5" customHeight="1">
      <c r="B46" s="80">
        <v>441</v>
      </c>
      <c r="C46" s="93" t="s">
        <v>129</v>
      </c>
      <c r="D46" s="247">
        <v>22824171.000000004</v>
      </c>
      <c r="E46" s="248">
        <f t="shared" si="1"/>
        <v>0.47381559444479054</v>
      </c>
      <c r="F46" s="193">
        <v>44524698.647500008</v>
      </c>
      <c r="G46" s="246">
        <f t="shared" si="2"/>
        <v>0.92430505174274991</v>
      </c>
      <c r="H46" s="195">
        <f t="shared" si="3"/>
        <v>-21700527.647500005</v>
      </c>
      <c r="I46" s="182">
        <f t="shared" si="4"/>
        <v>-48.738179722005725</v>
      </c>
      <c r="J46" s="193">
        <v>26345534.320000004</v>
      </c>
      <c r="K46" s="248">
        <f>+J45/$J$11*100</f>
        <v>0.53308172078061322</v>
      </c>
      <c r="L46" s="195">
        <f t="shared" si="7"/>
        <v>-3521363.3200000003</v>
      </c>
      <c r="M46" s="182">
        <f t="shared" si="0"/>
        <v>-13.36607288821159</v>
      </c>
      <c r="BM46" s="130"/>
      <c r="BN46" s="130"/>
      <c r="BO46" s="116"/>
      <c r="BP46" s="116"/>
      <c r="BQ46" s="116"/>
      <c r="BR46" s="115"/>
    </row>
    <row r="47" spans="1:70" ht="13.5" customHeight="1">
      <c r="A47" s="80">
        <v>42</v>
      </c>
      <c r="B47" s="80">
        <v>42</v>
      </c>
      <c r="C47" s="93" t="s">
        <v>86</v>
      </c>
      <c r="D47" s="193">
        <f>+SUM(D48:D52)</f>
        <v>409354319.35000002</v>
      </c>
      <c r="E47" s="240">
        <f t="shared" si="1"/>
        <v>8.4979410713915016</v>
      </c>
      <c r="F47" s="193">
        <f>+SUM(F48:F52)</f>
        <v>415854048.38999999</v>
      </c>
      <c r="G47" s="246">
        <f t="shared" si="2"/>
        <v>8.6328714037491423</v>
      </c>
      <c r="H47" s="205">
        <f t="shared" si="3"/>
        <v>-6499729.0399999619</v>
      </c>
      <c r="I47" s="180">
        <f t="shared" si="4"/>
        <v>-1.5629832305742752</v>
      </c>
      <c r="J47" s="193">
        <f>+SUM(J48:J52)</f>
        <v>401668860.71999997</v>
      </c>
      <c r="K47" s="240">
        <f t="shared" si="5"/>
        <v>8.6139579824147532</v>
      </c>
      <c r="L47" s="205">
        <f t="shared" si="7"/>
        <v>7685458.6300000548</v>
      </c>
      <c r="M47" s="180">
        <f t="shared" si="0"/>
        <v>1.9133817384359162</v>
      </c>
      <c r="BM47" s="130"/>
      <c r="BN47" s="130"/>
      <c r="BO47" s="116"/>
      <c r="BP47" s="116"/>
      <c r="BQ47" s="116"/>
      <c r="BR47" s="115"/>
    </row>
    <row r="48" spans="1:70" ht="13.5" customHeight="1">
      <c r="B48" s="80">
        <v>421</v>
      </c>
      <c r="C48" s="97" t="s">
        <v>88</v>
      </c>
      <c r="D48" s="198">
        <v>59182028.149999991</v>
      </c>
      <c r="E48" s="242">
        <f t="shared" si="1"/>
        <v>1.2285820960744016</v>
      </c>
      <c r="F48" s="198">
        <v>60742175.000000015</v>
      </c>
      <c r="G48" s="249">
        <f t="shared" si="2"/>
        <v>1.260969774345561</v>
      </c>
      <c r="H48" s="200">
        <f t="shared" si="3"/>
        <v>-1560146.8500000238</v>
      </c>
      <c r="I48" s="181">
        <f t="shared" si="4"/>
        <v>-2.5684737993001079</v>
      </c>
      <c r="J48" s="250">
        <v>57665219.339999996</v>
      </c>
      <c r="K48" s="242">
        <f t="shared" si="5"/>
        <v>1.236654929015655</v>
      </c>
      <c r="L48" s="200">
        <f t="shared" si="7"/>
        <v>1516808.8099999949</v>
      </c>
      <c r="M48" s="181">
        <f t="shared" si="0"/>
        <v>2.6303703122270861</v>
      </c>
      <c r="BM48" s="130"/>
      <c r="BN48" s="130"/>
      <c r="BO48" s="116"/>
      <c r="BP48" s="116"/>
      <c r="BQ48" s="116"/>
      <c r="BR48" s="115"/>
    </row>
    <row r="49" spans="1:70" ht="13.5" customHeight="1">
      <c r="B49" s="80">
        <v>422</v>
      </c>
      <c r="C49" s="97" t="s">
        <v>90</v>
      </c>
      <c r="D49" s="198">
        <v>10963721.089999998</v>
      </c>
      <c r="E49" s="242">
        <f t="shared" si="1"/>
        <v>0.22760003093147324</v>
      </c>
      <c r="F49" s="198">
        <v>11124286.76</v>
      </c>
      <c r="G49" s="249">
        <f t="shared" si="2"/>
        <v>0.23093327437669967</v>
      </c>
      <c r="H49" s="200">
        <f t="shared" si="3"/>
        <v>-160565.67000000179</v>
      </c>
      <c r="I49" s="181">
        <f t="shared" si="4"/>
        <v>-1.4433794585137321</v>
      </c>
      <c r="J49" s="250">
        <v>8986781.6399999987</v>
      </c>
      <c r="K49" s="242">
        <f t="shared" si="5"/>
        <v>0.19272531932232465</v>
      </c>
      <c r="L49" s="200">
        <f t="shared" si="7"/>
        <v>1976939.4499999993</v>
      </c>
      <c r="M49" s="181">
        <f t="shared" si="0"/>
        <v>21.998302943076737</v>
      </c>
      <c r="BM49" s="130"/>
      <c r="BN49" s="130"/>
      <c r="BO49" s="116"/>
      <c r="BP49" s="116"/>
      <c r="BQ49" s="116"/>
      <c r="BR49" s="115"/>
    </row>
    <row r="50" spans="1:70" ht="13.5" customHeight="1">
      <c r="B50" s="80">
        <v>423</v>
      </c>
      <c r="C50" s="97" t="s">
        <v>92</v>
      </c>
      <c r="D50" s="198">
        <v>316011984.42000002</v>
      </c>
      <c r="E50" s="242">
        <f t="shared" si="1"/>
        <v>6.5602122526001132</v>
      </c>
      <c r="F50" s="198">
        <v>321768760.86000001</v>
      </c>
      <c r="G50" s="249">
        <f t="shared" si="2"/>
        <v>6.6797193510618431</v>
      </c>
      <c r="H50" s="200">
        <f t="shared" si="3"/>
        <v>-5756776.4399999976</v>
      </c>
      <c r="I50" s="181">
        <f t="shared" si="4"/>
        <v>-1.7891035862567009</v>
      </c>
      <c r="J50" s="250">
        <v>311063911.84999996</v>
      </c>
      <c r="K50" s="242">
        <f t="shared" si="5"/>
        <v>6.6708966727428685</v>
      </c>
      <c r="L50" s="200">
        <f t="shared" si="7"/>
        <v>4948072.5700000525</v>
      </c>
      <c r="M50" s="181">
        <f t="shared" si="0"/>
        <v>1.5906932246084722</v>
      </c>
      <c r="BM50" s="130"/>
      <c r="BN50" s="130"/>
      <c r="BO50" s="116"/>
      <c r="BP50" s="116"/>
      <c r="BQ50" s="116"/>
      <c r="BR50" s="115"/>
    </row>
    <row r="51" spans="1:70" ht="13.5" customHeight="1">
      <c r="B51" s="80">
        <v>424</v>
      </c>
      <c r="C51" s="97" t="s">
        <v>94</v>
      </c>
      <c r="D51" s="198">
        <v>15065425.640000001</v>
      </c>
      <c r="E51" s="242">
        <f t="shared" si="1"/>
        <v>0.31274886633036475</v>
      </c>
      <c r="F51" s="198">
        <v>14250075.02</v>
      </c>
      <c r="G51" s="249">
        <f t="shared" si="2"/>
        <v>0.29582269456727078</v>
      </c>
      <c r="H51" s="200">
        <f t="shared" si="3"/>
        <v>815350.62000000104</v>
      </c>
      <c r="I51" s="181">
        <f t="shared" si="4"/>
        <v>5.721728614450484</v>
      </c>
      <c r="J51" s="250">
        <v>13953541.960000001</v>
      </c>
      <c r="K51" s="242">
        <f t="shared" si="5"/>
        <v>0.29923958739009221</v>
      </c>
      <c r="L51" s="200">
        <f t="shared" si="7"/>
        <v>1111883.6799999997</v>
      </c>
      <c r="M51" s="181">
        <f t="shared" si="0"/>
        <v>7.9684691040266813</v>
      </c>
      <c r="BM51" s="130"/>
      <c r="BN51" s="130"/>
      <c r="BO51" s="116"/>
      <c r="BP51" s="116"/>
      <c r="BQ51" s="116"/>
      <c r="BR51" s="115"/>
    </row>
    <row r="52" spans="1:70" ht="13.5" customHeight="1">
      <c r="B52" s="80">
        <v>425</v>
      </c>
      <c r="C52" s="97" t="s">
        <v>431</v>
      </c>
      <c r="D52" s="198">
        <v>8131160.0500000007</v>
      </c>
      <c r="E52" s="242">
        <f t="shared" si="1"/>
        <v>0.16879782545514938</v>
      </c>
      <c r="F52" s="198">
        <v>7968750.75</v>
      </c>
      <c r="G52" s="249">
        <f t="shared" si="2"/>
        <v>0.16542630939777045</v>
      </c>
      <c r="H52" s="200">
        <f t="shared" si="3"/>
        <v>162409.30000000075</v>
      </c>
      <c r="I52" s="181">
        <f t="shared" si="4"/>
        <v>2.0380772983770328</v>
      </c>
      <c r="J52" s="250">
        <v>9999405.9299999997</v>
      </c>
      <c r="K52" s="242">
        <f t="shared" si="5"/>
        <v>0.21444147394381299</v>
      </c>
      <c r="L52" s="200">
        <f t="shared" si="7"/>
        <v>-1868245.879999999</v>
      </c>
      <c r="M52" s="181">
        <f t="shared" si="0"/>
        <v>-18.683568734767817</v>
      </c>
      <c r="BM52" s="130"/>
      <c r="BN52" s="130"/>
      <c r="BO52" s="116"/>
      <c r="BP52" s="116"/>
      <c r="BQ52" s="116"/>
      <c r="BR52" s="115"/>
    </row>
    <row r="53" spans="1:70" ht="13.5" customHeight="1" thickBot="1">
      <c r="A53" s="80">
        <v>43</v>
      </c>
      <c r="B53" s="80">
        <v>431</v>
      </c>
      <c r="C53" s="93" t="s">
        <v>432</v>
      </c>
      <c r="D53" s="193">
        <v>161398172.50999999</v>
      </c>
      <c r="E53" s="240">
        <f t="shared" si="1"/>
        <v>3.3505256795582401</v>
      </c>
      <c r="F53" s="193">
        <v>167132778.54499999</v>
      </c>
      <c r="G53" s="246">
        <f t="shared" si="2"/>
        <v>3.4695725342010748</v>
      </c>
      <c r="H53" s="205">
        <f t="shared" si="3"/>
        <v>-5734606.0349999964</v>
      </c>
      <c r="I53" s="180">
        <f t="shared" si="4"/>
        <v>-3.4311677726676351</v>
      </c>
      <c r="J53" s="193">
        <v>140860830.34999999</v>
      </c>
      <c r="K53" s="240">
        <f t="shared" si="5"/>
        <v>3.0208198659661161</v>
      </c>
      <c r="L53" s="205">
        <f t="shared" si="7"/>
        <v>20537342.159999996</v>
      </c>
      <c r="M53" s="180">
        <f t="shared" si="0"/>
        <v>14.579881510687116</v>
      </c>
      <c r="BM53" s="130"/>
      <c r="BN53" s="130"/>
      <c r="BO53" s="116"/>
      <c r="BP53" s="116"/>
      <c r="BQ53" s="116"/>
      <c r="BR53" s="115"/>
    </row>
    <row r="54" spans="1:70" ht="13.5" hidden="1" customHeight="1">
      <c r="C54" s="163" t="s">
        <v>432</v>
      </c>
      <c r="D54" s="251">
        <v>203620929.09</v>
      </c>
      <c r="E54" s="240">
        <f t="shared" si="1"/>
        <v>4.2270438456747836</v>
      </c>
      <c r="F54" s="252">
        <v>200961211.56999999</v>
      </c>
      <c r="G54" s="246">
        <f t="shared" si="2"/>
        <v>4.1718297641734656</v>
      </c>
      <c r="H54" s="253">
        <f t="shared" si="3"/>
        <v>2659717.5200000107</v>
      </c>
      <c r="I54" s="183">
        <f t="shared" si="4"/>
        <v>1.3234979522769947</v>
      </c>
      <c r="J54" s="252">
        <v>164834834.72999999</v>
      </c>
      <c r="K54" s="240">
        <f t="shared" si="5"/>
        <v>3.5349524926013296</v>
      </c>
      <c r="L54" s="253">
        <f t="shared" si="7"/>
        <v>38786094.360000014</v>
      </c>
      <c r="M54" s="183">
        <f t="shared" si="0"/>
        <v>23.530277701028297</v>
      </c>
      <c r="BM54" s="130"/>
      <c r="BN54" s="130"/>
      <c r="BO54" s="116"/>
      <c r="BP54" s="116"/>
      <c r="BQ54" s="116"/>
      <c r="BR54" s="115"/>
    </row>
    <row r="55" spans="1:70" ht="13.5" hidden="1" customHeight="1" thickBot="1">
      <c r="C55" s="163" t="s">
        <v>459</v>
      </c>
      <c r="D55" s="254">
        <v>5108691.13</v>
      </c>
      <c r="E55" s="240">
        <f t="shared" si="1"/>
        <v>0.10605325050341491</v>
      </c>
      <c r="F55" s="252">
        <v>5723027.120000001</v>
      </c>
      <c r="G55" s="246">
        <f t="shared" si="2"/>
        <v>0.11880648356895229</v>
      </c>
      <c r="H55" s="253">
        <f t="shared" si="3"/>
        <v>-614335.99000000115</v>
      </c>
      <c r="I55" s="183">
        <f t="shared" si="4"/>
        <v>-10.734458829543357</v>
      </c>
      <c r="J55" s="252">
        <v>2046290.03</v>
      </c>
      <c r="K55" s="240">
        <f t="shared" si="5"/>
        <v>4.3883552005146903E-2</v>
      </c>
      <c r="L55" s="253">
        <f t="shared" si="7"/>
        <v>3062401.0999999996</v>
      </c>
      <c r="M55" s="183">
        <f t="shared" si="0"/>
        <v>149.65625864873124</v>
      </c>
      <c r="BM55" s="130"/>
      <c r="BN55" s="130"/>
      <c r="BO55" s="116"/>
      <c r="BP55" s="116"/>
      <c r="BQ55" s="116"/>
      <c r="BR55" s="115"/>
    </row>
    <row r="56" spans="1:70" ht="13.5" customHeight="1" thickTop="1" thickBot="1">
      <c r="B56" s="80">
        <v>44</v>
      </c>
      <c r="C56" s="90" t="s">
        <v>130</v>
      </c>
      <c r="D56" s="255">
        <v>159986328.64000002</v>
      </c>
      <c r="E56" s="179">
        <f t="shared" si="1"/>
        <v>3.3212166789146997</v>
      </c>
      <c r="F56" s="245">
        <v>240693749.90999997</v>
      </c>
      <c r="G56" s="244">
        <f t="shared" si="2"/>
        <v>4.996652548421249</v>
      </c>
      <c r="H56" s="245">
        <f t="shared" si="3"/>
        <v>-80707421.269999951</v>
      </c>
      <c r="I56" s="179">
        <f t="shared" si="4"/>
        <v>-33.531166181165077</v>
      </c>
      <c r="J56" s="245">
        <v>146805872.75</v>
      </c>
      <c r="K56" s="179">
        <f t="shared" si="5"/>
        <v>3.1483138054900279</v>
      </c>
      <c r="L56" s="245">
        <f>+D56-J56</f>
        <v>13180455.890000015</v>
      </c>
      <c r="M56" s="179">
        <f t="shared" si="0"/>
        <v>8.9781530146586022</v>
      </c>
      <c r="BM56" s="130"/>
      <c r="BN56" s="130"/>
      <c r="BO56" s="116"/>
      <c r="BP56" s="116"/>
      <c r="BQ56" s="116"/>
      <c r="BR56" s="115"/>
    </row>
    <row r="57" spans="1:70" ht="13.5" customHeight="1" thickTop="1">
      <c r="B57" s="80">
        <v>451</v>
      </c>
      <c r="C57" s="93" t="s">
        <v>110</v>
      </c>
      <c r="D57" s="193">
        <v>2084501.98</v>
      </c>
      <c r="E57" s="240">
        <f t="shared" si="1"/>
        <v>4.3272964646779183E-2</v>
      </c>
      <c r="F57" s="193">
        <v>1710000.7499999998</v>
      </c>
      <c r="G57" s="246">
        <f t="shared" si="2"/>
        <v>3.5498552033381078E-2</v>
      </c>
      <c r="H57" s="195">
        <f t="shared" si="3"/>
        <v>374501.23000000021</v>
      </c>
      <c r="I57" s="180">
        <f t="shared" si="4"/>
        <v>21.900647119599228</v>
      </c>
      <c r="J57" s="193">
        <v>1944281</v>
      </c>
      <c r="K57" s="240">
        <f t="shared" si="5"/>
        <v>4.1695925369933523E-2</v>
      </c>
      <c r="L57" s="193">
        <f t="shared" si="7"/>
        <v>140220.97999999998</v>
      </c>
      <c r="M57" s="180">
        <f t="shared" si="0"/>
        <v>7.2119709033827917</v>
      </c>
      <c r="BM57" s="130"/>
      <c r="BN57" s="130"/>
      <c r="BO57" s="116"/>
      <c r="BP57" s="116"/>
      <c r="BQ57" s="116"/>
      <c r="BR57" s="115"/>
    </row>
    <row r="58" spans="1:70" ht="13.5" customHeight="1" thickBot="1">
      <c r="B58" s="80">
        <v>47</v>
      </c>
      <c r="C58" s="93" t="s">
        <v>117</v>
      </c>
      <c r="D58" s="193">
        <v>14407054.720000001</v>
      </c>
      <c r="E58" s="240">
        <f t="shared" si="1"/>
        <v>0.29908149550559465</v>
      </c>
      <c r="F58" s="193">
        <v>18048249.999999996</v>
      </c>
      <c r="G58" s="246">
        <f t="shared" si="2"/>
        <v>0.37467044487347151</v>
      </c>
      <c r="H58" s="195">
        <f t="shared" si="3"/>
        <v>-3641195.2799999956</v>
      </c>
      <c r="I58" s="180">
        <f t="shared" si="4"/>
        <v>-20.174783039906899</v>
      </c>
      <c r="J58" s="193">
        <v>12675761.970000001</v>
      </c>
      <c r="K58" s="240">
        <f t="shared" si="5"/>
        <v>0.27183705704482092</v>
      </c>
      <c r="L58" s="193">
        <f t="shared" si="7"/>
        <v>1731292.75</v>
      </c>
      <c r="M58" s="180">
        <f t="shared" si="0"/>
        <v>13.658293316784338</v>
      </c>
      <c r="BM58" s="130"/>
      <c r="BN58" s="130"/>
      <c r="BO58" s="116"/>
      <c r="BP58" s="116"/>
      <c r="BQ58" s="116"/>
      <c r="BR58" s="115"/>
    </row>
    <row r="59" spans="1:70" ht="13.5" customHeight="1" thickTop="1" thickBot="1">
      <c r="B59" s="80">
        <v>462</v>
      </c>
      <c r="C59" s="119" t="s">
        <v>112</v>
      </c>
      <c r="D59" s="207">
        <v>9434699.4100000001</v>
      </c>
      <c r="E59" s="256">
        <f t="shared" si="1"/>
        <v>0.19585849183118473</v>
      </c>
      <c r="F59" s="207">
        <v>9434672.4100000001</v>
      </c>
      <c r="G59" s="257">
        <f t="shared" si="2"/>
        <v>0.19585793132797744</v>
      </c>
      <c r="H59" s="209">
        <f t="shared" si="3"/>
        <v>27</v>
      </c>
      <c r="I59" s="184">
        <f t="shared" si="4"/>
        <v>2.8617845777034745E-4</v>
      </c>
      <c r="J59" s="207">
        <v>0</v>
      </c>
      <c r="K59" s="256">
        <f t="shared" si="5"/>
        <v>0</v>
      </c>
      <c r="L59" s="207">
        <f t="shared" si="7"/>
        <v>9434699.4100000001</v>
      </c>
      <c r="M59" s="184" t="str">
        <f t="shared" ref="M59:M74" si="8">+IF(ISNUMBER(D59/J59*100-100),D59/J59*100-100,"...")</f>
        <v>...</v>
      </c>
      <c r="BM59" s="130"/>
      <c r="BN59" s="130"/>
      <c r="BO59" s="116"/>
      <c r="BP59" s="116"/>
      <c r="BQ59" s="116"/>
      <c r="BR59" s="115"/>
    </row>
    <row r="60" spans="1:70" ht="13.5" customHeight="1" thickTop="1" thickBot="1">
      <c r="B60" s="166" t="s">
        <v>447</v>
      </c>
      <c r="C60" s="161" t="s">
        <v>446</v>
      </c>
      <c r="D60" s="207">
        <v>16281074.739999998</v>
      </c>
      <c r="E60" s="258">
        <f t="shared" si="1"/>
        <v>0.33798498557223222</v>
      </c>
      <c r="F60" s="211">
        <v>14174887.960000001</v>
      </c>
      <c r="G60" s="259">
        <f t="shared" si="2"/>
        <v>0.2942618579643354</v>
      </c>
      <c r="H60" s="213">
        <f>+D60-F60</f>
        <v>2106186.7799999975</v>
      </c>
      <c r="I60" s="185">
        <f>+IF(ISNUMBER(D60/F60*100-100),D60/F60*100-100,"...")</f>
        <v>14.858577972139386</v>
      </c>
      <c r="J60" s="211">
        <v>18023778.240000002</v>
      </c>
      <c r="K60" s="258">
        <f>+J60/$J$11*100</f>
        <v>0.3865275196225606</v>
      </c>
      <c r="L60" s="213">
        <f>+D60-J60</f>
        <v>-1742703.5000000037</v>
      </c>
      <c r="M60" s="184">
        <f t="shared" si="8"/>
        <v>-9.6689133476600233</v>
      </c>
      <c r="BM60" s="130"/>
      <c r="BN60" s="130"/>
      <c r="BO60" s="116"/>
      <c r="BP60" s="116"/>
      <c r="BQ60" s="116"/>
      <c r="BR60" s="115"/>
    </row>
    <row r="61" spans="1:70" ht="13.5" customHeight="1" thickTop="1" thickBot="1">
      <c r="B61" s="80">
        <v>990</v>
      </c>
      <c r="C61" s="155" t="s">
        <v>151</v>
      </c>
      <c r="D61" s="193">
        <v>0</v>
      </c>
      <c r="E61" s="240">
        <f t="shared" si="1"/>
        <v>0</v>
      </c>
      <c r="F61" s="193">
        <v>0</v>
      </c>
      <c r="G61" s="246">
        <f t="shared" si="2"/>
        <v>0</v>
      </c>
      <c r="H61" s="195">
        <f t="shared" si="3"/>
        <v>0</v>
      </c>
      <c r="I61" s="180" t="str">
        <f t="shared" si="4"/>
        <v>...</v>
      </c>
      <c r="J61" s="193">
        <v>0</v>
      </c>
      <c r="K61" s="240">
        <f t="shared" si="5"/>
        <v>0</v>
      </c>
      <c r="L61" s="193">
        <f t="shared" si="7"/>
        <v>0</v>
      </c>
      <c r="M61" s="184" t="str">
        <f t="shared" si="8"/>
        <v>...</v>
      </c>
      <c r="BM61" s="130"/>
      <c r="BN61" s="130"/>
      <c r="BO61" s="116"/>
      <c r="BP61" s="116"/>
      <c r="BQ61" s="116"/>
      <c r="BR61" s="115"/>
    </row>
    <row r="62" spans="1:70" ht="13.5" customHeight="1" thickTop="1" thickBot="1">
      <c r="C62" s="90" t="s">
        <v>443</v>
      </c>
      <c r="D62" s="243">
        <f>+D16-D35</f>
        <v>-38381138.549999952</v>
      </c>
      <c r="E62" s="179">
        <f>+D62/$D$11*100</f>
        <v>-0.79676856511178817</v>
      </c>
      <c r="F62" s="243">
        <f>+F16-F35</f>
        <v>-216190270.04992223</v>
      </c>
      <c r="G62" s="244">
        <f t="shared" si="2"/>
        <v>-4.4879755464890128</v>
      </c>
      <c r="H62" s="243">
        <f t="shared" si="3"/>
        <v>177809131.49992228</v>
      </c>
      <c r="I62" s="179">
        <f t="shared" si="4"/>
        <v>-82.246592993691593</v>
      </c>
      <c r="J62" s="243">
        <f>+J16-J35</f>
        <v>-40608321.839999914</v>
      </c>
      <c r="K62" s="179">
        <f t="shared" si="5"/>
        <v>-0.87086257430838332</v>
      </c>
      <c r="L62" s="243">
        <f>+D62-J62</f>
        <v>2227183.2899999619</v>
      </c>
      <c r="M62" s="179">
        <f t="shared" si="8"/>
        <v>-5.4845489522449213</v>
      </c>
      <c r="BM62" s="130"/>
      <c r="BN62" s="130"/>
      <c r="BO62" s="116"/>
      <c r="BP62" s="116"/>
      <c r="BQ62" s="116"/>
      <c r="BR62" s="115"/>
    </row>
    <row r="63" spans="1:70" ht="13.5" customHeight="1" thickTop="1" thickBot="1">
      <c r="C63" s="90" t="s">
        <v>469</v>
      </c>
      <c r="D63" s="243">
        <f>D62-D61</f>
        <v>-38381138.549999952</v>
      </c>
      <c r="E63" s="179">
        <f>+D63/$D$11*100</f>
        <v>-0.79676856511178817</v>
      </c>
      <c r="F63" s="243">
        <f>F62-F61</f>
        <v>-216190270.04992223</v>
      </c>
      <c r="G63" s="244">
        <f t="shared" si="2"/>
        <v>-4.4879755464890128</v>
      </c>
      <c r="H63" s="243">
        <f t="shared" si="3"/>
        <v>177809131.49992228</v>
      </c>
      <c r="I63" s="179">
        <f t="shared" si="4"/>
        <v>-82.246592993691593</v>
      </c>
      <c r="J63" s="243">
        <f>J62-J61</f>
        <v>-40608321.839999914</v>
      </c>
      <c r="K63" s="179">
        <f t="shared" si="5"/>
        <v>-0.87086257430838332</v>
      </c>
      <c r="L63" s="243">
        <f>+D63-J63</f>
        <v>2227183.2899999619</v>
      </c>
      <c r="M63" s="179">
        <f t="shared" si="8"/>
        <v>-5.4845489522449213</v>
      </c>
      <c r="BM63" s="130"/>
      <c r="BN63" s="130"/>
      <c r="BO63" s="116"/>
      <c r="BP63" s="116"/>
      <c r="BQ63" s="116"/>
      <c r="BR63" s="115"/>
    </row>
    <row r="64" spans="1:70" ht="13.5" customHeight="1" thickTop="1" thickBot="1">
      <c r="C64" s="90" t="s">
        <v>468</v>
      </c>
      <c r="D64" s="243">
        <f>+D62+D42</f>
        <v>44672438.800000057</v>
      </c>
      <c r="E64" s="179">
        <f t="shared" si="1"/>
        <v>0.9273720454215203</v>
      </c>
      <c r="F64" s="243">
        <f>+F62+F42</f>
        <v>-131399947.22992224</v>
      </c>
      <c r="G64" s="244">
        <f t="shared" si="2"/>
        <v>-2.7277811801690275</v>
      </c>
      <c r="H64" s="243">
        <f t="shared" si="3"/>
        <v>176072386.02992231</v>
      </c>
      <c r="I64" s="179">
        <f t="shared" si="4"/>
        <v>-133.99730345540604</v>
      </c>
      <c r="J64" s="243">
        <f>+J63+J42</f>
        <v>45489401.480000064</v>
      </c>
      <c r="K64" s="179">
        <f t="shared" si="5"/>
        <v>0.97553938408749874</v>
      </c>
      <c r="L64" s="243">
        <f t="shared" si="7"/>
        <v>-816962.68000000715</v>
      </c>
      <c r="M64" s="179">
        <f t="shared" si="8"/>
        <v>-1.7959407101876224</v>
      </c>
      <c r="BM64" s="130"/>
      <c r="BN64" s="130"/>
      <c r="BO64" s="116"/>
      <c r="BP64" s="116"/>
      <c r="BQ64" s="116"/>
      <c r="BR64" s="115"/>
    </row>
    <row r="65" spans="2:70" ht="13.5" customHeight="1" thickTop="1" thickBot="1">
      <c r="C65" s="90" t="s">
        <v>449</v>
      </c>
      <c r="D65" s="243">
        <f>+SUM(D66:D67)</f>
        <v>473865899.42999995</v>
      </c>
      <c r="E65" s="179">
        <f t="shared" si="1"/>
        <v>9.8371613508127282</v>
      </c>
      <c r="F65" s="243">
        <f>+SUM(F66:F68)</f>
        <v>335560623.94</v>
      </c>
      <c r="G65" s="244">
        <f t="shared" si="2"/>
        <v>6.9660298507400711</v>
      </c>
      <c r="H65" s="243">
        <f t="shared" si="3"/>
        <v>138305275.48999995</v>
      </c>
      <c r="I65" s="179">
        <f t="shared" si="4"/>
        <v>41.216181405935657</v>
      </c>
      <c r="J65" s="243">
        <f>+SUM(J66:J67)</f>
        <v>669747456.85000002</v>
      </c>
      <c r="K65" s="179">
        <f t="shared" si="5"/>
        <v>14.363016445421403</v>
      </c>
      <c r="L65" s="243">
        <f t="shared" si="7"/>
        <v>-195881557.42000008</v>
      </c>
      <c r="M65" s="179">
        <f t="shared" si="8"/>
        <v>-29.247077449354279</v>
      </c>
      <c r="BM65" s="130"/>
      <c r="BN65" s="130"/>
      <c r="BO65" s="116"/>
      <c r="BP65" s="116"/>
      <c r="BQ65" s="116"/>
      <c r="BR65" s="115"/>
    </row>
    <row r="66" spans="2:70" ht="13.5" customHeight="1" thickTop="1">
      <c r="B66" s="80">
        <v>4611</v>
      </c>
      <c r="C66" s="97" t="s">
        <v>450</v>
      </c>
      <c r="D66" s="198">
        <v>168922253.71000001</v>
      </c>
      <c r="E66" s="242">
        <f t="shared" si="1"/>
        <v>3.5067209256606677</v>
      </c>
      <c r="F66" s="198">
        <v>29922297.319999997</v>
      </c>
      <c r="G66" s="249">
        <f t="shared" si="2"/>
        <v>0.62116828216146636</v>
      </c>
      <c r="H66" s="200">
        <f t="shared" si="3"/>
        <v>138999956.39000002</v>
      </c>
      <c r="I66" s="181">
        <f t="shared" si="4"/>
        <v>464.53637868604676</v>
      </c>
      <c r="J66" s="198">
        <v>229527212.72</v>
      </c>
      <c r="K66" s="242">
        <f t="shared" si="5"/>
        <v>4.9223078001286726</v>
      </c>
      <c r="L66" s="200">
        <f t="shared" si="7"/>
        <v>-60604959.00999999</v>
      </c>
      <c r="M66" s="181">
        <f t="shared" si="8"/>
        <v>-26.404258689766735</v>
      </c>
      <c r="BM66" s="130"/>
      <c r="BN66" s="130"/>
      <c r="BO66" s="116"/>
      <c r="BP66" s="116"/>
      <c r="BQ66" s="116"/>
      <c r="BR66" s="115"/>
    </row>
    <row r="67" spans="2:70" ht="13.5" customHeight="1">
      <c r="B67" s="80">
        <v>4612</v>
      </c>
      <c r="C67" s="97" t="s">
        <v>451</v>
      </c>
      <c r="D67" s="198">
        <v>304943645.71999997</v>
      </c>
      <c r="E67" s="242">
        <f t="shared" si="1"/>
        <v>6.3304404251520623</v>
      </c>
      <c r="F67" s="198">
        <v>305638326.62</v>
      </c>
      <c r="G67" s="249">
        <f t="shared" si="2"/>
        <v>6.3448615685786054</v>
      </c>
      <c r="H67" s="200">
        <f t="shared" si="3"/>
        <v>-694680.90000003576</v>
      </c>
      <c r="I67" s="181">
        <f t="shared" si="4"/>
        <v>-0.22728854318840774</v>
      </c>
      <c r="J67" s="198">
        <v>440220244.13</v>
      </c>
      <c r="K67" s="242">
        <f t="shared" si="5"/>
        <v>9.4407086452927302</v>
      </c>
      <c r="L67" s="200">
        <f t="shared" si="7"/>
        <v>-135276598.41000003</v>
      </c>
      <c r="M67" s="181">
        <f t="shared" si="8"/>
        <v>-30.729299757067039</v>
      </c>
      <c r="BM67" s="130"/>
      <c r="BN67" s="130"/>
      <c r="BO67" s="116"/>
      <c r="BP67" s="116"/>
      <c r="BQ67" s="116"/>
      <c r="BR67" s="115"/>
    </row>
    <row r="68" spans="2:70" ht="13.5" customHeight="1" thickBot="1">
      <c r="B68" s="80" t="s">
        <v>448</v>
      </c>
      <c r="C68" s="97" t="s">
        <v>446</v>
      </c>
      <c r="D68" s="198">
        <v>0</v>
      </c>
      <c r="E68" s="242">
        <f t="shared" si="1"/>
        <v>0</v>
      </c>
      <c r="F68" s="260">
        <v>0</v>
      </c>
      <c r="G68" s="249">
        <f t="shared" si="2"/>
        <v>0</v>
      </c>
      <c r="H68" s="200">
        <f t="shared" si="3"/>
        <v>0</v>
      </c>
      <c r="I68" s="181" t="str">
        <f t="shared" si="4"/>
        <v>...</v>
      </c>
      <c r="J68" s="198">
        <v>0</v>
      </c>
      <c r="K68" s="242">
        <f t="shared" si="5"/>
        <v>0</v>
      </c>
      <c r="L68" s="200">
        <f t="shared" si="7"/>
        <v>0</v>
      </c>
      <c r="M68" s="181" t="str">
        <f t="shared" si="8"/>
        <v>...</v>
      </c>
      <c r="BM68" s="130"/>
      <c r="BN68" s="130"/>
      <c r="BO68" s="116"/>
      <c r="BP68" s="116"/>
      <c r="BQ68" s="116"/>
      <c r="BR68" s="115"/>
    </row>
    <row r="69" spans="2:70" ht="13.5" customHeight="1" thickTop="1" thickBot="1">
      <c r="C69" s="90" t="s">
        <v>465</v>
      </c>
      <c r="D69" s="243">
        <v>39983668.460000001</v>
      </c>
      <c r="E69" s="179">
        <f t="shared" si="1"/>
        <v>0.83003608934836326</v>
      </c>
      <c r="F69" s="243">
        <v>40060000.020000003</v>
      </c>
      <c r="G69" s="244">
        <f t="shared" si="2"/>
        <v>0.83162068505947573</v>
      </c>
      <c r="H69" s="243">
        <f t="shared" si="3"/>
        <v>-76331.560000002384</v>
      </c>
      <c r="I69" s="179">
        <f t="shared" si="4"/>
        <v>-0.19054308527681485</v>
      </c>
      <c r="J69" s="243">
        <v>68939595.359999999</v>
      </c>
      <c r="K69" s="179">
        <f t="shared" si="5"/>
        <v>1.4784386738151405</v>
      </c>
      <c r="L69" s="243">
        <f t="shared" si="7"/>
        <v>-28955926.899999999</v>
      </c>
      <c r="M69" s="179">
        <f t="shared" si="8"/>
        <v>-42.001881137818152</v>
      </c>
      <c r="BM69" s="130"/>
      <c r="BN69" s="130"/>
      <c r="BO69" s="116"/>
      <c r="BP69" s="116"/>
      <c r="BQ69" s="116"/>
      <c r="BR69" s="115"/>
    </row>
    <row r="70" spans="2:70" ht="13.5" customHeight="1" thickTop="1" thickBot="1">
      <c r="C70" s="90" t="s">
        <v>140</v>
      </c>
      <c r="D70" s="243">
        <f>+D62-D65-D69</f>
        <v>-552230706.43999994</v>
      </c>
      <c r="E70" s="179">
        <f t="shared" si="1"/>
        <v>-11.463966005272882</v>
      </c>
      <c r="F70" s="243">
        <f>+F62-F65-F69</f>
        <v>-591810894.00992227</v>
      </c>
      <c r="G70" s="244">
        <f t="shared" si="2"/>
        <v>-12.285626082288562</v>
      </c>
      <c r="H70" s="243">
        <f>+D70-F70</f>
        <v>39580187.569922328</v>
      </c>
      <c r="I70" s="179">
        <f t="shared" ref="I70:I74" si="9">+IF(ISNUMBER(D70/F70*100-100),D70/F70*100-100,"...")</f>
        <v>-6.6879788747617539</v>
      </c>
      <c r="J70" s="243">
        <f>+J63-J65-J69</f>
        <v>-779295374.04999995</v>
      </c>
      <c r="K70" s="179">
        <f t="shared" ref="K70:K75" si="10">+J70/$J$11*100</f>
        <v>-16.712317693544925</v>
      </c>
      <c r="L70" s="243">
        <f t="shared" si="7"/>
        <v>227064667.61000001</v>
      </c>
      <c r="M70" s="179">
        <f t="shared" si="8"/>
        <v>-29.137176373824005</v>
      </c>
      <c r="BM70" s="130"/>
      <c r="BN70" s="130"/>
      <c r="BO70" s="116"/>
      <c r="BP70" s="116"/>
      <c r="BQ70" s="116"/>
      <c r="BR70" s="115"/>
    </row>
    <row r="71" spans="2:70" ht="13.5" customHeight="1" thickTop="1" thickBot="1">
      <c r="C71" s="90" t="s">
        <v>120</v>
      </c>
      <c r="D71" s="243">
        <f>+SUM(D72:D75)</f>
        <v>552230706.43999994</v>
      </c>
      <c r="E71" s="179">
        <f t="shared" si="1"/>
        <v>11.463966005272882</v>
      </c>
      <c r="F71" s="243">
        <f>+SUM(F72:F75)</f>
        <v>591810894.00992227</v>
      </c>
      <c r="G71" s="244">
        <f t="shared" si="2"/>
        <v>12.285626082288562</v>
      </c>
      <c r="H71" s="243">
        <f t="shared" ref="H71:H75" si="11">+D71-F71</f>
        <v>-39580187.569922328</v>
      </c>
      <c r="I71" s="179">
        <f t="shared" si="9"/>
        <v>-6.6879788747617539</v>
      </c>
      <c r="J71" s="243">
        <f>+SUM(J72:J75)+J61</f>
        <v>779295374.04999995</v>
      </c>
      <c r="K71" s="179">
        <f t="shared" si="10"/>
        <v>16.712317693544925</v>
      </c>
      <c r="L71" s="243">
        <f>+SUM(L72:L75)</f>
        <v>-227064667.61000013</v>
      </c>
      <c r="M71" s="179">
        <f t="shared" si="8"/>
        <v>-29.137176373824005</v>
      </c>
      <c r="BM71" s="130"/>
      <c r="BN71" s="130"/>
      <c r="BO71" s="116"/>
      <c r="BP71" s="116"/>
      <c r="BQ71" s="116"/>
      <c r="BR71" s="115"/>
    </row>
    <row r="72" spans="2:70" ht="13.5" customHeight="1" thickTop="1">
      <c r="B72" s="80">
        <v>7511</v>
      </c>
      <c r="C72" s="97" t="s">
        <v>452</v>
      </c>
      <c r="D72" s="198">
        <v>286438000</v>
      </c>
      <c r="E72" s="242">
        <f t="shared" si="1"/>
        <v>5.946274729609101</v>
      </c>
      <c r="F72" s="198">
        <v>190000000</v>
      </c>
      <c r="G72" s="249">
        <f t="shared" si="2"/>
        <v>3.9442818293163935</v>
      </c>
      <c r="H72" s="200">
        <f t="shared" si="11"/>
        <v>96438000</v>
      </c>
      <c r="I72" s="181">
        <f t="shared" si="9"/>
        <v>50.756842105263161</v>
      </c>
      <c r="J72" s="198">
        <v>213600000</v>
      </c>
      <c r="K72" s="242">
        <f t="shared" si="10"/>
        <v>4.5807420115805275</v>
      </c>
      <c r="L72" s="200">
        <f t="shared" si="7"/>
        <v>72838000</v>
      </c>
      <c r="M72" s="181">
        <f t="shared" si="8"/>
        <v>34.100187265917583</v>
      </c>
      <c r="BM72" s="130"/>
      <c r="BN72" s="130"/>
      <c r="BO72" s="116"/>
      <c r="BP72" s="116"/>
      <c r="BQ72" s="116"/>
      <c r="BR72" s="115"/>
    </row>
    <row r="73" spans="2:70" ht="13.5" customHeight="1">
      <c r="B73" s="80">
        <v>7512</v>
      </c>
      <c r="C73" s="97" t="s">
        <v>453</v>
      </c>
      <c r="D73" s="198">
        <v>103789215.92</v>
      </c>
      <c r="E73" s="242">
        <f t="shared" si="1"/>
        <v>2.1545995706960621</v>
      </c>
      <c r="F73" s="198">
        <v>134422181.24000001</v>
      </c>
      <c r="G73" s="249">
        <f t="shared" si="2"/>
        <v>2.7905208785368791</v>
      </c>
      <c r="H73" s="200">
        <f t="shared" si="11"/>
        <v>-30632965.320000008</v>
      </c>
      <c r="I73" s="181">
        <f t="shared" si="9"/>
        <v>-22.788623899285867</v>
      </c>
      <c r="J73" s="198">
        <v>827693300.07000005</v>
      </c>
      <c r="K73" s="242">
        <f t="shared" si="10"/>
        <v>17.750231612052328</v>
      </c>
      <c r="L73" s="200">
        <f t="shared" si="7"/>
        <v>-723904084.1500001</v>
      </c>
      <c r="M73" s="181">
        <f t="shared" si="8"/>
        <v>-87.460425750550073</v>
      </c>
      <c r="BM73" s="130"/>
      <c r="BN73" s="130"/>
      <c r="BO73" s="116"/>
      <c r="BP73" s="116"/>
      <c r="BQ73" s="116"/>
      <c r="BR73" s="115"/>
    </row>
    <row r="74" spans="2:70" ht="13.5" customHeight="1" thickBot="1">
      <c r="B74" s="80">
        <v>72</v>
      </c>
      <c r="C74" s="103" t="s">
        <v>401</v>
      </c>
      <c r="D74" s="198">
        <v>2262360.16</v>
      </c>
      <c r="E74" s="261">
        <f t="shared" si="1"/>
        <v>4.6965189844512263E-2</v>
      </c>
      <c r="F74" s="198">
        <v>4500000</v>
      </c>
      <c r="G74" s="262">
        <f t="shared" si="2"/>
        <v>9.3417201220651433E-2</v>
      </c>
      <c r="H74" s="200">
        <f t="shared" si="11"/>
        <v>-2237639.84</v>
      </c>
      <c r="I74" s="181">
        <f t="shared" si="9"/>
        <v>-49.725329777777773</v>
      </c>
      <c r="J74" s="198">
        <v>14277177.5</v>
      </c>
      <c r="K74" s="261">
        <f t="shared" si="10"/>
        <v>0.30618008792622775</v>
      </c>
      <c r="L74" s="200">
        <f t="shared" si="7"/>
        <v>-12014817.34</v>
      </c>
      <c r="M74" s="181">
        <f t="shared" si="8"/>
        <v>-84.154009712353854</v>
      </c>
      <c r="BM74" s="130"/>
      <c r="BN74" s="130"/>
      <c r="BO74" s="116"/>
      <c r="BP74" s="116"/>
      <c r="BQ74" s="116"/>
      <c r="BR74" s="115"/>
    </row>
    <row r="75" spans="2:70" ht="13.5" customHeight="1" thickTop="1" thickBot="1">
      <c r="C75" s="119" t="s">
        <v>454</v>
      </c>
      <c r="D75" s="207">
        <f>-D70-SUM(D72:D74)</f>
        <v>159741130.3599999</v>
      </c>
      <c r="E75" s="256">
        <f t="shared" si="1"/>
        <v>3.3161265151232051</v>
      </c>
      <c r="F75" s="207">
        <f>-F70-SUM(F72:F74)</f>
        <v>262888712.76992226</v>
      </c>
      <c r="G75" s="257">
        <f t="shared" si="2"/>
        <v>5.4574061732146362</v>
      </c>
      <c r="H75" s="217">
        <f t="shared" si="11"/>
        <v>-103147582.40992236</v>
      </c>
      <c r="I75" s="184" t="s">
        <v>467</v>
      </c>
      <c r="J75" s="207">
        <f>-J70-SUM(J72:J74)-J61</f>
        <v>-276275103.5200001</v>
      </c>
      <c r="K75" s="256">
        <f t="shared" si="10"/>
        <v>-5.9248360180141564</v>
      </c>
      <c r="L75" s="213">
        <f t="shared" si="7"/>
        <v>436016233.88</v>
      </c>
      <c r="M75" s="184" t="s">
        <v>467</v>
      </c>
      <c r="BM75" s="130"/>
      <c r="BN75" s="130"/>
      <c r="BO75" s="116"/>
      <c r="BP75" s="116"/>
      <c r="BQ75" s="116"/>
      <c r="BR75" s="115"/>
    </row>
    <row r="76" spans="2:70" s="149" customFormat="1" ht="13.5" thickTop="1">
      <c r="C76" s="150" t="str">
        <f>IF([1]MasterSheet!$A$1=1,[1]MasterSheet!C151,[1]MasterSheet!B151)</f>
        <v>Izvor: Ministarstvo finansija Crne Gore</v>
      </c>
      <c r="D76" s="186"/>
      <c r="E76" s="186"/>
      <c r="F76" s="263"/>
      <c r="G76" s="186"/>
      <c r="H76" s="186"/>
      <c r="I76" s="186"/>
      <c r="J76" s="263"/>
      <c r="K76" s="186"/>
      <c r="L76" s="186"/>
      <c r="M76" s="186"/>
    </row>
    <row r="77" spans="2:70" s="149" customFormat="1">
      <c r="C77" s="151"/>
      <c r="D77" s="264"/>
      <c r="E77" s="187"/>
      <c r="F77" s="265"/>
      <c r="G77" s="187"/>
      <c r="H77" s="187"/>
      <c r="I77" s="187"/>
      <c r="J77" s="265"/>
      <c r="K77" s="266"/>
      <c r="L77" s="187"/>
      <c r="M77" s="187"/>
    </row>
    <row r="78" spans="2:70" s="149" customFormat="1">
      <c r="D78" s="188"/>
      <c r="E78" s="188"/>
      <c r="F78" s="187"/>
      <c r="G78" s="187"/>
      <c r="H78" s="187"/>
      <c r="I78" s="187"/>
      <c r="J78" s="187"/>
      <c r="K78" s="187"/>
      <c r="L78" s="187"/>
      <c r="M78" s="187"/>
    </row>
    <row r="79" spans="2:70" s="149" customFormat="1">
      <c r="C79" s="152"/>
      <c r="D79" s="188"/>
      <c r="E79" s="188"/>
      <c r="F79" s="188"/>
      <c r="G79" s="188"/>
      <c r="H79" s="188"/>
      <c r="I79" s="188"/>
      <c r="J79" s="188"/>
      <c r="K79" s="188"/>
      <c r="L79" s="188"/>
      <c r="M79" s="188"/>
    </row>
  </sheetData>
  <sheetProtection formatCells="0" formatColumns="0" formatRows="0" sort="0" autoFilter="0"/>
  <mergeCells count="12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  <mergeCell ref="J13:K13"/>
    <mergeCell ref="D13:E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CD77"/>
  <sheetViews>
    <sheetView topLeftCell="B1" zoomScaleNormal="100" workbookViewId="0">
      <selection activeCell="L35" sqref="L35"/>
    </sheetView>
  </sheetViews>
  <sheetFormatPr defaultColWidth="9.140625" defaultRowHeight="12.75"/>
  <cols>
    <col min="1" max="2" width="9.140625" style="80" customWidth="1"/>
    <col min="3" max="3" width="40.42578125" style="80" customWidth="1"/>
    <col min="4" max="13" width="7.7109375" style="166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22" t="str">
        <f>+'Cental Budget'!C11</f>
        <v>BDP (u mil. €)</v>
      </c>
      <c r="D11" s="336">
        <f>+'Cental Budget'!D11:G11</f>
        <v>4817100000</v>
      </c>
      <c r="E11" s="337"/>
      <c r="F11" s="337"/>
      <c r="G11" s="338"/>
      <c r="H11" s="331"/>
      <c r="I11" s="332"/>
      <c r="J11" s="333">
        <f>+'Cental Budget'!J11:K11</f>
        <v>4663000000</v>
      </c>
      <c r="K11" s="334" t="e">
        <f>+'Cental Budget'!#REF!</f>
        <v>#REF!</v>
      </c>
      <c r="L11" s="331"/>
      <c r="M11" s="335"/>
      <c r="N11" s="159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339"/>
      <c r="E13" s="339"/>
      <c r="F13" s="190"/>
      <c r="G13" s="190"/>
      <c r="H13" s="190"/>
      <c r="I13" s="190"/>
      <c r="J13" s="339"/>
      <c r="K13" s="339"/>
      <c r="L13" s="190"/>
      <c r="M13" s="190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327" t="s">
        <v>258</v>
      </c>
      <c r="D14" s="329" t="s">
        <v>470</v>
      </c>
      <c r="E14" s="330"/>
      <c r="F14" s="329" t="s">
        <v>471</v>
      </c>
      <c r="G14" s="330"/>
      <c r="H14" s="329" t="str">
        <f>+'Cental Budget'!H14:I14</f>
        <v>Odstupanje</v>
      </c>
      <c r="I14" s="330"/>
      <c r="J14" s="329" t="s">
        <v>464</v>
      </c>
      <c r="K14" s="330"/>
      <c r="L14" s="329" t="str">
        <f>+H14</f>
        <v>Odstupanje</v>
      </c>
      <c r="M14" s="330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</row>
    <row r="15" spans="2:76" ht="15" customHeight="1" thickBot="1">
      <c r="C15" s="328"/>
      <c r="D15" s="123" t="str">
        <f>IF(MasterSheet!$A$1=1,MasterSheet!C71,MasterSheet!C70)</f>
        <v>mil. €</v>
      </c>
      <c r="E15" s="128" t="str">
        <f>IF(MasterSheet!$A$1=1,MasterSheet!D71,MasterSheet!D70)</f>
        <v>% BDP</v>
      </c>
      <c r="F15" s="123" t="str">
        <f>IF(MasterSheet!$A$1=1,MasterSheet!E71,MasterSheet!E70)</f>
        <v>mil. €</v>
      </c>
      <c r="G15" s="128" t="str">
        <f>IF(MasterSheet!$A$1=1,MasterSheet!F71,MasterSheet!F70)</f>
        <v>% BDP</v>
      </c>
      <c r="H15" s="123" t="str">
        <f>IF(MasterSheet!$A$1=1,MasterSheet!G71,MasterSheet!G70)</f>
        <v>mil. €</v>
      </c>
      <c r="I15" s="128" t="s">
        <v>439</v>
      </c>
      <c r="J15" s="123" t="str">
        <f>IF(MasterSheet!$A$1=1,MasterSheet!I71,MasterSheet!I70)</f>
        <v>mil. €</v>
      </c>
      <c r="K15" s="128" t="str">
        <f>IF(MasterSheet!$A$1=1,MasterSheet!J71,MasterSheet!J70)</f>
        <v>% BDP</v>
      </c>
      <c r="L15" s="123" t="str">
        <f>IF(MasterSheet!$A$1=1,MasterSheet!K71,MasterSheet!K70)</f>
        <v>mil. €</v>
      </c>
      <c r="M15" s="128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</row>
    <row r="16" spans="2:76" ht="15" customHeight="1" thickTop="1" thickBot="1">
      <c r="B16" s="80">
        <v>7</v>
      </c>
      <c r="C16" s="124" t="str">
        <f>IF(MasterSheet!$A$1=1,MasterSheet!C72,MasterSheet!B72)</f>
        <v>Izvorni prihodi</v>
      </c>
      <c r="D16" s="267">
        <f>+D17+D21+D22+D23+D24+D25</f>
        <v>185544189.32999998</v>
      </c>
      <c r="E16" s="268">
        <f>+D16/$D$11*100</f>
        <v>3.8517819711029451</v>
      </c>
      <c r="F16" s="267">
        <f>+F17+F21+F22+F23+F24+F25</f>
        <v>168276681.13426447</v>
      </c>
      <c r="G16" s="268">
        <f t="shared" ref="G16:G60" si="0">+F16/$D$11*100</f>
        <v>3.4933192405028852</v>
      </c>
      <c r="H16" s="267">
        <f>+D16-F16</f>
        <v>17267508.195735514</v>
      </c>
      <c r="I16" s="268">
        <f>+D16/F16*100-100</f>
        <v>10.261379104546364</v>
      </c>
      <c r="J16" s="267">
        <f>+J17+J21+J22+J23+J24+J25</f>
        <v>161259649.50999996</v>
      </c>
      <c r="K16" s="268">
        <f>+J16/$J$11*100</f>
        <v>3.4582811389663299</v>
      </c>
      <c r="L16" s="267">
        <f>+D16-J16</f>
        <v>24284539.820000023</v>
      </c>
      <c r="M16" s="268">
        <f>+D16/J16*100-100</f>
        <v>15.05927855715332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</row>
    <row r="17" spans="1:82" ht="15" customHeight="1" thickTop="1">
      <c r="B17" s="80">
        <v>711</v>
      </c>
      <c r="C17" s="93" t="str">
        <f>IF(MasterSheet!$A$1=1,MasterSheet!C73,MasterSheet!B73)</f>
        <v>Porezi</v>
      </c>
      <c r="D17" s="269">
        <f>+SUM(D18:D20)</f>
        <v>119659112.21999997</v>
      </c>
      <c r="E17" s="270">
        <f t="shared" ref="E17:E60" si="1">+D17/$D$11*100</f>
        <v>2.4840487475867215</v>
      </c>
      <c r="F17" s="269">
        <f>+SUM(F18:F20)</f>
        <v>103096534.58614466</v>
      </c>
      <c r="G17" s="270">
        <f t="shared" si="0"/>
        <v>2.14021993701905</v>
      </c>
      <c r="H17" s="271">
        <f t="shared" ref="H17:H59" si="2">+D17-F17</f>
        <v>16562577.633855313</v>
      </c>
      <c r="I17" s="272">
        <f t="shared" ref="I17:I60" si="3">+D17/F17*100-100</f>
        <v>16.06511576780116</v>
      </c>
      <c r="J17" s="269">
        <f>+J18+J19+J20</f>
        <v>104813408.23999998</v>
      </c>
      <c r="K17" s="270">
        <f t="shared" ref="K17:K60" si="4">+J17/$J$11*100</f>
        <v>2.2477677083422685</v>
      </c>
      <c r="L17" s="271">
        <f t="shared" ref="L17:L60" si="5">+D17-J17</f>
        <v>14845703.979999989</v>
      </c>
      <c r="M17" s="272">
        <f t="shared" ref="M17:M60" si="6">+D17/J17*100-100</f>
        <v>14.163935921257846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</row>
    <row r="18" spans="1:82" ht="15" customHeight="1">
      <c r="B18" s="80">
        <v>7111</v>
      </c>
      <c r="C18" s="97" t="str">
        <f>IF(MasterSheet!$A$1=1,MasterSheet!C74,MasterSheet!B74)</f>
        <v>Porez na dohodak fizičkih lica</v>
      </c>
      <c r="D18" s="273">
        <v>37590880.899999999</v>
      </c>
      <c r="E18" s="274">
        <f t="shared" si="1"/>
        <v>0.7803633077992983</v>
      </c>
      <c r="F18" s="273">
        <v>29684995.956477746</v>
      </c>
      <c r="G18" s="274">
        <f t="shared" si="0"/>
        <v>0.61624205344455685</v>
      </c>
      <c r="H18" s="275">
        <f>+D18-F18</f>
        <v>7905884.9435222521</v>
      </c>
      <c r="I18" s="164">
        <f>+D18/F18*100-100</f>
        <v>26.632595655776271</v>
      </c>
      <c r="J18" s="273">
        <v>27238835.120000005</v>
      </c>
      <c r="K18" s="274">
        <f t="shared" si="4"/>
        <v>0.58414829766244913</v>
      </c>
      <c r="L18" s="275">
        <f>+D18-J18</f>
        <v>10352045.779999994</v>
      </c>
      <c r="M18" s="164">
        <f>+D18/J18*100-100</f>
        <v>38.004730137666741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</row>
    <row r="19" spans="1:82" ht="15" customHeight="1">
      <c r="B19" s="80">
        <v>7113</v>
      </c>
      <c r="C19" s="97" t="str">
        <f>IF(MasterSheet!$A$1=1,MasterSheet!C76,MasterSheet!B76)</f>
        <v>Porez na promet nepokretnosti</v>
      </c>
      <c r="D19" s="273">
        <v>16085541.439999998</v>
      </c>
      <c r="E19" s="274">
        <f t="shared" si="1"/>
        <v>0.3339258358763571</v>
      </c>
      <c r="F19" s="273">
        <v>15383689.543867242</v>
      </c>
      <c r="G19" s="274">
        <f t="shared" si="0"/>
        <v>0.31935582703010612</v>
      </c>
      <c r="H19" s="275">
        <f>+D19-F19</f>
        <v>701851.89613275602</v>
      </c>
      <c r="I19" s="164">
        <f>+D19/F19*100-100</f>
        <v>4.5623118831889826</v>
      </c>
      <c r="J19" s="273">
        <v>14917547.409999998</v>
      </c>
      <c r="K19" s="274">
        <f t="shared" si="4"/>
        <v>0.31991309049967831</v>
      </c>
      <c r="L19" s="275">
        <f>+D19-J19</f>
        <v>1167994.0299999993</v>
      </c>
      <c r="M19" s="164">
        <f>+D19/J19*100-100</f>
        <v>7.8296652787376502</v>
      </c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3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</row>
    <row r="20" spans="1:82" ht="15" customHeight="1">
      <c r="B20" s="80">
        <v>7117</v>
      </c>
      <c r="C20" s="97" t="s">
        <v>11</v>
      </c>
      <c r="D20" s="273">
        <v>65982689.87999998</v>
      </c>
      <c r="E20" s="274">
        <f t="shared" si="1"/>
        <v>1.3697596039110664</v>
      </c>
      <c r="F20" s="273">
        <v>58027849.085799672</v>
      </c>
      <c r="G20" s="274">
        <f t="shared" si="0"/>
        <v>1.204622056544387</v>
      </c>
      <c r="H20" s="275">
        <f>+D20-F20</f>
        <v>7954840.7942003086</v>
      </c>
      <c r="I20" s="164">
        <f>+D20/F20*100-100</f>
        <v>13.708660444122827</v>
      </c>
      <c r="J20" s="273">
        <v>62657025.709999986</v>
      </c>
      <c r="K20" s="274">
        <f t="shared" si="4"/>
        <v>1.3437063201801414</v>
      </c>
      <c r="L20" s="275">
        <f>+D20-J20</f>
        <v>3325664.1699999943</v>
      </c>
      <c r="M20" s="164">
        <f>+D20/J20*100-100</f>
        <v>5.307727477190511</v>
      </c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3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</row>
    <row r="21" spans="1:82" ht="15" customHeight="1">
      <c r="B21" s="80">
        <v>713</v>
      </c>
      <c r="C21" s="93" t="str">
        <f>IF(MasterSheet!$A$1=1,MasterSheet!C86,MasterSheet!B86)</f>
        <v>Takse</v>
      </c>
      <c r="D21" s="204">
        <v>4497615.6400000006</v>
      </c>
      <c r="E21" s="240">
        <f t="shared" si="1"/>
        <v>9.336770339000644E-2</v>
      </c>
      <c r="F21" s="204">
        <v>5284680.9806750314</v>
      </c>
      <c r="G21" s="240">
        <f t="shared" si="0"/>
        <v>0.10970669034637089</v>
      </c>
      <c r="H21" s="205">
        <f t="shared" si="2"/>
        <v>-787065.34067503083</v>
      </c>
      <c r="I21" s="180">
        <f t="shared" si="3"/>
        <v>-14.893336864669095</v>
      </c>
      <c r="J21" s="204">
        <v>4528541.5000000009</v>
      </c>
      <c r="K21" s="248">
        <f t="shared" si="4"/>
        <v>9.7116480806347855E-2</v>
      </c>
      <c r="L21" s="205">
        <f t="shared" si="5"/>
        <v>-30925.860000000335</v>
      </c>
      <c r="M21" s="180">
        <f t="shared" si="6"/>
        <v>-0.68290993910513009</v>
      </c>
      <c r="BY21" s="81"/>
      <c r="BZ21" s="81"/>
      <c r="CA21" s="81"/>
    </row>
    <row r="22" spans="1:82" ht="15" customHeight="1">
      <c r="B22" s="80">
        <v>714</v>
      </c>
      <c r="C22" s="93" t="str">
        <f>IF(MasterSheet!$A$1=1,MasterSheet!C91,MasterSheet!B91)</f>
        <v>Naknade</v>
      </c>
      <c r="D22" s="204">
        <v>46772146.989999995</v>
      </c>
      <c r="E22" s="240">
        <f t="shared" si="1"/>
        <v>0.97096068153038129</v>
      </c>
      <c r="F22" s="204">
        <v>42412936.871670425</v>
      </c>
      <c r="G22" s="240">
        <f>+F22/$D$11*100</f>
        <v>0.88046619068880494</v>
      </c>
      <c r="H22" s="205">
        <f>+D22-F22</f>
        <v>4359210.1183295697</v>
      </c>
      <c r="I22" s="180">
        <f>+D22/F22*100-100</f>
        <v>10.278019962445214</v>
      </c>
      <c r="J22" s="204">
        <v>36672151.280000001</v>
      </c>
      <c r="K22" s="248">
        <f t="shared" si="4"/>
        <v>0.78644973793695039</v>
      </c>
      <c r="L22" s="205">
        <f t="shared" si="5"/>
        <v>10099995.709999993</v>
      </c>
      <c r="M22" s="180">
        <f t="shared" si="6"/>
        <v>27.541323204314594</v>
      </c>
      <c r="BY22" s="114"/>
      <c r="BZ22" s="114"/>
      <c r="CA22" s="114"/>
    </row>
    <row r="23" spans="1:82" ht="15" customHeight="1">
      <c r="B23" s="80">
        <v>715</v>
      </c>
      <c r="C23" s="93" t="str">
        <f>IF(MasterSheet!$A$1=1,MasterSheet!C98,MasterSheet!B98)</f>
        <v>Ostali prihodi</v>
      </c>
      <c r="D23" s="276">
        <v>13046696.859999999</v>
      </c>
      <c r="E23" s="277">
        <f t="shared" si="1"/>
        <v>0.27084131240788023</v>
      </c>
      <c r="F23" s="276">
        <v>15236506.466439156</v>
      </c>
      <c r="G23" s="277">
        <f>+F23/$D$11*100</f>
        <v>0.31630039788335629</v>
      </c>
      <c r="H23" s="278">
        <f>+D23-F23</f>
        <v>-2189809.6064391565</v>
      </c>
      <c r="I23" s="279">
        <f>+D23/F23*100-100</f>
        <v>-14.372124025035276</v>
      </c>
      <c r="J23" s="276">
        <v>13643564.540000003</v>
      </c>
      <c r="K23" s="277">
        <f t="shared" si="4"/>
        <v>0.2925919909929231</v>
      </c>
      <c r="L23" s="278">
        <f t="shared" si="5"/>
        <v>-596867.68000000343</v>
      </c>
      <c r="M23" s="279">
        <f t="shared" si="6"/>
        <v>-4.3747195115331863</v>
      </c>
      <c r="BY23" s="81"/>
      <c r="BZ23" s="81"/>
      <c r="CA23" s="81"/>
      <c r="CB23" s="81"/>
      <c r="CC23" s="81"/>
    </row>
    <row r="24" spans="1:82">
      <c r="B24" s="80">
        <v>73</v>
      </c>
      <c r="C24" s="101" t="str">
        <f>IF(MasterSheet!$A$1=1,MasterSheet!C103,MasterSheet!B103)</f>
        <v xml:space="preserve">Primici od otplate kredita </v>
      </c>
      <c r="D24" s="276">
        <v>0</v>
      </c>
      <c r="E24" s="277">
        <f t="shared" si="1"/>
        <v>0</v>
      </c>
      <c r="F24" s="276">
        <v>0</v>
      </c>
      <c r="G24" s="277">
        <f t="shared" si="0"/>
        <v>0</v>
      </c>
      <c r="H24" s="278">
        <f t="shared" si="2"/>
        <v>0</v>
      </c>
      <c r="I24" s="164" t="e">
        <f t="shared" si="3"/>
        <v>#DIV/0!</v>
      </c>
      <c r="J24" s="276">
        <v>0</v>
      </c>
      <c r="K24" s="277">
        <f t="shared" si="4"/>
        <v>0</v>
      </c>
      <c r="L24" s="278">
        <f t="shared" si="5"/>
        <v>0</v>
      </c>
      <c r="M24" s="279" t="e">
        <f t="shared" si="6"/>
        <v>#DIV/0!</v>
      </c>
      <c r="BX24" s="100"/>
      <c r="BY24" s="100"/>
      <c r="BZ24" s="99"/>
      <c r="CA24" s="116"/>
      <c r="CB24" s="116"/>
      <c r="CC24" s="116"/>
      <c r="CD24" s="115"/>
    </row>
    <row r="25" spans="1:82" ht="13.5" customHeight="1" thickBot="1">
      <c r="B25" s="80">
        <v>74</v>
      </c>
      <c r="C25" s="93" t="s">
        <v>122</v>
      </c>
      <c r="D25" s="276">
        <v>1568617.62</v>
      </c>
      <c r="E25" s="277">
        <f t="shared" si="1"/>
        <v>3.2563526187955411E-2</v>
      </c>
      <c r="F25" s="276">
        <v>2246022.2293352261</v>
      </c>
      <c r="G25" s="277">
        <f t="shared" si="0"/>
        <v>4.6626024565303313E-2</v>
      </c>
      <c r="H25" s="278">
        <f t="shared" si="2"/>
        <v>-677404.60933522601</v>
      </c>
      <c r="I25" s="279">
        <f t="shared" si="3"/>
        <v>-30.160191670753107</v>
      </c>
      <c r="J25" s="276">
        <v>1601983.95</v>
      </c>
      <c r="K25" s="277">
        <f t="shared" si="4"/>
        <v>3.4355220887840446E-2</v>
      </c>
      <c r="L25" s="278">
        <f t="shared" si="5"/>
        <v>-33366.329999999842</v>
      </c>
      <c r="M25" s="279">
        <f t="shared" si="6"/>
        <v>-2.0828130019654623</v>
      </c>
      <c r="BY25" s="117"/>
      <c r="BZ25" s="117"/>
      <c r="CA25" s="116"/>
      <c r="CB25" s="116"/>
      <c r="CC25" s="116"/>
      <c r="CD25" s="115"/>
    </row>
    <row r="26" spans="1:82" ht="15" customHeight="1" thickTop="1" thickBot="1">
      <c r="B26" s="102"/>
      <c r="C26" s="124" t="str">
        <f>IF(MasterSheet!$A$1=1,MasterSheet!C104,MasterSheet!B104)</f>
        <v>Izdaci</v>
      </c>
      <c r="D26" s="280">
        <f>+D28+D37+D39+D40+D41+D42+D43+D44</f>
        <v>144199093.17110002</v>
      </c>
      <c r="E26" s="281">
        <f t="shared" si="1"/>
        <v>2.993483489466692</v>
      </c>
      <c r="F26" s="280">
        <f>+F28+F37+F39+F40+F41+F42+F43+F44+F45</f>
        <v>129282886.88759504</v>
      </c>
      <c r="G26" s="281">
        <f t="shared" si="0"/>
        <v>2.6838323241700413</v>
      </c>
      <c r="H26" s="280">
        <f t="shared" si="2"/>
        <v>14916206.283504978</v>
      </c>
      <c r="I26" s="281">
        <f t="shared" si="3"/>
        <v>11.537649446576694</v>
      </c>
      <c r="J26" s="280">
        <f>+J28+J37+J39+J40+J41+J42+J43+J44</f>
        <v>165399498.89600301</v>
      </c>
      <c r="K26" s="282">
        <f t="shared" si="4"/>
        <v>3.5470619535921726</v>
      </c>
      <c r="L26" s="280">
        <f t="shared" si="5"/>
        <v>-21200405.724902987</v>
      </c>
      <c r="M26" s="281">
        <f t="shared" si="6"/>
        <v>-12.817696466077564</v>
      </c>
      <c r="BY26" s="81"/>
      <c r="BZ26" s="81"/>
      <c r="CA26" s="116"/>
      <c r="CB26" s="116"/>
      <c r="CC26" s="116"/>
      <c r="CD26" s="115"/>
    </row>
    <row r="27" spans="1:82" ht="13.5" customHeight="1" thickTop="1" thickBot="1">
      <c r="C27" s="124" t="str">
        <f>IF(MasterSheet!$A$1=1,MasterSheet!C105,MasterSheet!B105)</f>
        <v>Tekuća budžetska potrošnja</v>
      </c>
      <c r="D27" s="280">
        <f>+D26-D40</f>
        <v>106331448.59110002</v>
      </c>
      <c r="E27" s="281">
        <f t="shared" si="1"/>
        <v>2.207374739804032</v>
      </c>
      <c r="F27" s="280">
        <f>+F26-F40</f>
        <v>97479607.234941959</v>
      </c>
      <c r="G27" s="281">
        <f t="shared" si="0"/>
        <v>2.023616018661476</v>
      </c>
      <c r="H27" s="280">
        <f t="shared" si="2"/>
        <v>8851841.3561580628</v>
      </c>
      <c r="I27" s="281">
        <f t="shared" si="3"/>
        <v>9.0807109376463302</v>
      </c>
      <c r="J27" s="280">
        <f>+J26-J40</f>
        <v>132512539.97600301</v>
      </c>
      <c r="K27" s="282">
        <f t="shared" si="4"/>
        <v>2.8417872609050612</v>
      </c>
      <c r="L27" s="280">
        <f t="shared" si="5"/>
        <v>-26181091.384902984</v>
      </c>
      <c r="M27" s="281">
        <f t="shared" si="6"/>
        <v>-19.75744438197637</v>
      </c>
      <c r="BY27" s="117"/>
      <c r="BZ27" s="117"/>
      <c r="CA27" s="116"/>
      <c r="CB27" s="116"/>
      <c r="CC27" s="116"/>
      <c r="CD27" s="115"/>
    </row>
    <row r="28" spans="1:82" ht="13.5" customHeight="1" thickTop="1">
      <c r="A28" s="80">
        <v>41</v>
      </c>
      <c r="C28" s="93" t="str">
        <f>+'Cental Budget'!C37</f>
        <v>Tekući izdaci</v>
      </c>
      <c r="D28" s="204">
        <f>+SUM(D29:D36)</f>
        <v>61193984.401100002</v>
      </c>
      <c r="E28" s="240">
        <f t="shared" si="1"/>
        <v>1.2703490565091031</v>
      </c>
      <c r="F28" s="204">
        <f>+SUM(F29:F36)</f>
        <v>61461002.561480723</v>
      </c>
      <c r="G28" s="240">
        <f t="shared" si="0"/>
        <v>1.275892187446404</v>
      </c>
      <c r="H28" s="205">
        <f t="shared" si="2"/>
        <v>-267018.16038072109</v>
      </c>
      <c r="I28" s="180">
        <f t="shared" si="3"/>
        <v>-0.43445135818215874</v>
      </c>
      <c r="J28" s="204">
        <f>+SUM(J29:J36)</f>
        <v>56213198.896303013</v>
      </c>
      <c r="K28" s="248">
        <f t="shared" si="4"/>
        <v>1.2055157387154838</v>
      </c>
      <c r="L28" s="205">
        <f t="shared" si="5"/>
        <v>4980785.5047969893</v>
      </c>
      <c r="M28" s="180">
        <f t="shared" si="6"/>
        <v>8.8605267136372845</v>
      </c>
      <c r="BY28" s="117"/>
      <c r="BZ28" s="117"/>
      <c r="CA28" s="116"/>
      <c r="CB28" s="116"/>
      <c r="CC28" s="116"/>
      <c r="CD28" s="115"/>
    </row>
    <row r="29" spans="1:82" ht="13.5" customHeight="1">
      <c r="B29" s="80">
        <v>411</v>
      </c>
      <c r="C29" s="93" t="str">
        <f>+'Cental Budget'!C38</f>
        <v>Bruto zarade i doprinosi na teret poslodavca</v>
      </c>
      <c r="D29" s="276">
        <v>36156378.310000002</v>
      </c>
      <c r="E29" s="277">
        <f t="shared" si="1"/>
        <v>0.75058392622117054</v>
      </c>
      <c r="F29" s="276">
        <v>36249318.668917462</v>
      </c>
      <c r="G29" s="277">
        <f t="shared" si="0"/>
        <v>0.75251331026795087</v>
      </c>
      <c r="H29" s="278">
        <f t="shared" si="2"/>
        <v>-92940.358917459846</v>
      </c>
      <c r="I29" s="279">
        <f t="shared" si="3"/>
        <v>-0.25639201598885109</v>
      </c>
      <c r="J29" s="276">
        <v>33501714.958000004</v>
      </c>
      <c r="K29" s="277">
        <f t="shared" si="4"/>
        <v>0.71845839498177144</v>
      </c>
      <c r="L29" s="278">
        <f t="shared" si="5"/>
        <v>2654663.3519999981</v>
      </c>
      <c r="M29" s="279">
        <f t="shared" si="6"/>
        <v>7.9239625652837873</v>
      </c>
      <c r="BY29" s="117"/>
      <c r="BZ29" s="117"/>
      <c r="CA29" s="116"/>
      <c r="CB29" s="116"/>
      <c r="CC29" s="116"/>
      <c r="CD29" s="115"/>
    </row>
    <row r="30" spans="1:82" ht="13.5" customHeight="1">
      <c r="B30" s="80">
        <v>412</v>
      </c>
      <c r="C30" s="93" t="str">
        <f>+'Cental Budget'!C39</f>
        <v>Ostala lična primanja</v>
      </c>
      <c r="D30" s="276">
        <v>2443162.25</v>
      </c>
      <c r="E30" s="277">
        <f t="shared" si="1"/>
        <v>5.0718528782877657E-2</v>
      </c>
      <c r="F30" s="276">
        <v>2741503.5451493985</v>
      </c>
      <c r="G30" s="277">
        <f t="shared" si="0"/>
        <v>5.6911908516522357E-2</v>
      </c>
      <c r="H30" s="278">
        <f t="shared" si="2"/>
        <v>-298341.2951493985</v>
      </c>
      <c r="I30" s="279">
        <f t="shared" si="3"/>
        <v>-10.882396839400769</v>
      </c>
      <c r="J30" s="276">
        <v>2317258.71</v>
      </c>
      <c r="K30" s="277">
        <f t="shared" si="4"/>
        <v>4.9694589534634355E-2</v>
      </c>
      <c r="L30" s="278">
        <f t="shared" si="5"/>
        <v>125903.54000000004</v>
      </c>
      <c r="M30" s="279">
        <f t="shared" si="6"/>
        <v>5.4332966559439626</v>
      </c>
      <c r="BY30" s="117"/>
      <c r="BZ30" s="117"/>
      <c r="CA30" s="116"/>
      <c r="CB30" s="116"/>
      <c r="CC30" s="116"/>
      <c r="CD30" s="115"/>
    </row>
    <row r="31" spans="1:82" ht="13.5" customHeight="1">
      <c r="B31" s="80">
        <v>413</v>
      </c>
      <c r="C31" s="93" t="str">
        <f>+'Cental Budget'!C40</f>
        <v>Rashodi za materijal i usluge</v>
      </c>
      <c r="D31" s="276">
        <v>11425039.791099999</v>
      </c>
      <c r="E31" s="277">
        <f t="shared" si="1"/>
        <v>0.23717672024869732</v>
      </c>
      <c r="F31" s="276">
        <v>10551481.930248577</v>
      </c>
      <c r="G31" s="277">
        <f t="shared" si="0"/>
        <v>0.21904220236757754</v>
      </c>
      <c r="H31" s="278">
        <f t="shared" si="2"/>
        <v>873557.86085142195</v>
      </c>
      <c r="I31" s="279">
        <f t="shared" si="3"/>
        <v>8.279006367315489</v>
      </c>
      <c r="J31" s="276">
        <v>10298665.328302998</v>
      </c>
      <c r="K31" s="277">
        <f t="shared" si="4"/>
        <v>0.22085921784908855</v>
      </c>
      <c r="L31" s="278">
        <f t="shared" si="5"/>
        <v>1126374.462797001</v>
      </c>
      <c r="M31" s="279">
        <f t="shared" si="6"/>
        <v>10.937091621974318</v>
      </c>
      <c r="BY31" s="117"/>
      <c r="BZ31" s="117"/>
      <c r="CA31" s="116"/>
      <c r="CB31" s="116"/>
      <c r="CC31" s="116"/>
      <c r="CD31" s="115"/>
    </row>
    <row r="32" spans="1:82" ht="13.5" customHeight="1">
      <c r="B32" s="80">
        <v>415</v>
      </c>
      <c r="C32" s="93" t="str">
        <f>+'Cental Budget'!C41</f>
        <v>Rashodi za tekuće održavanje</v>
      </c>
      <c r="D32" s="276">
        <v>3856954.8100000005</v>
      </c>
      <c r="E32" s="277">
        <f t="shared" si="1"/>
        <v>8.0067983018828767E-2</v>
      </c>
      <c r="F32" s="276">
        <v>4367677.0128689744</v>
      </c>
      <c r="G32" s="277">
        <f t="shared" si="0"/>
        <v>9.0670258306221052E-2</v>
      </c>
      <c r="H32" s="278">
        <f t="shared" si="2"/>
        <v>-510722.20286897384</v>
      </c>
      <c r="I32" s="279">
        <f t="shared" si="3"/>
        <v>-11.693222767255364</v>
      </c>
      <c r="J32" s="276">
        <v>3371193.6700000004</v>
      </c>
      <c r="K32" s="277">
        <f t="shared" si="4"/>
        <v>7.2296668882693552E-2</v>
      </c>
      <c r="L32" s="278">
        <f t="shared" si="5"/>
        <v>485761.14000000013</v>
      </c>
      <c r="M32" s="279">
        <f t="shared" si="6"/>
        <v>14.409173353721911</v>
      </c>
      <c r="BY32" s="117"/>
      <c r="BZ32" s="117"/>
      <c r="CA32" s="116"/>
      <c r="CB32" s="116"/>
      <c r="CC32" s="116"/>
      <c r="CD32" s="115"/>
    </row>
    <row r="33" spans="1:82" ht="13.5" customHeight="1">
      <c r="B33" s="80">
        <v>416</v>
      </c>
      <c r="C33" s="93" t="str">
        <f>+'Cental Budget'!C42</f>
        <v>Kamate</v>
      </c>
      <c r="D33" s="276">
        <v>2206158.9</v>
      </c>
      <c r="E33" s="277">
        <f t="shared" si="1"/>
        <v>4.5798486641340223E-2</v>
      </c>
      <c r="F33" s="276">
        <v>3436020.8374662823</v>
      </c>
      <c r="G33" s="277">
        <f t="shared" si="0"/>
        <v>7.1329655549319762E-2</v>
      </c>
      <c r="H33" s="278">
        <f t="shared" si="2"/>
        <v>-1229861.9374662824</v>
      </c>
      <c r="I33" s="279">
        <f t="shared" si="3"/>
        <v>-35.793203698181912</v>
      </c>
      <c r="J33" s="276">
        <v>2559359.9200000004</v>
      </c>
      <c r="K33" s="277">
        <f t="shared" si="4"/>
        <v>5.4886552005146909E-2</v>
      </c>
      <c r="L33" s="278">
        <f t="shared" si="5"/>
        <v>-353201.02000000048</v>
      </c>
      <c r="M33" s="279">
        <f t="shared" si="6"/>
        <v>-13.80036536635302</v>
      </c>
      <c r="BY33" s="117"/>
      <c r="BZ33" s="117"/>
      <c r="CA33" s="116"/>
      <c r="CB33" s="116"/>
      <c r="CC33" s="116"/>
      <c r="CD33" s="115"/>
    </row>
    <row r="34" spans="1:82" ht="13.5" customHeight="1">
      <c r="B34" s="80">
        <v>417</v>
      </c>
      <c r="C34" s="93" t="str">
        <f>+'Cental Budget'!C43</f>
        <v>Renta</v>
      </c>
      <c r="D34" s="276">
        <v>467940.7</v>
      </c>
      <c r="E34" s="277">
        <f t="shared" si="1"/>
        <v>9.7141578958294412E-3</v>
      </c>
      <c r="F34" s="276">
        <v>399450.42010394979</v>
      </c>
      <c r="G34" s="277">
        <f t="shared" si="0"/>
        <v>8.292342282783206E-3</v>
      </c>
      <c r="H34" s="278">
        <f t="shared" si="2"/>
        <v>68490.279896050226</v>
      </c>
      <c r="I34" s="279">
        <f t="shared" si="3"/>
        <v>17.14612789197389</v>
      </c>
      <c r="J34" s="276">
        <v>410008.97</v>
      </c>
      <c r="K34" s="277">
        <f t="shared" si="4"/>
        <v>8.7928151404675099E-3</v>
      </c>
      <c r="L34" s="278">
        <f t="shared" si="5"/>
        <v>57931.73000000004</v>
      </c>
      <c r="M34" s="279">
        <f t="shared" si="6"/>
        <v>14.129381120613061</v>
      </c>
      <c r="BY34" s="117"/>
      <c r="BZ34" s="117"/>
      <c r="CA34" s="116"/>
      <c r="CB34" s="116"/>
      <c r="CC34" s="116"/>
      <c r="CD34" s="115"/>
    </row>
    <row r="35" spans="1:82" ht="13.5" customHeight="1">
      <c r="B35" s="80">
        <v>418</v>
      </c>
      <c r="C35" s="93" t="str">
        <f>+'Cental Budget'!C44</f>
        <v>Subvencije</v>
      </c>
      <c r="D35" s="276">
        <v>827674.72</v>
      </c>
      <c r="E35" s="277">
        <f t="shared" si="1"/>
        <v>1.7182012414108074E-2</v>
      </c>
      <c r="F35" s="276">
        <v>606511.6296442115</v>
      </c>
      <c r="G35" s="277">
        <f t="shared" si="0"/>
        <v>1.2590804210919671E-2</v>
      </c>
      <c r="H35" s="278">
        <f t="shared" si="2"/>
        <v>221163.09035578847</v>
      </c>
      <c r="I35" s="279">
        <f t="shared" si="3"/>
        <v>36.464773228755064</v>
      </c>
      <c r="J35" s="276">
        <v>729956.24</v>
      </c>
      <c r="K35" s="277">
        <f t="shared" si="4"/>
        <v>1.5654219172206732E-2</v>
      </c>
      <c r="L35" s="278">
        <f t="shared" si="5"/>
        <v>97718.479999999981</v>
      </c>
      <c r="M35" s="279">
        <f t="shared" si="6"/>
        <v>13.386895630894259</v>
      </c>
      <c r="BY35" s="117"/>
      <c r="BZ35" s="117"/>
      <c r="CA35" s="116"/>
      <c r="CB35" s="116"/>
      <c r="CC35" s="116"/>
      <c r="CD35" s="115"/>
    </row>
    <row r="36" spans="1:82" ht="13.5" customHeight="1">
      <c r="B36" s="80">
        <v>419</v>
      </c>
      <c r="C36" s="93" t="str">
        <f>+'Cental Budget'!C45</f>
        <v>Ostali izdaci</v>
      </c>
      <c r="D36" s="276">
        <v>3810674.92</v>
      </c>
      <c r="E36" s="277">
        <f t="shared" si="1"/>
        <v>7.9107241286251059E-2</v>
      </c>
      <c r="F36" s="276">
        <v>3109038.5170818646</v>
      </c>
      <c r="G36" s="277">
        <f t="shared" si="0"/>
        <v>6.4541705945109384E-2</v>
      </c>
      <c r="H36" s="278">
        <f t="shared" si="2"/>
        <v>701636.40291813528</v>
      </c>
      <c r="I36" s="279">
        <f t="shared" si="3"/>
        <v>22.567633017833728</v>
      </c>
      <c r="J36" s="276">
        <v>3025041.1</v>
      </c>
      <c r="K36" s="277">
        <f t="shared" si="4"/>
        <v>6.487328114947459E-2</v>
      </c>
      <c r="L36" s="278">
        <f t="shared" si="5"/>
        <v>785633.81999999983</v>
      </c>
      <c r="M36" s="279">
        <f t="shared" si="6"/>
        <v>25.971013088053581</v>
      </c>
      <c r="BY36" s="117"/>
      <c r="BZ36" s="117"/>
      <c r="CA36" s="116"/>
      <c r="CB36" s="116"/>
      <c r="CC36" s="116"/>
      <c r="CD36" s="115"/>
    </row>
    <row r="37" spans="1:82" ht="13.5" customHeight="1">
      <c r="A37" s="80">
        <v>42</v>
      </c>
      <c r="B37" s="80" t="s">
        <v>427</v>
      </c>
      <c r="C37" s="93" t="str">
        <f>+'Cental Budget'!C47</f>
        <v>Transferi za socijalnu zaštitu</v>
      </c>
      <c r="D37" s="276">
        <f>+D38</f>
        <v>230172.68000000002</v>
      </c>
      <c r="E37" s="277">
        <f t="shared" si="1"/>
        <v>4.7782416806792473E-3</v>
      </c>
      <c r="F37" s="276">
        <f>+F38</f>
        <v>717946.4292378251</v>
      </c>
      <c r="G37" s="277">
        <f t="shared" si="0"/>
        <v>1.4904121343501799E-2</v>
      </c>
      <c r="H37" s="278">
        <f t="shared" si="2"/>
        <v>-487773.74923782505</v>
      </c>
      <c r="I37" s="279">
        <f t="shared" si="3"/>
        <v>-67.940131655177623</v>
      </c>
      <c r="J37" s="276">
        <f>+J38</f>
        <v>348512.57</v>
      </c>
      <c r="K37" s="277">
        <f t="shared" si="4"/>
        <v>7.4739989277289292E-3</v>
      </c>
      <c r="L37" s="278">
        <f t="shared" si="5"/>
        <v>-118339.88999999998</v>
      </c>
      <c r="M37" s="279">
        <f t="shared" si="6"/>
        <v>-33.955702085580441</v>
      </c>
      <c r="BY37" s="117"/>
      <c r="BZ37" s="117"/>
      <c r="CA37" s="116"/>
      <c r="CB37" s="116"/>
      <c r="CC37" s="116"/>
      <c r="CD37" s="115"/>
    </row>
    <row r="38" spans="1:82" ht="13.5" customHeight="1">
      <c r="B38" s="80">
        <v>421</v>
      </c>
      <c r="C38" s="97" t="s">
        <v>88</v>
      </c>
      <c r="D38" s="273">
        <v>230172.68000000002</v>
      </c>
      <c r="E38" s="274">
        <f>+D38/$D$11*100</f>
        <v>4.7782416806792473E-3</v>
      </c>
      <c r="F38" s="273">
        <v>717946.4292378251</v>
      </c>
      <c r="G38" s="274">
        <f t="shared" si="0"/>
        <v>1.4904121343501799E-2</v>
      </c>
      <c r="H38" s="275">
        <f>+D38-F38</f>
        <v>-487773.74923782505</v>
      </c>
      <c r="I38" s="164">
        <f>+D38/F38*100-100</f>
        <v>-67.940131655177623</v>
      </c>
      <c r="J38" s="273">
        <v>348512.57</v>
      </c>
      <c r="K38" s="274">
        <f t="shared" si="4"/>
        <v>7.4739989277289292E-3</v>
      </c>
      <c r="L38" s="275">
        <f>+D38-J38</f>
        <v>-118339.88999999998</v>
      </c>
      <c r="M38" s="164">
        <f>+D38/J38*100-100</f>
        <v>-33.955702085580441</v>
      </c>
      <c r="BY38" s="117"/>
      <c r="BZ38" s="117"/>
      <c r="CA38" s="116"/>
      <c r="CB38" s="116"/>
      <c r="CC38" s="116"/>
      <c r="CD38" s="115"/>
    </row>
    <row r="39" spans="1:82" ht="13.5" customHeight="1" thickBot="1">
      <c r="A39" s="80">
        <v>43</v>
      </c>
      <c r="C39" s="93" t="str">
        <f>+'Cental Budget'!C53</f>
        <v xml:space="preserve">Transferi institucijama, pojedincima, nevladinom i javnom sektoru </v>
      </c>
      <c r="D39" s="204">
        <v>37752741.760000005</v>
      </c>
      <c r="E39" s="240">
        <f t="shared" si="1"/>
        <v>0.78372343858338012</v>
      </c>
      <c r="F39" s="204">
        <v>33092535.287711695</v>
      </c>
      <c r="G39" s="240">
        <f t="shared" si="0"/>
        <v>0.6869804506385937</v>
      </c>
      <c r="H39" s="205">
        <f t="shared" si="2"/>
        <v>4660206.4722883105</v>
      </c>
      <c r="I39" s="180">
        <f t="shared" si="3"/>
        <v>14.082349483869237</v>
      </c>
      <c r="J39" s="193">
        <v>36851024.100000001</v>
      </c>
      <c r="K39" s="248">
        <f t="shared" si="4"/>
        <v>0.79028574093930948</v>
      </c>
      <c r="L39" s="205">
        <f t="shared" si="5"/>
        <v>901717.66000000387</v>
      </c>
      <c r="M39" s="180">
        <f t="shared" si="6"/>
        <v>2.4469270041263371</v>
      </c>
      <c r="BY39" s="117"/>
      <c r="BZ39" s="117"/>
      <c r="CA39" s="116"/>
      <c r="CB39" s="116"/>
      <c r="CC39" s="116"/>
      <c r="CD39" s="115"/>
    </row>
    <row r="40" spans="1:82" ht="13.5" customHeight="1" thickTop="1" thickBot="1">
      <c r="B40" s="80">
        <v>44</v>
      </c>
      <c r="C40" s="124" t="str">
        <f>+'Cental Budget'!C56</f>
        <v>Kapitalni budžet</v>
      </c>
      <c r="D40" s="280">
        <v>37867644.579999998</v>
      </c>
      <c r="E40" s="281">
        <f t="shared" si="1"/>
        <v>0.78610874966265998</v>
      </c>
      <c r="F40" s="283">
        <v>31803279.652653087</v>
      </c>
      <c r="G40" s="281">
        <f t="shared" si="0"/>
        <v>0.66021630550856503</v>
      </c>
      <c r="H40" s="280">
        <f t="shared" si="2"/>
        <v>6064364.9273469113</v>
      </c>
      <c r="I40" s="281">
        <f t="shared" si="3"/>
        <v>19.068363368747754</v>
      </c>
      <c r="J40" s="283">
        <v>32886958.919999998</v>
      </c>
      <c r="K40" s="282">
        <f t="shared" si="4"/>
        <v>0.70527469268711118</v>
      </c>
      <c r="L40" s="280">
        <f t="shared" si="5"/>
        <v>4980685.66</v>
      </c>
      <c r="M40" s="281">
        <f t="shared" si="6"/>
        <v>15.144865392132772</v>
      </c>
      <c r="BY40" s="117"/>
      <c r="BZ40" s="117"/>
      <c r="CA40" s="116"/>
      <c r="CB40" s="116"/>
      <c r="CC40" s="116"/>
      <c r="CD40" s="115"/>
    </row>
    <row r="41" spans="1:82" ht="13.5" customHeight="1" thickTop="1">
      <c r="B41" s="80">
        <v>451</v>
      </c>
      <c r="C41" s="93" t="str">
        <f>+'Cental Budget'!C57</f>
        <v>Pozajmice i krediti</v>
      </c>
      <c r="D41" s="276">
        <v>5295995.7799999993</v>
      </c>
      <c r="E41" s="277">
        <f t="shared" si="1"/>
        <v>0.10994157854310684</v>
      </c>
      <c r="F41" s="276">
        <v>727296.66228787857</v>
      </c>
      <c r="G41" s="277">
        <f t="shared" si="0"/>
        <v>1.5098226366234426E-2</v>
      </c>
      <c r="H41" s="278">
        <f t="shared" si="2"/>
        <v>4568699.1177121205</v>
      </c>
      <c r="I41" s="279">
        <f t="shared" si="3"/>
        <v>628.17545502549524</v>
      </c>
      <c r="J41" s="276">
        <v>738748.3</v>
      </c>
      <c r="K41" s="277">
        <f t="shared" si="4"/>
        <v>1.5842768603903067E-2</v>
      </c>
      <c r="L41" s="278">
        <f t="shared" si="5"/>
        <v>4557247.4799999995</v>
      </c>
      <c r="M41" s="279">
        <f t="shared" si="6"/>
        <v>616.88771128136591</v>
      </c>
      <c r="BY41" s="117"/>
      <c r="BZ41" s="117"/>
      <c r="CA41" s="116"/>
      <c r="CB41" s="116"/>
      <c r="CC41" s="116"/>
      <c r="CD41" s="115"/>
    </row>
    <row r="42" spans="1:82" ht="13.5" customHeight="1" thickBot="1">
      <c r="B42" s="80">
        <v>47</v>
      </c>
      <c r="C42" s="93" t="str">
        <f>+'Cental Budget'!C58</f>
        <v>Rezerve</v>
      </c>
      <c r="D42" s="284">
        <v>1858553.97</v>
      </c>
      <c r="E42" s="285">
        <f t="shared" si="1"/>
        <v>3.8582424487762342E-2</v>
      </c>
      <c r="F42" s="284">
        <v>1480826.2942238261</v>
      </c>
      <c r="G42" s="285">
        <f t="shared" si="0"/>
        <v>3.0741032866741944E-2</v>
      </c>
      <c r="H42" s="286">
        <f t="shared" si="2"/>
        <v>377727.67577617383</v>
      </c>
      <c r="I42" s="287">
        <f t="shared" si="3"/>
        <v>25.507899018916305</v>
      </c>
      <c r="J42" s="284">
        <v>2343764.89</v>
      </c>
      <c r="K42" s="285">
        <f t="shared" si="4"/>
        <v>5.0263025734505681E-2</v>
      </c>
      <c r="L42" s="286">
        <f t="shared" si="5"/>
        <v>-485210.92000000016</v>
      </c>
      <c r="M42" s="287">
        <f t="shared" si="6"/>
        <v>-20.702201064203166</v>
      </c>
      <c r="BY42" s="117"/>
      <c r="BZ42" s="117"/>
      <c r="CA42" s="116"/>
      <c r="CB42" s="116"/>
      <c r="CC42" s="116"/>
      <c r="CD42" s="115"/>
    </row>
    <row r="43" spans="1:82" ht="13.5" customHeight="1" thickTop="1" thickBot="1">
      <c r="B43" s="80">
        <v>462</v>
      </c>
      <c r="C43" s="153" t="s">
        <v>112</v>
      </c>
      <c r="D43" s="288">
        <v>0</v>
      </c>
      <c r="E43" s="289">
        <f t="shared" si="1"/>
        <v>0</v>
      </c>
      <c r="F43" s="288">
        <v>0</v>
      </c>
      <c r="G43" s="289">
        <f t="shared" si="0"/>
        <v>0</v>
      </c>
      <c r="H43" s="290">
        <f t="shared" si="2"/>
        <v>0</v>
      </c>
      <c r="I43" s="287" t="e">
        <f t="shared" si="3"/>
        <v>#DIV/0!</v>
      </c>
      <c r="J43" s="288">
        <v>0</v>
      </c>
      <c r="K43" s="289">
        <f t="shared" si="4"/>
        <v>0</v>
      </c>
      <c r="L43" s="290">
        <f t="shared" si="5"/>
        <v>0</v>
      </c>
      <c r="M43" s="291" t="e">
        <f t="shared" si="6"/>
        <v>#DIV/0!</v>
      </c>
      <c r="BY43" s="117"/>
      <c r="BZ43" s="117"/>
      <c r="CA43" s="116"/>
      <c r="CB43" s="116"/>
      <c r="CC43" s="116"/>
      <c r="CD43" s="115"/>
    </row>
    <row r="44" spans="1:82" ht="13.5" customHeight="1" thickTop="1" thickBot="1">
      <c r="B44" s="80" t="s">
        <v>448</v>
      </c>
      <c r="C44" s="153" t="s">
        <v>446</v>
      </c>
      <c r="D44" s="276">
        <v>0</v>
      </c>
      <c r="E44" s="289">
        <f>+D44/$D$11*100</f>
        <v>0</v>
      </c>
      <c r="F44" s="292">
        <v>0</v>
      </c>
      <c r="G44" s="289">
        <f t="shared" si="0"/>
        <v>0</v>
      </c>
      <c r="H44" s="290">
        <f>+D44-F44</f>
        <v>0</v>
      </c>
      <c r="I44" s="287" t="e">
        <f>+D44/F44*100-100</f>
        <v>#DIV/0!</v>
      </c>
      <c r="J44" s="276">
        <v>36017291.219700001</v>
      </c>
      <c r="K44" s="289">
        <f t="shared" si="4"/>
        <v>0.7724059879841304</v>
      </c>
      <c r="L44" s="290">
        <f>+D44-J44</f>
        <v>-36017291.219700001</v>
      </c>
      <c r="M44" s="291">
        <f>+D44/J44*100-100</f>
        <v>-100</v>
      </c>
      <c r="BY44" s="117"/>
      <c r="BZ44" s="117"/>
      <c r="CA44" s="116"/>
      <c r="CB44" s="116"/>
      <c r="CC44" s="116"/>
      <c r="CD44" s="115"/>
    </row>
    <row r="45" spans="1:82" ht="13.5" customHeight="1" thickTop="1" thickBot="1">
      <c r="B45" s="80">
        <v>990</v>
      </c>
      <c r="C45" s="154" t="s">
        <v>151</v>
      </c>
      <c r="D45" s="293">
        <v>0</v>
      </c>
      <c r="E45" s="294">
        <f t="shared" si="1"/>
        <v>0</v>
      </c>
      <c r="F45" s="293">
        <v>0</v>
      </c>
      <c r="G45" s="294">
        <f t="shared" si="0"/>
        <v>0</v>
      </c>
      <c r="H45" s="295">
        <f t="shared" si="2"/>
        <v>0</v>
      </c>
      <c r="I45" s="287" t="e">
        <f t="shared" si="3"/>
        <v>#DIV/0!</v>
      </c>
      <c r="J45" s="293">
        <v>0</v>
      </c>
      <c r="K45" s="294">
        <f t="shared" si="4"/>
        <v>0</v>
      </c>
      <c r="L45" s="295">
        <f t="shared" si="5"/>
        <v>0</v>
      </c>
      <c r="M45" s="291" t="e">
        <f t="shared" si="6"/>
        <v>#DIV/0!</v>
      </c>
      <c r="BY45" s="117"/>
      <c r="BZ45" s="117"/>
      <c r="CA45" s="116"/>
      <c r="CB45" s="116"/>
      <c r="CC45" s="116"/>
      <c r="CD45" s="115"/>
    </row>
    <row r="46" spans="1:82" ht="13.5" customHeight="1" thickTop="1" thickBot="1">
      <c r="C46" s="124" t="str">
        <f>+'Cental Budget'!C62</f>
        <v>Suficit / deficit</v>
      </c>
      <c r="D46" s="280">
        <f>+D16-D26</f>
        <v>41345096.158899963</v>
      </c>
      <c r="E46" s="281">
        <f t="shared" si="1"/>
        <v>0.85829848163625333</v>
      </c>
      <c r="F46" s="280">
        <f>+F16-F26</f>
        <v>38993794.246669427</v>
      </c>
      <c r="G46" s="281">
        <f t="shared" si="0"/>
        <v>0.80948691633284409</v>
      </c>
      <c r="H46" s="280">
        <f>+D46-F46</f>
        <v>2351301.9122305363</v>
      </c>
      <c r="I46" s="281">
        <f t="shared" si="3"/>
        <v>6.0299387573225545</v>
      </c>
      <c r="J46" s="280">
        <f>+J16-J26</f>
        <v>-4139849.3860030472</v>
      </c>
      <c r="K46" s="282">
        <f t="shared" si="4"/>
        <v>-8.8780814625842752E-2</v>
      </c>
      <c r="L46" s="280">
        <f t="shared" si="5"/>
        <v>45484945.54490301</v>
      </c>
      <c r="M46" s="281">
        <f t="shared" si="6"/>
        <v>-1098.7101535309221</v>
      </c>
      <c r="BY46" s="117"/>
      <c r="BZ46" s="117"/>
      <c r="CA46" s="116"/>
      <c r="CB46" s="116"/>
      <c r="CC46" s="116"/>
      <c r="CD46" s="115"/>
    </row>
    <row r="47" spans="1:82" ht="13.5" customHeight="1" thickTop="1" thickBot="1">
      <c r="C47" s="124" t="s">
        <v>469</v>
      </c>
      <c r="D47" s="280">
        <f>D46-D45</f>
        <v>41345096.158899963</v>
      </c>
      <c r="E47" s="281">
        <f t="shared" si="1"/>
        <v>0.85829848163625333</v>
      </c>
      <c r="F47" s="280">
        <f>F46-F45</f>
        <v>38993794.246669427</v>
      </c>
      <c r="G47" s="281">
        <f t="shared" si="0"/>
        <v>0.80948691633284409</v>
      </c>
      <c r="H47" s="280">
        <f>+D47-F47</f>
        <v>2351301.9122305363</v>
      </c>
      <c r="I47" s="281">
        <f t="shared" si="3"/>
        <v>6.0299387573225545</v>
      </c>
      <c r="J47" s="280">
        <f>J46-J45</f>
        <v>-4139849.3860030472</v>
      </c>
      <c r="K47" s="282">
        <f t="shared" si="4"/>
        <v>-8.8780814625842752E-2</v>
      </c>
      <c r="L47" s="280">
        <f t="shared" ref="L47" si="7">+D47-J47</f>
        <v>45484945.54490301</v>
      </c>
      <c r="M47" s="281">
        <f t="shared" ref="M47" si="8">+D47/J47*100-100</f>
        <v>-1098.7101535309221</v>
      </c>
      <c r="BY47" s="117"/>
      <c r="BZ47" s="117"/>
      <c r="CA47" s="116"/>
      <c r="CB47" s="116"/>
      <c r="CC47" s="116"/>
      <c r="CD47" s="115"/>
    </row>
    <row r="48" spans="1:82" ht="13.5" customHeight="1" thickTop="1" thickBot="1">
      <c r="C48" s="124" t="str">
        <f>+'Cental Budget'!C64</f>
        <v>Primarni suficit/deficit</v>
      </c>
      <c r="D48" s="280">
        <f>+D46+D33</f>
        <v>43551255.058899961</v>
      </c>
      <c r="E48" s="281">
        <f t="shared" si="1"/>
        <v>0.90409696827759356</v>
      </c>
      <c r="F48" s="280">
        <f>+F46+F33</f>
        <v>42429815.084135711</v>
      </c>
      <c r="G48" s="281">
        <f t="shared" si="0"/>
        <v>0.88081657188216378</v>
      </c>
      <c r="H48" s="280">
        <f t="shared" si="2"/>
        <v>1121439.9747642502</v>
      </c>
      <c r="I48" s="281">
        <f t="shared" si="3"/>
        <v>2.6430470473192145</v>
      </c>
      <c r="J48" s="280">
        <f>+J47+J33</f>
        <v>-1580489.4660030468</v>
      </c>
      <c r="K48" s="282">
        <f t="shared" si="4"/>
        <v>-3.3894262620695836E-2</v>
      </c>
      <c r="L48" s="280">
        <f t="shared" si="5"/>
        <v>45131744.524903007</v>
      </c>
      <c r="M48" s="281">
        <f t="shared" si="6"/>
        <v>-2855.5549085080711</v>
      </c>
      <c r="BY48" s="117"/>
      <c r="BZ48" s="117"/>
      <c r="CA48" s="116"/>
      <c r="CB48" s="116"/>
      <c r="CC48" s="116"/>
      <c r="CD48" s="115"/>
    </row>
    <row r="49" spans="2:82" ht="13.5" customHeight="1" thickTop="1" thickBot="1">
      <c r="C49" s="124" t="str">
        <f>+'Cental Budget'!C65</f>
        <v>Otplata dugova</v>
      </c>
      <c r="D49" s="280">
        <f>+SUM(D50:D52)</f>
        <v>49894960.169999987</v>
      </c>
      <c r="E49" s="281">
        <f t="shared" si="1"/>
        <v>1.035788340910506</v>
      </c>
      <c r="F49" s="280">
        <f>+SUM(F50:F52)</f>
        <v>43589904.368836813</v>
      </c>
      <c r="G49" s="281">
        <f t="shared" si="0"/>
        <v>0.90489930391390705</v>
      </c>
      <c r="H49" s="280">
        <f t="shared" si="2"/>
        <v>6305055.8011631742</v>
      </c>
      <c r="I49" s="281">
        <f t="shared" si="3"/>
        <v>14.464486427437009</v>
      </c>
      <c r="J49" s="280">
        <f>+SUM(J50:J51)</f>
        <v>10304492.800000001</v>
      </c>
      <c r="K49" s="282">
        <f t="shared" si="4"/>
        <v>0.22098419043534209</v>
      </c>
      <c r="L49" s="280">
        <f t="shared" si="5"/>
        <v>39590467.36999999</v>
      </c>
      <c r="M49" s="281">
        <f t="shared" si="6"/>
        <v>384.20588124434403</v>
      </c>
      <c r="BY49" s="117"/>
      <c r="BZ49" s="117"/>
      <c r="CA49" s="116"/>
      <c r="CB49" s="116"/>
      <c r="CC49" s="116"/>
      <c r="CD49" s="115"/>
    </row>
    <row r="50" spans="2:82" ht="13.5" customHeight="1" thickTop="1">
      <c r="B50" s="80">
        <v>4611</v>
      </c>
      <c r="C50" s="97" t="str">
        <f>+'Cental Budget'!C66</f>
        <v>Otplata hartija od vrijednosti i kredita rezidentima</v>
      </c>
      <c r="D50" s="296">
        <v>11722018.08</v>
      </c>
      <c r="E50" s="297">
        <f t="shared" si="1"/>
        <v>0.24334180482032758</v>
      </c>
      <c r="F50" s="296">
        <v>7657806.8090600707</v>
      </c>
      <c r="G50" s="297">
        <f t="shared" si="0"/>
        <v>0.15897130657574204</v>
      </c>
      <c r="H50" s="298">
        <f t="shared" si="2"/>
        <v>4064211.2709399294</v>
      </c>
      <c r="I50" s="299">
        <f t="shared" si="3"/>
        <v>53.072784052628464</v>
      </c>
      <c r="J50" s="296">
        <v>8171428.5</v>
      </c>
      <c r="K50" s="297">
        <f t="shared" si="4"/>
        <v>0.17523972764314819</v>
      </c>
      <c r="L50" s="298">
        <f t="shared" si="5"/>
        <v>3550589.58</v>
      </c>
      <c r="M50" s="299">
        <f t="shared" si="6"/>
        <v>43.451271463734884</v>
      </c>
      <c r="BY50" s="117"/>
      <c r="BZ50" s="117"/>
      <c r="CA50" s="116"/>
      <c r="CB50" s="116"/>
      <c r="CC50" s="116"/>
      <c r="CD50" s="115"/>
    </row>
    <row r="51" spans="2:82" ht="13.5" customHeight="1">
      <c r="B51" s="80">
        <v>4612</v>
      </c>
      <c r="C51" s="97" t="str">
        <f>+'Cental Budget'!C67</f>
        <v>Otplata hartija od vrijednosti i kredita nerezidentima</v>
      </c>
      <c r="D51" s="292">
        <v>2095202.01</v>
      </c>
      <c r="E51" s="274">
        <f t="shared" si="1"/>
        <v>4.3495090614685185E-2</v>
      </c>
      <c r="F51" s="292">
        <v>3485990.2918995782</v>
      </c>
      <c r="G51" s="274">
        <f t="shared" si="0"/>
        <v>7.236699034480451E-2</v>
      </c>
      <c r="H51" s="275">
        <f t="shared" si="2"/>
        <v>-1390788.2818995782</v>
      </c>
      <c r="I51" s="164">
        <f t="shared" si="3"/>
        <v>-39.896504735866976</v>
      </c>
      <c r="J51" s="292">
        <v>2133064.2999999998</v>
      </c>
      <c r="K51" s="274">
        <f t="shared" si="4"/>
        <v>4.5744462792193859E-2</v>
      </c>
      <c r="L51" s="275">
        <f t="shared" si="5"/>
        <v>-37862.289999999804</v>
      </c>
      <c r="M51" s="164">
        <f t="shared" si="6"/>
        <v>-1.7750186902476344</v>
      </c>
      <c r="BY51" s="117"/>
      <c r="BZ51" s="117"/>
      <c r="CA51" s="116"/>
      <c r="CB51" s="116"/>
      <c r="CC51" s="116"/>
      <c r="CD51" s="115"/>
    </row>
    <row r="52" spans="2:82" ht="13.5" customHeight="1" thickBot="1">
      <c r="B52" s="80" t="s">
        <v>448</v>
      </c>
      <c r="C52" s="97" t="s">
        <v>446</v>
      </c>
      <c r="D52" s="273">
        <v>36077740.079999991</v>
      </c>
      <c r="E52" s="274">
        <f>+D52/$D$11*100</f>
        <v>0.7489514454754933</v>
      </c>
      <c r="F52" s="292">
        <v>32446107.267877165</v>
      </c>
      <c r="G52" s="274">
        <f t="shared" si="0"/>
        <v>0.67356100699336041</v>
      </c>
      <c r="H52" s="275">
        <f>+D52-F52</f>
        <v>3631632.8121228255</v>
      </c>
      <c r="I52" s="164">
        <f>+D52/F52*100-100</f>
        <v>11.192815156961132</v>
      </c>
      <c r="J52" s="292">
        <v>0</v>
      </c>
      <c r="K52" s="274">
        <f t="shared" si="4"/>
        <v>0</v>
      </c>
      <c r="L52" s="275">
        <f>+D52-J52</f>
        <v>36077740.079999991</v>
      </c>
      <c r="M52" s="164" t="e">
        <f>+D52/J52*100-100</f>
        <v>#DIV/0!</v>
      </c>
      <c r="BY52" s="117"/>
      <c r="BZ52" s="117"/>
      <c r="CA52" s="116"/>
      <c r="CB52" s="116"/>
      <c r="CC52" s="116"/>
      <c r="CD52" s="115"/>
    </row>
    <row r="53" spans="2:82" ht="13.5" customHeight="1" thickTop="1" thickBot="1">
      <c r="C53" s="124" t="s">
        <v>466</v>
      </c>
      <c r="D53" s="280">
        <v>0</v>
      </c>
      <c r="E53" s="281">
        <f t="shared" si="1"/>
        <v>0</v>
      </c>
      <c r="F53" s="280">
        <v>0</v>
      </c>
      <c r="G53" s="281">
        <f t="shared" si="0"/>
        <v>0</v>
      </c>
      <c r="H53" s="280">
        <f t="shared" si="2"/>
        <v>0</v>
      </c>
      <c r="I53" s="281" t="e">
        <f t="shared" si="3"/>
        <v>#DIV/0!</v>
      </c>
      <c r="J53" s="280">
        <v>0</v>
      </c>
      <c r="K53" s="282">
        <f t="shared" si="4"/>
        <v>0</v>
      </c>
      <c r="L53" s="280">
        <f t="shared" si="5"/>
        <v>0</v>
      </c>
      <c r="M53" s="281" t="e">
        <f t="shared" si="6"/>
        <v>#DIV/0!</v>
      </c>
      <c r="BY53" s="117"/>
      <c r="BZ53" s="117"/>
      <c r="CA53" s="116"/>
      <c r="CB53" s="116"/>
      <c r="CC53" s="116"/>
      <c r="CD53" s="115"/>
    </row>
    <row r="54" spans="2:82" ht="13.5" customHeight="1" thickTop="1" thickBot="1">
      <c r="C54" s="124" t="str">
        <f>+'Cental Budget'!C70</f>
        <v>Nedostajuća sredstva</v>
      </c>
      <c r="D54" s="280">
        <f>+D46-D49-D53</f>
        <v>-8549864.011100024</v>
      </c>
      <c r="E54" s="281">
        <f t="shared" si="1"/>
        <v>-0.17748985927425265</v>
      </c>
      <c r="F54" s="280">
        <f>+F46-F49-F53</f>
        <v>-4596110.1221673861</v>
      </c>
      <c r="G54" s="281">
        <f t="shared" si="0"/>
        <v>-9.5412387581063005E-2</v>
      </c>
      <c r="H54" s="280">
        <f t="shared" si="2"/>
        <v>-3953753.8889326379</v>
      </c>
      <c r="I54" s="281">
        <f t="shared" si="3"/>
        <v>86.023915525073789</v>
      </c>
      <c r="J54" s="280">
        <f>+J47-J49-J53</f>
        <v>-14444342.186003048</v>
      </c>
      <c r="K54" s="282">
        <f t="shared" si="4"/>
        <v>-0.30976500506118482</v>
      </c>
      <c r="L54" s="280">
        <f t="shared" si="5"/>
        <v>5894478.174903024</v>
      </c>
      <c r="M54" s="281">
        <f t="shared" si="6"/>
        <v>-40.808214725174054</v>
      </c>
      <c r="BY54" s="117"/>
      <c r="BZ54" s="117"/>
      <c r="CA54" s="116"/>
      <c r="CB54" s="116"/>
      <c r="CC54" s="116"/>
      <c r="CD54" s="115"/>
    </row>
    <row r="55" spans="2:82" ht="13.5" customHeight="1" thickTop="1" thickBot="1">
      <c r="C55" s="124" t="str">
        <f>+'Cental Budget'!C71</f>
        <v>Finansiranje</v>
      </c>
      <c r="D55" s="280">
        <f>+SUM(D56:D60)</f>
        <v>8549864.011100024</v>
      </c>
      <c r="E55" s="281">
        <f t="shared" si="1"/>
        <v>0.17748985927425265</v>
      </c>
      <c r="F55" s="280">
        <f>+SUM(F56:F60)</f>
        <v>4596110.1221673861</v>
      </c>
      <c r="G55" s="281">
        <f t="shared" si="0"/>
        <v>9.5412387581063005E-2</v>
      </c>
      <c r="H55" s="280">
        <f t="shared" si="2"/>
        <v>3953753.8889326379</v>
      </c>
      <c r="I55" s="281">
        <f t="shared" si="3"/>
        <v>86.023915525073789</v>
      </c>
      <c r="J55" s="280">
        <f>+SUM(J56:J60)+J45</f>
        <v>14444342.186003048</v>
      </c>
      <c r="K55" s="282">
        <f t="shared" si="4"/>
        <v>0.30976500506118482</v>
      </c>
      <c r="L55" s="280">
        <f t="shared" si="5"/>
        <v>-5894478.174903024</v>
      </c>
      <c r="M55" s="281">
        <f t="shared" si="6"/>
        <v>-40.808214725174054</v>
      </c>
      <c r="BY55" s="117"/>
      <c r="BZ55" s="117"/>
      <c r="CA55" s="116"/>
      <c r="CB55" s="116"/>
      <c r="CC55" s="116"/>
      <c r="CD55" s="115"/>
    </row>
    <row r="56" spans="2:82" ht="13.5" customHeight="1" thickTop="1">
      <c r="B56" s="80">
        <v>7511</v>
      </c>
      <c r="C56" s="97" t="str">
        <f>+'Cental Budget'!C72</f>
        <v>Pozajmice i krediti od domaćih izvora</v>
      </c>
      <c r="D56" s="296">
        <v>14018636.390000001</v>
      </c>
      <c r="E56" s="297">
        <f t="shared" si="1"/>
        <v>0.29101817255195034</v>
      </c>
      <c r="F56" s="296">
        <v>2948057.7070691744</v>
      </c>
      <c r="G56" s="297">
        <f t="shared" si="0"/>
        <v>6.1199844451416296E-2</v>
      </c>
      <c r="H56" s="298">
        <f t="shared" si="2"/>
        <v>11070578.682930827</v>
      </c>
      <c r="I56" s="299">
        <f t="shared" si="3"/>
        <v>375.52109839588911</v>
      </c>
      <c r="J56" s="296">
        <v>3233423.13</v>
      </c>
      <c r="K56" s="297">
        <f t="shared" si="4"/>
        <v>6.9342121595539347E-2</v>
      </c>
      <c r="L56" s="298">
        <f t="shared" si="5"/>
        <v>10785213.260000002</v>
      </c>
      <c r="M56" s="299">
        <f t="shared" si="6"/>
        <v>333.55403318340217</v>
      </c>
      <c r="BY56" s="117"/>
      <c r="BZ56" s="117"/>
      <c r="CA56" s="116"/>
      <c r="CB56" s="116"/>
      <c r="CC56" s="116"/>
      <c r="CD56" s="115"/>
    </row>
    <row r="57" spans="2:82" ht="13.5" customHeight="1">
      <c r="B57" s="80">
        <v>7512</v>
      </c>
      <c r="C57" s="97" t="str">
        <f>+'Cental Budget'!C73</f>
        <v>Pozajmice i krediti od inostranih izvora</v>
      </c>
      <c r="D57" s="292">
        <v>3061964.03</v>
      </c>
      <c r="E57" s="274">
        <f t="shared" si="1"/>
        <v>6.3564468871312618E-2</v>
      </c>
      <c r="F57" s="292">
        <v>2256420.073653806</v>
      </c>
      <c r="G57" s="274">
        <f t="shared" si="0"/>
        <v>4.6841877346407712E-2</v>
      </c>
      <c r="H57" s="275">
        <f t="shared" si="2"/>
        <v>805543.95634619379</v>
      </c>
      <c r="I57" s="164">
        <f t="shared" si="3"/>
        <v>35.700088195093116</v>
      </c>
      <c r="J57" s="292">
        <v>1265175.07</v>
      </c>
      <c r="K57" s="274">
        <f t="shared" si="4"/>
        <v>2.7132212524126099E-2</v>
      </c>
      <c r="L57" s="275">
        <f t="shared" si="5"/>
        <v>1796788.9599999997</v>
      </c>
      <c r="M57" s="164">
        <f t="shared" si="6"/>
        <v>142.01899820868266</v>
      </c>
      <c r="BY57" s="117"/>
      <c r="BZ57" s="117"/>
      <c r="CA57" s="116"/>
      <c r="CB57" s="116"/>
      <c r="CC57" s="116"/>
      <c r="CD57" s="115"/>
    </row>
    <row r="58" spans="2:82" ht="13.5" customHeight="1" thickBot="1">
      <c r="B58" s="80">
        <v>72</v>
      </c>
      <c r="C58" s="103" t="str">
        <f>+'Cental Budget'!C74</f>
        <v>Primici od prodaje imovine</v>
      </c>
      <c r="D58" s="292">
        <v>7732862.4899999993</v>
      </c>
      <c r="E58" s="274">
        <f t="shared" si="1"/>
        <v>0.16052941583110167</v>
      </c>
      <c r="F58" s="292">
        <v>2341648.8711803849</v>
      </c>
      <c r="G58" s="274">
        <f t="shared" si="0"/>
        <v>4.8611174174926511E-2</v>
      </c>
      <c r="H58" s="275">
        <f t="shared" si="2"/>
        <v>5391213.6188196149</v>
      </c>
      <c r="I58" s="164">
        <f t="shared" si="3"/>
        <v>230.23151272470648</v>
      </c>
      <c r="J58" s="292">
        <v>3825630.37</v>
      </c>
      <c r="K58" s="274">
        <f t="shared" si="4"/>
        <v>8.2042255414968901E-2</v>
      </c>
      <c r="L58" s="275">
        <f t="shared" si="5"/>
        <v>3907232.1199999992</v>
      </c>
      <c r="M58" s="164">
        <f t="shared" si="6"/>
        <v>102.13302755644946</v>
      </c>
      <c r="BY58" s="117"/>
      <c r="BZ58" s="117"/>
      <c r="CA58" s="116"/>
      <c r="CB58" s="116"/>
      <c r="CC58" s="116"/>
      <c r="CD58" s="115"/>
    </row>
    <row r="59" spans="2:82" ht="13.5" customHeight="1" thickTop="1" thickBot="1">
      <c r="C59" s="119" t="str">
        <f>+'Cental Budget'!C75</f>
        <v>Povećanje / smanjenje depozita</v>
      </c>
      <c r="D59" s="216">
        <f>-D54-SUM(D56:D58)-D60</f>
        <v>-21700730.728899974</v>
      </c>
      <c r="E59" s="256">
        <f t="shared" si="1"/>
        <v>-0.45049367314151612</v>
      </c>
      <c r="F59" s="216">
        <f>-F54-SUM(F56:F58)-F60</f>
        <v>-5291665.400916364</v>
      </c>
      <c r="G59" s="256">
        <f t="shared" si="0"/>
        <v>-0.10985168256661401</v>
      </c>
      <c r="H59" s="217">
        <f t="shared" si="2"/>
        <v>-16409065.32798361</v>
      </c>
      <c r="I59" s="184">
        <f t="shared" si="3"/>
        <v>310.09264730045157</v>
      </c>
      <c r="J59" s="216">
        <f>-J54-SUM(J56:J58)-J60-J45</f>
        <v>2132311.2560030478</v>
      </c>
      <c r="K59" s="300">
        <f t="shared" si="4"/>
        <v>4.5728313446344579E-2</v>
      </c>
      <c r="L59" s="217">
        <f t="shared" si="5"/>
        <v>-23833041.984903023</v>
      </c>
      <c r="M59" s="184">
        <f t="shared" si="6"/>
        <v>-1117.7093361865627</v>
      </c>
      <c r="BY59" s="117"/>
      <c r="BZ59" s="117"/>
      <c r="CA59" s="116"/>
      <c r="CB59" s="116"/>
      <c r="CC59" s="116"/>
      <c r="CD59" s="115"/>
    </row>
    <row r="60" spans="2:82" ht="13.5" customHeight="1" thickTop="1" thickBot="1">
      <c r="B60" s="80">
        <v>999</v>
      </c>
      <c r="C60" s="124" t="s">
        <v>455</v>
      </c>
      <c r="D60" s="283">
        <v>5437131.8299999991</v>
      </c>
      <c r="E60" s="281">
        <f t="shared" si="1"/>
        <v>0.11287147516140415</v>
      </c>
      <c r="F60" s="283">
        <v>2341648.8711803849</v>
      </c>
      <c r="G60" s="281">
        <f t="shared" si="0"/>
        <v>4.8611174174926511E-2</v>
      </c>
      <c r="H60" s="280">
        <f>+D60-F60</f>
        <v>3095482.9588196143</v>
      </c>
      <c r="I60" s="281">
        <f t="shared" si="3"/>
        <v>132.1924476772316</v>
      </c>
      <c r="J60" s="283">
        <v>3987802.36</v>
      </c>
      <c r="K60" s="282">
        <f t="shared" si="4"/>
        <v>8.552010208020587E-2</v>
      </c>
      <c r="L60" s="280">
        <f t="shared" si="5"/>
        <v>1449329.4699999993</v>
      </c>
      <c r="M60" s="281">
        <f t="shared" si="6"/>
        <v>36.344064704350075</v>
      </c>
      <c r="N60" s="160"/>
      <c r="BY60" s="117"/>
      <c r="BZ60" s="117"/>
      <c r="CA60" s="116"/>
      <c r="CB60" s="116"/>
      <c r="CC60" s="116"/>
      <c r="CD60" s="115"/>
    </row>
    <row r="61" spans="2:82" ht="13.5" thickTop="1">
      <c r="C61" s="106" t="str">
        <f>IF(MasterSheet!$A$1=1,MasterSheet!C151,MasterSheet!B151)</f>
        <v>Izvor: Ministarstvo finansija Crne Gore</v>
      </c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O61" s="81"/>
    </row>
    <row r="62" spans="2:82">
      <c r="C62" s="105"/>
      <c r="D62" s="301"/>
      <c r="E62" s="301"/>
      <c r="F62" s="301"/>
      <c r="G62" s="301"/>
      <c r="H62" s="301"/>
      <c r="I62" s="301"/>
      <c r="J62" s="301"/>
      <c r="K62" s="302"/>
      <c r="L62" s="301"/>
      <c r="M62" s="301"/>
      <c r="O62" s="81"/>
    </row>
    <row r="63" spans="2:82">
      <c r="D63" s="303"/>
      <c r="E63" s="304"/>
      <c r="F63" s="304"/>
      <c r="G63" s="304"/>
      <c r="H63" s="304"/>
      <c r="I63" s="304"/>
      <c r="J63" s="304"/>
      <c r="K63" s="304"/>
      <c r="L63" s="304"/>
      <c r="M63" s="304"/>
    </row>
    <row r="64" spans="2:82">
      <c r="D64" s="303"/>
      <c r="E64" s="304"/>
      <c r="F64" s="304"/>
      <c r="G64" s="304"/>
      <c r="H64" s="304"/>
      <c r="I64" s="304"/>
      <c r="J64" s="304"/>
      <c r="K64" s="304"/>
      <c r="L64" s="304"/>
      <c r="M64" s="304"/>
    </row>
    <row r="65" spans="3:13">
      <c r="C65" s="110"/>
      <c r="D65" s="304"/>
      <c r="E65" s="304"/>
      <c r="F65" s="304"/>
      <c r="G65" s="304"/>
      <c r="H65" s="304"/>
      <c r="I65" s="304"/>
      <c r="J65" s="304"/>
      <c r="K65" s="304"/>
      <c r="L65" s="304"/>
      <c r="M65" s="304"/>
    </row>
    <row r="66" spans="3:13" ht="15">
      <c r="E66" s="304"/>
      <c r="F66" s="304"/>
      <c r="G66" s="304"/>
      <c r="H66" s="304"/>
      <c r="I66" s="304"/>
      <c r="J66" s="304"/>
      <c r="K66" s="305"/>
      <c r="L66" s="304"/>
      <c r="M66" s="304"/>
    </row>
    <row r="67" spans="3:13">
      <c r="E67" s="304"/>
      <c r="F67" s="304"/>
      <c r="G67" s="304"/>
      <c r="H67" s="304"/>
      <c r="I67" s="304"/>
      <c r="J67" s="304"/>
      <c r="K67" s="304"/>
      <c r="L67" s="304"/>
      <c r="M67" s="304"/>
    </row>
    <row r="68" spans="3:13">
      <c r="E68" s="304"/>
      <c r="F68" s="304"/>
      <c r="G68" s="304"/>
      <c r="H68" s="304"/>
      <c r="I68" s="304"/>
      <c r="J68" s="304"/>
      <c r="K68" s="304"/>
      <c r="L68" s="304"/>
      <c r="M68" s="304"/>
    </row>
    <row r="69" spans="3:13">
      <c r="E69" s="304"/>
      <c r="F69" s="304"/>
      <c r="G69" s="304"/>
      <c r="H69" s="304"/>
      <c r="I69" s="304"/>
      <c r="J69" s="304"/>
      <c r="K69" s="304"/>
      <c r="L69" s="304"/>
      <c r="M69" s="304"/>
    </row>
    <row r="70" spans="3:13">
      <c r="E70" s="304"/>
      <c r="F70" s="304"/>
      <c r="G70" s="304"/>
      <c r="H70" s="304"/>
      <c r="I70" s="304"/>
      <c r="J70" s="304"/>
      <c r="K70" s="304"/>
      <c r="L70" s="304"/>
      <c r="M70" s="304"/>
    </row>
    <row r="71" spans="3:13">
      <c r="E71" s="304"/>
      <c r="F71" s="304"/>
      <c r="G71" s="304"/>
      <c r="H71" s="304"/>
      <c r="I71" s="304"/>
      <c r="J71" s="304"/>
      <c r="K71" s="304"/>
      <c r="L71" s="304"/>
      <c r="M71" s="304"/>
    </row>
    <row r="72" spans="3:13">
      <c r="E72" s="304"/>
      <c r="F72" s="304"/>
      <c r="G72" s="304"/>
      <c r="H72" s="304"/>
      <c r="I72" s="304"/>
      <c r="J72" s="304"/>
      <c r="K72" s="304"/>
      <c r="L72" s="304"/>
      <c r="M72" s="304"/>
    </row>
    <row r="73" spans="3:13">
      <c r="E73" s="304"/>
      <c r="F73" s="304"/>
      <c r="G73" s="304"/>
      <c r="H73" s="304"/>
      <c r="I73" s="304"/>
      <c r="J73" s="304"/>
      <c r="K73" s="304"/>
      <c r="L73" s="304"/>
      <c r="M73" s="304"/>
    </row>
    <row r="74" spans="3:13">
      <c r="E74" s="304"/>
      <c r="F74" s="304"/>
      <c r="G74" s="304"/>
      <c r="H74" s="304"/>
      <c r="I74" s="304"/>
      <c r="J74" s="304"/>
      <c r="K74" s="304"/>
      <c r="L74" s="304"/>
      <c r="M74" s="304"/>
    </row>
    <row r="75" spans="3:13">
      <c r="E75" s="304"/>
      <c r="F75" s="304"/>
      <c r="G75" s="304"/>
      <c r="H75" s="304"/>
      <c r="I75" s="304"/>
      <c r="J75" s="304"/>
      <c r="K75" s="304"/>
      <c r="L75" s="304"/>
      <c r="M75" s="304"/>
    </row>
    <row r="76" spans="3:13">
      <c r="E76" s="304"/>
      <c r="F76" s="304"/>
      <c r="G76" s="304"/>
      <c r="H76" s="304"/>
      <c r="I76" s="304"/>
      <c r="J76" s="304"/>
      <c r="K76" s="304"/>
      <c r="L76" s="304"/>
      <c r="M76" s="304"/>
    </row>
    <row r="77" spans="3:13">
      <c r="E77" s="304"/>
      <c r="F77" s="304"/>
      <c r="G77" s="304"/>
      <c r="H77" s="304"/>
      <c r="I77" s="304"/>
      <c r="J77" s="304"/>
      <c r="K77" s="304"/>
      <c r="L77" s="304"/>
      <c r="M77" s="304"/>
    </row>
  </sheetData>
  <sheetProtection formatCells="0" formatColumns="0" formatRows="0" sort="0" autoFilter="0"/>
  <mergeCells count="12">
    <mergeCell ref="L14:M14"/>
    <mergeCell ref="H11:I11"/>
    <mergeCell ref="J11:K11"/>
    <mergeCell ref="L11:M11"/>
    <mergeCell ref="D11:G11"/>
    <mergeCell ref="D13:E13"/>
    <mergeCell ref="J13:K13"/>
    <mergeCell ref="C14:C15"/>
    <mergeCell ref="D14:E14"/>
    <mergeCell ref="F14:G14"/>
    <mergeCell ref="H14:I14"/>
    <mergeCell ref="J14:K14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BJ80"/>
  <sheetViews>
    <sheetView tabSelected="1" topLeftCell="B1" zoomScaleNormal="100" workbookViewId="0">
      <selection activeCell="H45" sqref="H45"/>
    </sheetView>
  </sheetViews>
  <sheetFormatPr defaultColWidth="9.140625" defaultRowHeight="12.75"/>
  <cols>
    <col min="1" max="2" width="9.140625" style="80" customWidth="1"/>
    <col min="3" max="3" width="38.140625" style="80" customWidth="1"/>
    <col min="4" max="13" width="7.7109375" style="166" customWidth="1"/>
    <col min="14" max="14" width="15.42578125" style="80" customWidth="1"/>
    <col min="15" max="54" width="9.140625" style="80" customWidth="1"/>
    <col min="55" max="55" width="9.140625" style="80"/>
    <col min="56" max="56" width="15.42578125" style="80" customWidth="1"/>
    <col min="57" max="57" width="12.7109375" style="80" customWidth="1"/>
    <col min="58" max="58" width="11.85546875" style="80" customWidth="1"/>
    <col min="59" max="16384" width="9.140625" style="80"/>
  </cols>
  <sheetData>
    <row r="1" spans="2:54" s="111" customFormat="1" ht="15" customHeight="1">
      <c r="C1" s="109"/>
      <c r="D1" s="189">
        <v>3</v>
      </c>
      <c r="E1" s="189">
        <v>4</v>
      </c>
      <c r="F1" s="189">
        <v>5</v>
      </c>
      <c r="G1" s="189">
        <v>6</v>
      </c>
      <c r="H1" s="189">
        <v>7</v>
      </c>
      <c r="I1" s="189">
        <v>8</v>
      </c>
      <c r="J1" s="189">
        <v>9</v>
      </c>
      <c r="K1" s="189">
        <v>10</v>
      </c>
      <c r="L1" s="189">
        <v>11</v>
      </c>
      <c r="M1" s="189">
        <v>12</v>
      </c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</row>
    <row r="2" spans="2:54" ht="15" hidden="1" customHeight="1">
      <c r="C2" s="81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</row>
    <row r="3" spans="2:54" ht="15" hidden="1" customHeight="1">
      <c r="C3" s="81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2:54" ht="15" hidden="1" customHeight="1">
      <c r="C4" s="81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</row>
    <row r="5" spans="2:54" ht="15" hidden="1" customHeight="1">
      <c r="C5" s="81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</row>
    <row r="6" spans="2:54" ht="15" hidden="1" customHeight="1">
      <c r="C6" s="81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</row>
    <row r="7" spans="2:54" ht="15" hidden="1" customHeight="1">
      <c r="C7" s="81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</row>
    <row r="8" spans="2:54" ht="15" hidden="1" customHeight="1">
      <c r="C8" s="81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</row>
    <row r="9" spans="2:54" ht="15" hidden="1" customHeight="1">
      <c r="C9" s="81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</row>
    <row r="10" spans="2:54" ht="15" customHeight="1" thickBot="1">
      <c r="C10" s="81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</row>
    <row r="11" spans="2:54" ht="18.75" customHeight="1" thickTop="1" thickBot="1">
      <c r="C11" s="136" t="str">
        <f>IF(MasterSheet!$A$1=1,MasterSheet!B67,MasterSheet!B66)</f>
        <v>BDP (u mil. €)</v>
      </c>
      <c r="D11" s="342">
        <f>+'Cental Budget'!D11:G11</f>
        <v>4817100000</v>
      </c>
      <c r="E11" s="343"/>
      <c r="F11" s="343"/>
      <c r="G11" s="344"/>
      <c r="H11" s="331"/>
      <c r="I11" s="332"/>
      <c r="J11" s="340">
        <f>+'Cental Budget'!J11:K11</f>
        <v>4663000000</v>
      </c>
      <c r="K11" s="341"/>
      <c r="L11" s="331"/>
      <c r="M11" s="335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</row>
    <row r="12" spans="2:54" ht="27" customHeight="1" thickTop="1" thickBot="1">
      <c r="B12" s="85"/>
      <c r="C12" s="137"/>
      <c r="D12" s="339"/>
      <c r="E12" s="339"/>
      <c r="F12" s="190"/>
      <c r="G12" s="190"/>
      <c r="H12" s="190"/>
      <c r="I12" s="190"/>
      <c r="J12" s="349"/>
      <c r="K12" s="349"/>
      <c r="L12" s="190"/>
      <c r="M12" s="190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</row>
    <row r="13" spans="2:54" ht="15.75" customHeight="1" thickTop="1">
      <c r="B13" s="87"/>
      <c r="C13" s="345" t="s">
        <v>234</v>
      </c>
      <c r="D13" s="347" t="s">
        <v>470</v>
      </c>
      <c r="E13" s="348"/>
      <c r="F13" s="347" t="s">
        <v>471</v>
      </c>
      <c r="G13" s="348"/>
      <c r="H13" s="347" t="str">
        <f>+'Cental Budget'!H14:I14</f>
        <v>Odstupanje</v>
      </c>
      <c r="I13" s="348"/>
      <c r="J13" s="347" t="s">
        <v>464</v>
      </c>
      <c r="K13" s="348"/>
      <c r="L13" s="347" t="str">
        <f>+H13</f>
        <v>Odstupanje</v>
      </c>
      <c r="M13" s="348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</row>
    <row r="14" spans="2:54" ht="15" customHeight="1" thickBot="1">
      <c r="C14" s="346" t="str">
        <f>IF(MasterSheet!$A$1=1,MasterSheet!B71,MasterSheet!B70)</f>
        <v>Budžet Crne Gore</v>
      </c>
      <c r="D14" s="306" t="str">
        <f>IF(MasterSheet!$A$1=1,MasterSheet!C71,MasterSheet!C70)</f>
        <v>mil. €</v>
      </c>
      <c r="E14" s="307" t="str">
        <f>IF(MasterSheet!$A$1=1,MasterSheet!D71,MasterSheet!D70)</f>
        <v>% BDP</v>
      </c>
      <c r="F14" s="308" t="str">
        <f>IF(MasterSheet!$A$1=1,MasterSheet!E71,MasterSheet!E70)</f>
        <v>mil. €</v>
      </c>
      <c r="G14" s="309" t="str">
        <f>IF(MasterSheet!$A$1=1,MasterSheet!F71,MasterSheet!F70)</f>
        <v>% BDP</v>
      </c>
      <c r="H14" s="310" t="str">
        <f>IF(MasterSheet!$A$1=1,MasterSheet!G71,MasterSheet!G70)</f>
        <v>mil. €</v>
      </c>
      <c r="I14" s="309" t="s">
        <v>439</v>
      </c>
      <c r="J14" s="306" t="str">
        <f>IF(MasterSheet!$A$1=1,MasterSheet!I71,MasterSheet!I70)</f>
        <v>mil. €</v>
      </c>
      <c r="K14" s="308" t="str">
        <f>IF(MasterSheet!$A$1=1,MasterSheet!J71,MasterSheet!J70)</f>
        <v>% BDP</v>
      </c>
      <c r="L14" s="306" t="str">
        <f>IF(MasterSheet!$A$1=1,MasterSheet!K71,MasterSheet!K70)</f>
        <v>mil. €</v>
      </c>
      <c r="M14" s="307" t="s">
        <v>439</v>
      </c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</row>
    <row r="15" spans="2:54" ht="15" customHeight="1" thickTop="1" thickBot="1">
      <c r="C15" s="138" t="str">
        <f>IF(MasterSheet!$A$1=1,MasterSheet!C72,MasterSheet!B72)</f>
        <v>Izvorni prihodi</v>
      </c>
      <c r="D15" s="191">
        <f>D16+D25+D30+D31+D32+D33+D34</f>
        <v>1523704078.0699999</v>
      </c>
      <c r="E15" s="192">
        <f t="shared" ref="E15:E74" si="0">D15/D$11*100</f>
        <v>31.631148991509413</v>
      </c>
      <c r="F15" s="191">
        <f>F16+F25+F30+F31+F32+F33+F34</f>
        <v>1471829625.5218425</v>
      </c>
      <c r="G15" s="192">
        <f>F15/D$11*100</f>
        <v>30.554267619975555</v>
      </c>
      <c r="H15" s="191">
        <f>+D15-F15</f>
        <v>51874452.548157454</v>
      </c>
      <c r="I15" s="192">
        <f>+D15/F15*100-100</f>
        <v>3.5244875934444622</v>
      </c>
      <c r="J15" s="191">
        <f>J16+J25+J30+J31+J32+J33+J34</f>
        <v>1434262716.04</v>
      </c>
      <c r="K15" s="192">
        <f t="shared" ref="K15:K74" si="1">J15/J$11*100</f>
        <v>30.758368347415825</v>
      </c>
      <c r="L15" s="191">
        <f>+D15-J15</f>
        <v>89441362.029999971</v>
      </c>
      <c r="M15" s="192">
        <f>+D15/J15*100-100</f>
        <v>6.236051528756704</v>
      </c>
      <c r="N15" s="168"/>
      <c r="O15" s="168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</row>
    <row r="16" spans="2:54" ht="15" customHeight="1" thickTop="1">
      <c r="B16" s="80">
        <v>711</v>
      </c>
      <c r="C16" s="93" t="str">
        <f>IF(MasterSheet!$A$1=1,MasterSheet!C73,MasterSheet!B73)</f>
        <v>Porezi</v>
      </c>
      <c r="D16" s="193">
        <f>SUM(D17:D24)</f>
        <v>998503573.69000006</v>
      </c>
      <c r="E16" s="194">
        <f t="shared" si="0"/>
        <v>20.728313169541842</v>
      </c>
      <c r="F16" s="193">
        <f>SUM(F17:F24)</f>
        <v>952187327.5053463</v>
      </c>
      <c r="G16" s="194">
        <f t="shared" ref="G16:G74" si="2">F16/D$11*100</f>
        <v>19.766816705182503</v>
      </c>
      <c r="H16" s="195">
        <f t="shared" ref="H16:H74" si="3">+D16-F16</f>
        <v>46316246.184653759</v>
      </c>
      <c r="I16" s="196">
        <f t="shared" ref="I16:I74" si="4">+D16/F16*100-100</f>
        <v>4.8641947699512542</v>
      </c>
      <c r="J16" s="193">
        <f>SUM(J17:J24)</f>
        <v>910831793</v>
      </c>
      <c r="K16" s="194">
        <f t="shared" si="1"/>
        <v>19.533171627707485</v>
      </c>
      <c r="L16" s="195">
        <f t="shared" ref="L16:L74" si="5">+D16-J16</f>
        <v>87671780.690000057</v>
      </c>
      <c r="M16" s="197">
        <f t="shared" ref="M16:M73" si="6">+D16/J16*100-100</f>
        <v>9.6254633801523539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</row>
    <row r="17" spans="2:61" ht="15" customHeight="1">
      <c r="B17" s="80">
        <v>7111</v>
      </c>
      <c r="C17" s="97" t="str">
        <f>IF(MasterSheet!$A$1=1,MasterSheet!C74,MasterSheet!B74)</f>
        <v>Porez na dohodak fizičkih lica</v>
      </c>
      <c r="D17" s="198">
        <f>'Cental Budget'!D18+'Local Government'!D18</f>
        <v>123137994.31</v>
      </c>
      <c r="E17" s="199">
        <f t="shared" si="0"/>
        <v>2.5562681760810446</v>
      </c>
      <c r="F17" s="198">
        <f>+IF(ISNUMBER(VLOOKUP($B17,'Cental Budget'!$B$16:$K$77,'Public Expenditure'!F$1,FALSE)),VLOOKUP($B17,'Cental Budget'!$B$16:$K$77,'Public Expenditure'!F$1,FALSE),0)+IF(ISNUMBER(VLOOKUP('Public Expenditure'!$B17,'Local Government'!$B$16:$M$60,'Public Expenditure'!F$1,FALSE)),VLOOKUP('Public Expenditure'!$B17,'Local Government'!$B$16:$M$60,'Public Expenditure'!F$1,FALSE),0)</f>
        <v>113434016.37998581</v>
      </c>
      <c r="G17" s="199">
        <f t="shared" si="2"/>
        <v>2.3548196296524009</v>
      </c>
      <c r="H17" s="200">
        <f t="shared" si="3"/>
        <v>9703977.9300141931</v>
      </c>
      <c r="I17" s="201">
        <f t="shared" si="4"/>
        <v>8.5547336149214885</v>
      </c>
      <c r="J17" s="198">
        <f>+IF(ISNUMBER(VLOOKUP($B17,'Cental Budget'!$B$16:$K$77,'Public Expenditure'!J$1,FALSE)),VLOOKUP($B17,'Cental Budget'!$B$16:$K$77,'Public Expenditure'!J$1,FALSE),0)+IF(ISNUMBER(VLOOKUP('Public Expenditure'!$B17,'Local Government'!$B$16:$M$60,'Public Expenditure'!J$1,FALSE)),VLOOKUP('Public Expenditure'!$B17,'Local Government'!$B$16:$M$60,'Public Expenditure'!J$1,FALSE),0)</f>
        <v>112483903.03000002</v>
      </c>
      <c r="K17" s="199">
        <f t="shared" si="1"/>
        <v>2.4122647014797343</v>
      </c>
      <c r="L17" s="200">
        <f t="shared" si="5"/>
        <v>10654091.279999986</v>
      </c>
      <c r="M17" s="201">
        <f t="shared" si="6"/>
        <v>9.4716586044836077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</row>
    <row r="18" spans="2:61" ht="15" customHeight="1">
      <c r="B18" s="80">
        <v>7112</v>
      </c>
      <c r="C18" s="97" t="str">
        <f>IF(MasterSheet!$A$1=1,MasterSheet!C75,MasterSheet!B75)</f>
        <v>Porez na dobit pravnih lica</v>
      </c>
      <c r="D18" s="198">
        <f>'Cental Budget'!D19</f>
        <v>63460533.5</v>
      </c>
      <c r="E18" s="199">
        <f t="shared" si="0"/>
        <v>1.3174012061198646</v>
      </c>
      <c r="F18" s="198">
        <f>+IF(ISNUMBER(VLOOKUP($B18,'Cental Budget'!$B$16:$K$77,'Public Expenditure'!F$1,FALSE)),VLOOKUP($B18,'Cental Budget'!$B$16:$K$77,'Public Expenditure'!F$1,FALSE),0)+IF(ISNUMBER(VLOOKUP('Public Expenditure'!$B18,'Local Government'!$B$16:$M$60,'Public Expenditure'!F$1,FALSE)),VLOOKUP('Public Expenditure'!$B18,'Local Government'!$B$16:$M$60,'Public Expenditure'!F$1,FALSE),0)</f>
        <v>63932260.051758736</v>
      </c>
      <c r="G18" s="199">
        <f t="shared" si="2"/>
        <v>1.3271939559435912</v>
      </c>
      <c r="H18" s="200">
        <f t="shared" si="3"/>
        <v>-471726.55175873637</v>
      </c>
      <c r="I18" s="201">
        <f t="shared" si="4"/>
        <v>-0.73785370856094801</v>
      </c>
      <c r="J18" s="198">
        <f>+IF(ISNUMBER(VLOOKUP($B18,'Cental Budget'!$B$16:$K$77,'Public Expenditure'!J$1,FALSE)),VLOOKUP($B18,'Cental Budget'!$B$16:$K$77,'Public Expenditure'!J$1,FALSE),0)+IF(ISNUMBER(VLOOKUP('Public Expenditure'!$B18,'Local Government'!$B$16:$M$60,'Public Expenditure'!J$1,FALSE)),VLOOKUP('Public Expenditure'!$B18,'Local Government'!$B$16:$M$60,'Public Expenditure'!J$1,FALSE),0)</f>
        <v>64513553.079999991</v>
      </c>
      <c r="K18" s="199">
        <f t="shared" si="1"/>
        <v>1.3835203319751233</v>
      </c>
      <c r="L18" s="200">
        <f t="shared" si="5"/>
        <v>-1053019.5799999908</v>
      </c>
      <c r="M18" s="201">
        <f t="shared" si="6"/>
        <v>-1.6322455200912458</v>
      </c>
      <c r="N18" s="107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D18" s="81"/>
    </row>
    <row r="19" spans="2:61" ht="15" customHeight="1">
      <c r="B19" s="80">
        <v>7113</v>
      </c>
      <c r="C19" s="97" t="str">
        <f>IF(MasterSheet!$A$1=1,MasterSheet!C76,MasterSheet!B76)</f>
        <v>Porez na promet nepokretnosti</v>
      </c>
      <c r="D19" s="198">
        <f>'Cental Budget'!D20+'Local Government'!D19</f>
        <v>17486583.619999997</v>
      </c>
      <c r="E19" s="199">
        <f t="shared" si="0"/>
        <v>0.36301060015361936</v>
      </c>
      <c r="F19" s="198">
        <f>+IF(ISNUMBER(VLOOKUP($B19,'Cental Budget'!$B$16:$K$77,'Public Expenditure'!F$1,FALSE)),VLOOKUP($B19,'Cental Budget'!$B$16:$K$77,'Public Expenditure'!F$1,FALSE),0)+IF(ISNUMBER(VLOOKUP('Public Expenditure'!$B19,'Local Government'!$B$16:$M$60,'Public Expenditure'!F$1,FALSE)),VLOOKUP('Public Expenditure'!$B19,'Local Government'!$B$16:$M$60,'Public Expenditure'!F$1,FALSE),0)</f>
        <v>16747556.155241303</v>
      </c>
      <c r="G19" s="199">
        <f t="shared" si="2"/>
        <v>0.34766884962407474</v>
      </c>
      <c r="H19" s="200">
        <f t="shared" si="3"/>
        <v>739027.46475869417</v>
      </c>
      <c r="I19" s="201">
        <f t="shared" si="4"/>
        <v>4.4127480923681333</v>
      </c>
      <c r="J19" s="198">
        <f>+IF(ISNUMBER(VLOOKUP($B19,'Cental Budget'!$B$16:$K$77,'Public Expenditure'!J$1,FALSE)),VLOOKUP($B19,'Cental Budget'!$B$16:$K$77,'Public Expenditure'!J$1,FALSE),0)+IF(ISNUMBER(VLOOKUP('Public Expenditure'!$B19,'Local Government'!$B$16:$M$60,'Public Expenditure'!J$1,FALSE)),VLOOKUP('Public Expenditure'!$B19,'Local Government'!$B$16:$M$60,'Public Expenditure'!J$1,FALSE),0)</f>
        <v>16195475.569999998</v>
      </c>
      <c r="K19" s="199">
        <f t="shared" si="1"/>
        <v>0.34731879841303881</v>
      </c>
      <c r="L19" s="200">
        <f t="shared" si="5"/>
        <v>1291108.0499999989</v>
      </c>
      <c r="M19" s="201">
        <f t="shared" si="6"/>
        <v>7.9720292523648197</v>
      </c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</row>
    <row r="20" spans="2:61" ht="15" customHeight="1">
      <c r="B20" s="80">
        <v>7114</v>
      </c>
      <c r="C20" s="97" t="str">
        <f>IF(MasterSheet!$A$1=1,MasterSheet!C77,MasterSheet!B77)</f>
        <v>Porez na dodatu vrijednost</v>
      </c>
      <c r="D20" s="198">
        <f>'Cental Budget'!D21</f>
        <v>517818183.34000003</v>
      </c>
      <c r="E20" s="199">
        <f t="shared" si="0"/>
        <v>10.749583428618879</v>
      </c>
      <c r="F20" s="198">
        <f>+IF(ISNUMBER(VLOOKUP($B20,'Cental Budget'!$B$16:$K$77,'Public Expenditure'!F$1,FALSE)),VLOOKUP($B20,'Cental Budget'!$B$16:$K$77,'Public Expenditure'!F$1,FALSE),0)+IF(ISNUMBER(VLOOKUP('Public Expenditure'!$B20,'Local Government'!$B$16:$M$60,'Public Expenditure'!F$1,FALSE)),VLOOKUP('Public Expenditure'!$B20,'Local Government'!$B$16:$M$60,'Public Expenditure'!F$1,FALSE),0)</f>
        <v>494931132.74945468</v>
      </c>
      <c r="G20" s="199">
        <f t="shared" si="2"/>
        <v>10.274462492982389</v>
      </c>
      <c r="H20" s="200">
        <f t="shared" si="3"/>
        <v>22887050.590545356</v>
      </c>
      <c r="I20" s="201">
        <f t="shared" si="4"/>
        <v>4.6242899417950412</v>
      </c>
      <c r="J20" s="198">
        <f>+IF(ISNUMBER(VLOOKUP($B20,'Cental Budget'!$B$16:$K$77,'Public Expenditure'!J$1,FALSE)),VLOOKUP($B20,'Cental Budget'!$B$16:$K$77,'Public Expenditure'!J$1,FALSE),0)+IF(ISNUMBER(VLOOKUP('Public Expenditure'!$B20,'Local Government'!$B$16:$M$60,'Public Expenditure'!J$1,FALSE)),VLOOKUP('Public Expenditure'!$B20,'Local Government'!$B$16:$M$60,'Public Expenditure'!J$1,FALSE),0)</f>
        <v>461468715.59000003</v>
      </c>
      <c r="K20" s="199">
        <f t="shared" si="1"/>
        <v>9.8963910699120756</v>
      </c>
      <c r="L20" s="200">
        <f t="shared" si="5"/>
        <v>56349467.75</v>
      </c>
      <c r="M20" s="201">
        <f t="shared" si="6"/>
        <v>12.210896610392254</v>
      </c>
    </row>
    <row r="21" spans="2:61" ht="15" customHeight="1">
      <c r="B21" s="80">
        <v>7115</v>
      </c>
      <c r="C21" s="97" t="str">
        <f>IF(MasterSheet!$A$1=1,MasterSheet!C78,MasterSheet!B78)</f>
        <v>Akcize</v>
      </c>
      <c r="D21" s="198">
        <f>'Cental Budget'!D22</f>
        <v>178709360.70000002</v>
      </c>
      <c r="E21" s="199">
        <f t="shared" si="0"/>
        <v>3.7098951796724169</v>
      </c>
      <c r="F21" s="198">
        <f>+IF(ISNUMBER(VLOOKUP($B21,'Cental Budget'!$B$16:$K$77,'Public Expenditure'!F$1,FALSE)),VLOOKUP($B21,'Cental Budget'!$B$16:$K$77,'Public Expenditure'!F$1,FALSE),0)+IF(ISNUMBER(VLOOKUP('Public Expenditure'!$B21,'Local Government'!$B$16:$M$60,'Public Expenditure'!F$1,FALSE)),VLOOKUP('Public Expenditure'!$B21,'Local Government'!$B$16:$M$60,'Public Expenditure'!F$1,FALSE),0)</f>
        <v>175855385.3949388</v>
      </c>
      <c r="G21" s="199">
        <f t="shared" si="2"/>
        <v>3.6506484273720456</v>
      </c>
      <c r="H21" s="200">
        <f t="shared" si="3"/>
        <v>2853975.3050612211</v>
      </c>
      <c r="I21" s="201">
        <f t="shared" si="4"/>
        <v>1.622910380965422</v>
      </c>
      <c r="J21" s="198">
        <f>+IF(ISNUMBER(VLOOKUP($B21,'Cental Budget'!$B$16:$K$77,'Public Expenditure'!J$1,FALSE)),VLOOKUP($B21,'Cental Budget'!$B$16:$K$77,'Public Expenditure'!J$1,FALSE),0)+IF(ISNUMBER(VLOOKUP('Public Expenditure'!$B21,'Local Government'!$B$16:$M$60,'Public Expenditure'!J$1,FALSE)),VLOOKUP('Public Expenditure'!$B21,'Local Government'!$B$16:$M$60,'Public Expenditure'!J$1,FALSE),0)</f>
        <v>166496597.86000001</v>
      </c>
      <c r="K21" s="199">
        <f t="shared" si="1"/>
        <v>3.5705897031953682</v>
      </c>
      <c r="L21" s="200">
        <f t="shared" si="5"/>
        <v>12212762.840000004</v>
      </c>
      <c r="M21" s="201">
        <f t="shared" si="6"/>
        <v>7.335142577669501</v>
      </c>
    </row>
    <row r="22" spans="2:61" ht="15" customHeight="1">
      <c r="B22" s="80">
        <v>7116</v>
      </c>
      <c r="C22" s="97" t="str">
        <f>IF(MasterSheet!$A$1=1,MasterSheet!C79,MasterSheet!B79)</f>
        <v>Porez na međunarodnu trgovinu i transakcije</v>
      </c>
      <c r="D22" s="198">
        <f>'Cental Budget'!D23</f>
        <v>21570886.120000001</v>
      </c>
      <c r="E22" s="199">
        <f t="shared" si="0"/>
        <v>0.44779817981773268</v>
      </c>
      <c r="F22" s="198">
        <f>+IF(ISNUMBER(VLOOKUP($B22,'Cental Budget'!$B$16:$K$77,'Public Expenditure'!F$1,FALSE)),VLOOKUP($B22,'Cental Budget'!$B$16:$K$77,'Public Expenditure'!F$1,FALSE),0)+IF(ISNUMBER(VLOOKUP('Public Expenditure'!$B22,'Local Government'!$B$16:$M$60,'Public Expenditure'!F$1,FALSE)),VLOOKUP('Public Expenditure'!$B22,'Local Government'!$B$16:$M$60,'Public Expenditure'!F$1,FALSE),0)</f>
        <v>20809214.705640629</v>
      </c>
      <c r="G22" s="199">
        <f t="shared" si="2"/>
        <v>0.43198635497790427</v>
      </c>
      <c r="H22" s="200">
        <f t="shared" si="3"/>
        <v>761671.41435937211</v>
      </c>
      <c r="I22" s="201">
        <f t="shared" si="4"/>
        <v>3.6602602507287827</v>
      </c>
      <c r="J22" s="198">
        <f>+IF(ISNUMBER(VLOOKUP($B22,'Cental Budget'!$B$16:$K$77,'Public Expenditure'!J$1,FALSE)),VLOOKUP($B22,'Cental Budget'!$B$16:$K$77,'Public Expenditure'!J$1,FALSE),0)+IF(ISNUMBER(VLOOKUP('Public Expenditure'!$B22,'Local Government'!$B$16:$M$60,'Public Expenditure'!J$1,FALSE)),VLOOKUP('Public Expenditure'!$B22,'Local Government'!$B$16:$M$60,'Public Expenditure'!J$1,FALSE),0)</f>
        <v>20112543.760000002</v>
      </c>
      <c r="K22" s="199">
        <f t="shared" si="1"/>
        <v>0.43132197641003645</v>
      </c>
      <c r="L22" s="200">
        <f t="shared" si="5"/>
        <v>1458342.3599999994</v>
      </c>
      <c r="M22" s="201">
        <f t="shared" si="6"/>
        <v>7.2509095686859979</v>
      </c>
      <c r="BE22" s="114"/>
      <c r="BF22" s="114"/>
      <c r="BG22" s="81"/>
    </row>
    <row r="23" spans="2:61" ht="15" customHeight="1">
      <c r="B23" s="80">
        <v>7117</v>
      </c>
      <c r="C23" s="97" t="s">
        <v>11</v>
      </c>
      <c r="D23" s="198">
        <f>'Local Government'!D20</f>
        <v>65982689.87999998</v>
      </c>
      <c r="E23" s="199">
        <f t="shared" si="0"/>
        <v>1.3697596039110664</v>
      </c>
      <c r="F23" s="198">
        <f>+IF(ISNUMBER(VLOOKUP($B23,'Cental Budget'!$B$16:$K$77,'Public Expenditure'!F$1,FALSE)),VLOOKUP($B23,'Cental Budget'!$B$16:$K$77,'Public Expenditure'!F$1,FALSE),0)+IF(ISNUMBER(VLOOKUP('Public Expenditure'!$B23,'Local Government'!$B$16:$M$60,'Public Expenditure'!F$1,FALSE)),VLOOKUP('Public Expenditure'!$B23,'Local Government'!$B$16:$M$60,'Public Expenditure'!F$1,FALSE),0)</f>
        <v>58027849.085799672</v>
      </c>
      <c r="G23" s="199">
        <f t="shared" si="2"/>
        <v>1.204622056544387</v>
      </c>
      <c r="H23" s="200">
        <f t="shared" si="3"/>
        <v>7954840.7942003086</v>
      </c>
      <c r="I23" s="201">
        <f t="shared" si="4"/>
        <v>13.708660444122827</v>
      </c>
      <c r="J23" s="198">
        <f>+IF(ISNUMBER(VLOOKUP($B23,'Cental Budget'!$B$16:$K$77,'Public Expenditure'!J$1,FALSE)),VLOOKUP($B23,'Cental Budget'!$B$16:$K$77,'Public Expenditure'!J$1,FALSE),0)+IF(ISNUMBER(VLOOKUP('Public Expenditure'!$B23,'Local Government'!$B$16:$M$60,'Public Expenditure'!J$1,FALSE)),VLOOKUP('Public Expenditure'!$B23,'Local Government'!$B$16:$M$60,'Public Expenditure'!J$1,FALSE),0)</f>
        <v>62657025.709999986</v>
      </c>
      <c r="K23" s="199">
        <f t="shared" si="1"/>
        <v>1.3437063201801414</v>
      </c>
      <c r="L23" s="200">
        <f t="shared" si="5"/>
        <v>3325664.1699999943</v>
      </c>
      <c r="M23" s="201">
        <f t="shared" si="6"/>
        <v>5.307727477190511</v>
      </c>
      <c r="BE23" s="114"/>
      <c r="BF23" s="114"/>
      <c r="BG23" s="81"/>
    </row>
    <row r="24" spans="2:61" ht="15" customHeight="1">
      <c r="B24" s="80">
        <v>7118</v>
      </c>
      <c r="C24" s="97" t="s">
        <v>457</v>
      </c>
      <c r="D24" s="198">
        <f>'Cental Budget'!D24</f>
        <v>10337342.220000001</v>
      </c>
      <c r="E24" s="199">
        <f t="shared" si="0"/>
        <v>0.2145967951672168</v>
      </c>
      <c r="F24" s="198">
        <f>+IF(ISNUMBER(VLOOKUP($B24,'Cental Budget'!$B$16:$K$77,'Public Expenditure'!F$1,FALSE)),VLOOKUP($B24,'Cental Budget'!$B$16:$K$77,'Public Expenditure'!F$1,FALSE),0)+IF(ISNUMBER(VLOOKUP('Public Expenditure'!$B24,'Local Government'!$B$16:$M$60,'Public Expenditure'!F$1,FALSE)),VLOOKUP('Public Expenditure'!$B24,'Local Government'!$B$16:$M$60,'Public Expenditure'!F$1,FALSE),0)</f>
        <v>8449912.9825265706</v>
      </c>
      <c r="G24" s="199">
        <f t="shared" si="2"/>
        <v>0.17541493808570655</v>
      </c>
      <c r="H24" s="200">
        <f t="shared" si="3"/>
        <v>1887429.2374734301</v>
      </c>
      <c r="I24" s="201">
        <f t="shared" si="4"/>
        <v>22.336670701537557</v>
      </c>
      <c r="J24" s="198">
        <f>+IF(ISNUMBER(VLOOKUP($B24,'Cental Budget'!$B$16:$K$77,'Public Expenditure'!J$1,FALSE)),VLOOKUP($B24,'Cental Budget'!$B$16:$K$77,'Public Expenditure'!J$1,FALSE),0)+IF(ISNUMBER(VLOOKUP('Public Expenditure'!$B24,'Local Government'!$B$16:$M$60,'Public Expenditure'!J$1,FALSE)),VLOOKUP('Public Expenditure'!$B24,'Local Government'!$B$16:$M$60,'Public Expenditure'!J$1,FALSE),0)</f>
        <v>6903978.3999999994</v>
      </c>
      <c r="K24" s="199">
        <f t="shared" si="1"/>
        <v>0.14805872614196866</v>
      </c>
      <c r="L24" s="200">
        <f t="shared" si="5"/>
        <v>3433363.8200000012</v>
      </c>
      <c r="M24" s="201">
        <f t="shared" si="6"/>
        <v>49.730222504751765</v>
      </c>
      <c r="BE24" s="114"/>
      <c r="BF24" s="114"/>
      <c r="BG24" s="81"/>
    </row>
    <row r="25" spans="2:61" ht="15" customHeight="1">
      <c r="B25" s="80">
        <v>712</v>
      </c>
      <c r="C25" s="93" t="str">
        <f>IF(MasterSheet!$A$1=1,MasterSheet!C81,MasterSheet!B81)</f>
        <v>Doprinosi</v>
      </c>
      <c r="D25" s="193">
        <f>'Cental Budget'!D25</f>
        <v>370571042.34999996</v>
      </c>
      <c r="E25" s="202">
        <f t="shared" si="0"/>
        <v>7.6928243621681087</v>
      </c>
      <c r="F25" s="193">
        <f>SUM(F26:F29)</f>
        <v>364529987.6633634</v>
      </c>
      <c r="G25" s="202">
        <f t="shared" si="2"/>
        <v>7.5674158241133345</v>
      </c>
      <c r="H25" s="195">
        <f t="shared" si="3"/>
        <v>6041054.6866365671</v>
      </c>
      <c r="I25" s="197">
        <f t="shared" si="4"/>
        <v>1.657217483082718</v>
      </c>
      <c r="J25" s="193">
        <f>SUM(J26:J29)</f>
        <v>351331389.50999999</v>
      </c>
      <c r="K25" s="202">
        <f t="shared" si="1"/>
        <v>7.5344496999785546</v>
      </c>
      <c r="L25" s="195">
        <f t="shared" si="5"/>
        <v>19239652.839999974</v>
      </c>
      <c r="M25" s="197">
        <f t="shared" si="6"/>
        <v>5.4762123210321221</v>
      </c>
      <c r="BE25" s="114"/>
      <c r="BF25" s="114"/>
      <c r="BG25" s="81"/>
    </row>
    <row r="26" spans="2:61" ht="15" hidden="1" customHeight="1">
      <c r="B26" s="80">
        <v>7121</v>
      </c>
      <c r="C26" s="97" t="str">
        <f>IF(MasterSheet!$A$1=1,MasterSheet!C82,MasterSheet!B82)</f>
        <v>Doprinosi za penzijsko i invalidsko osiguranje</v>
      </c>
      <c r="D26" s="198">
        <f>+IF(ISNUMBER(VLOOKUP($B26,'Cental Budget'!$B$16:$K$77,'Public Expenditure'!D$1,FALSE)),VLOOKUP($B26,'Cental Budget'!$B$16:$K$77,'Public Expenditure'!D$1,FALSE),0)+IF(ISNUMBER(VLOOKUP('Public Expenditure'!$B26,'Local Government'!$B$16:$M$60,'Public Expenditure'!D$1,FALSE)),VLOOKUP('Public Expenditure'!$B26,'Local Government'!$B$16:$M$60,'Public Expenditure'!D$1,FALSE),0)</f>
        <v>220192746.31</v>
      </c>
      <c r="E26" s="199">
        <f t="shared" si="0"/>
        <v>4.57106446430425</v>
      </c>
      <c r="F26" s="198">
        <f>+IF(ISNUMBER(VLOOKUP($B26,'Cental Budget'!$B$16:$K$77,'Public Expenditure'!F$1,FALSE)),VLOOKUP($B26,'Cental Budget'!$B$16:$K$77,'Public Expenditure'!F$1,FALSE),0)+IF(ISNUMBER(VLOOKUP('Public Expenditure'!$B26,'Local Government'!$B$16:$M$60,'Public Expenditure'!F$1,FALSE)),VLOOKUP('Public Expenditure'!$B26,'Local Government'!$B$16:$M$60,'Public Expenditure'!F$1,FALSE),0)</f>
        <v>218717926.64664456</v>
      </c>
      <c r="G26" s="199">
        <f t="shared" si="2"/>
        <v>4.5404481253585054</v>
      </c>
      <c r="H26" s="200">
        <f t="shared" si="3"/>
        <v>1474819.6633554399</v>
      </c>
      <c r="I26" s="201">
        <f t="shared" si="4"/>
        <v>0.67430214156067336</v>
      </c>
      <c r="J26" s="198">
        <f>+IF(ISNUMBER(VLOOKUP($B26,'Cental Budget'!$B$16:$K$77,'Public Expenditure'!J$1,FALSE)),VLOOKUP($B26,'Cental Budget'!$B$16:$K$77,'Public Expenditure'!J$1,FALSE),0)+IF(ISNUMBER(VLOOKUP('Public Expenditure'!$B26,'Local Government'!$B$16:$M$60,'Public Expenditure'!J$1,FALSE)),VLOOKUP('Public Expenditure'!$B26,'Local Government'!$B$16:$M$60,'Public Expenditure'!J$1,FALSE),0)</f>
        <v>211532835.92000002</v>
      </c>
      <c r="K26" s="199">
        <f t="shared" si="1"/>
        <v>4.5364108067767539</v>
      </c>
      <c r="L26" s="200">
        <f t="shared" si="5"/>
        <v>8659910.3899999857</v>
      </c>
      <c r="M26" s="201">
        <f t="shared" si="6"/>
        <v>4.0938846928119972</v>
      </c>
      <c r="BE26" s="114"/>
      <c r="BF26" s="114"/>
      <c r="BG26" s="81"/>
    </row>
    <row r="27" spans="2:61" ht="15" hidden="1" customHeight="1">
      <c r="B27" s="80">
        <v>7122</v>
      </c>
      <c r="C27" s="97" t="str">
        <f>IF(MasterSheet!$A$1=1,MasterSheet!C83,MasterSheet!B83)</f>
        <v>Doprinosi za zdravstveno osiguranje</v>
      </c>
      <c r="D27" s="198">
        <f>+IF(ISNUMBER(VLOOKUP($B27,'Cental Budget'!$B$16:$K$77,'Public Expenditure'!D$1,FALSE)),VLOOKUP($B27,'Cental Budget'!$B$16:$K$77,'Public Expenditure'!D$1,FALSE),0)+IF(ISNUMBER(VLOOKUP('Public Expenditure'!$B27,'Local Government'!$B$16:$M$60,'Public Expenditure'!D$1,FALSE)),VLOOKUP('Public Expenditure'!$B27,'Local Government'!$B$16:$M$60,'Public Expenditure'!D$1,FALSE),0)</f>
        <v>130738336.89</v>
      </c>
      <c r="E27" s="199">
        <f t="shared" si="0"/>
        <v>2.7140465610014322</v>
      </c>
      <c r="F27" s="198">
        <f>+IF(ISNUMBER(VLOOKUP($B27,'Cental Budget'!$B$16:$K$77,'Public Expenditure'!F$1,FALSE)),VLOOKUP($B27,'Cental Budget'!$B$16:$K$77,'Public Expenditure'!F$1,FALSE),0)+IF(ISNUMBER(VLOOKUP('Public Expenditure'!$B27,'Local Government'!$B$16:$M$60,'Public Expenditure'!F$1,FALSE)),VLOOKUP('Public Expenditure'!$B27,'Local Government'!$B$16:$M$60,'Public Expenditure'!F$1,FALSE),0)</f>
        <v>126489292.97035752</v>
      </c>
      <c r="G27" s="199">
        <f t="shared" si="2"/>
        <v>2.6258390519266266</v>
      </c>
      <c r="H27" s="200">
        <f t="shared" si="3"/>
        <v>4249043.9196424782</v>
      </c>
      <c r="I27" s="201">
        <f t="shared" si="4"/>
        <v>3.3592123252979462</v>
      </c>
      <c r="J27" s="198">
        <f>+IF(ISNUMBER(VLOOKUP($B27,'Cental Budget'!$B$16:$K$77,'Public Expenditure'!J$1,FALSE)),VLOOKUP($B27,'Cental Budget'!$B$16:$K$77,'Public Expenditure'!J$1,FALSE),0)+IF(ISNUMBER(VLOOKUP('Public Expenditure'!$B27,'Local Government'!$B$16:$M$60,'Public Expenditure'!J$1,FALSE)),VLOOKUP('Public Expenditure'!$B27,'Local Government'!$B$16:$M$60,'Public Expenditure'!J$1,FALSE),0)</f>
        <v>122263069.46000001</v>
      </c>
      <c r="K27" s="199">
        <f t="shared" si="1"/>
        <v>2.6219830465365646</v>
      </c>
      <c r="L27" s="200">
        <f t="shared" si="5"/>
        <v>8475267.4299999923</v>
      </c>
      <c r="M27" s="201">
        <f t="shared" si="6"/>
        <v>6.9319930109989656</v>
      </c>
      <c r="BE27" s="114"/>
      <c r="BF27" s="114"/>
      <c r="BG27" s="81"/>
    </row>
    <row r="28" spans="2:61" ht="15" hidden="1" customHeight="1">
      <c r="B28" s="80">
        <v>7123</v>
      </c>
      <c r="C28" s="97" t="str">
        <f>IF(MasterSheet!$A$1=1,MasterSheet!C84,MasterSheet!B84)</f>
        <v>Doprinosi za osiguranje od nezaposlenosti</v>
      </c>
      <c r="D28" s="198">
        <f>+IF(ISNUMBER(VLOOKUP($B28,'Cental Budget'!$B$16:$K$77,'Public Expenditure'!D$1,FALSE)),VLOOKUP($B28,'Cental Budget'!$B$16:$K$77,'Public Expenditure'!D$1,FALSE),0)+IF(ISNUMBER(VLOOKUP('Public Expenditure'!$B28,'Local Government'!$B$16:$M$60,'Public Expenditure'!D$1,FALSE)),VLOOKUP('Public Expenditure'!$B28,'Local Government'!$B$16:$M$60,'Public Expenditure'!D$1,FALSE),0)</f>
        <v>10196734.950000001</v>
      </c>
      <c r="E28" s="199">
        <f t="shared" si="0"/>
        <v>0.21167787569284427</v>
      </c>
      <c r="F28" s="198">
        <f>+IF(ISNUMBER(VLOOKUP($B28,'Cental Budget'!$B$16:$K$77,'Public Expenditure'!F$1,FALSE)),VLOOKUP($B28,'Cental Budget'!$B$16:$K$77,'Public Expenditure'!F$1,FALSE),0)+IF(ISNUMBER(VLOOKUP('Public Expenditure'!$B28,'Local Government'!$B$16:$M$60,'Public Expenditure'!F$1,FALSE)),VLOOKUP('Public Expenditure'!$B28,'Local Government'!$B$16:$M$60,'Public Expenditure'!F$1,FALSE),0)</f>
        <v>10011379.703413513</v>
      </c>
      <c r="G28" s="199">
        <f t="shared" si="2"/>
        <v>0.20783001605558352</v>
      </c>
      <c r="H28" s="200">
        <f t="shared" si="3"/>
        <v>185355.24658648856</v>
      </c>
      <c r="I28" s="201">
        <f t="shared" si="4"/>
        <v>1.8514455757111108</v>
      </c>
      <c r="J28" s="198">
        <f>+IF(ISNUMBER(VLOOKUP($B28,'Cental Budget'!$B$16:$K$77,'Public Expenditure'!J$1,FALSE)),VLOOKUP($B28,'Cental Budget'!$B$16:$K$77,'Public Expenditure'!J$1,FALSE),0)+IF(ISNUMBER(VLOOKUP('Public Expenditure'!$B28,'Local Government'!$B$16:$M$60,'Public Expenditure'!J$1,FALSE)),VLOOKUP('Public Expenditure'!$B28,'Local Government'!$B$16:$M$60,'Public Expenditure'!J$1,FALSE),0)</f>
        <v>9066838.9000000004</v>
      </c>
      <c r="K28" s="199">
        <f t="shared" si="1"/>
        <v>0.19444218099935665</v>
      </c>
      <c r="L28" s="200">
        <f t="shared" si="5"/>
        <v>1129896.0500000007</v>
      </c>
      <c r="M28" s="201">
        <f t="shared" si="6"/>
        <v>12.461852057391255</v>
      </c>
      <c r="BE28" s="114"/>
      <c r="BF28" s="114"/>
      <c r="BG28" s="81"/>
    </row>
    <row r="29" spans="2:61" ht="15" hidden="1" customHeight="1">
      <c r="B29" s="80">
        <v>7124</v>
      </c>
      <c r="C29" s="97" t="str">
        <f>IF(MasterSheet!$A$1=1,MasterSheet!C85,MasterSheet!B85)</f>
        <v>Ostali doprinosi</v>
      </c>
      <c r="D29" s="198">
        <f>+IF(ISNUMBER(VLOOKUP($B29,'Cental Budget'!$B$16:$K$77,'Public Expenditure'!D$1,FALSE)),VLOOKUP($B29,'Cental Budget'!$B$16:$K$77,'Public Expenditure'!D$1,FALSE),0)+IF(ISNUMBER(VLOOKUP('Public Expenditure'!$B29,'Local Government'!$B$16:$M$60,'Public Expenditure'!D$1,FALSE)),VLOOKUP('Public Expenditure'!$B29,'Local Government'!$B$16:$M$60,'Public Expenditure'!D$1,FALSE),0)</f>
        <v>9443224.1999999993</v>
      </c>
      <c r="E29" s="199">
        <f t="shared" si="0"/>
        <v>0.19603546116958334</v>
      </c>
      <c r="F29" s="198">
        <f>+IF(ISNUMBER(VLOOKUP($B29,'Cental Budget'!$B$16:$K$77,'Public Expenditure'!F$1,FALSE)),VLOOKUP($B29,'Cental Budget'!$B$16:$K$77,'Public Expenditure'!F$1,FALSE),0)+IF(ISNUMBER(VLOOKUP('Public Expenditure'!$B29,'Local Government'!$B$16:$M$60,'Public Expenditure'!F$1,FALSE)),VLOOKUP('Public Expenditure'!$B29,'Local Government'!$B$16:$M$60,'Public Expenditure'!F$1,FALSE),0)</f>
        <v>9311388.3429478463</v>
      </c>
      <c r="G29" s="199">
        <f t="shared" si="2"/>
        <v>0.19329863077261933</v>
      </c>
      <c r="H29" s="200">
        <f t="shared" si="3"/>
        <v>131835.85705215298</v>
      </c>
      <c r="I29" s="201">
        <f t="shared" si="4"/>
        <v>1.4158560699705021</v>
      </c>
      <c r="J29" s="198">
        <f>+IF(ISNUMBER(VLOOKUP($B29,'Cental Budget'!$B$16:$K$77,'Public Expenditure'!J$1,FALSE)),VLOOKUP($B29,'Cental Budget'!$B$16:$K$77,'Public Expenditure'!J$1,FALSE),0)+IF(ISNUMBER(VLOOKUP('Public Expenditure'!$B29,'Local Government'!$B$16:$M$60,'Public Expenditure'!J$1,FALSE)),VLOOKUP('Public Expenditure'!$B29,'Local Government'!$B$16:$M$60,'Public Expenditure'!J$1,FALSE),0)</f>
        <v>8468645.2300000004</v>
      </c>
      <c r="K29" s="199">
        <f t="shared" si="1"/>
        <v>0.18161366566588033</v>
      </c>
      <c r="L29" s="200">
        <f t="shared" si="5"/>
        <v>974578.96999999881</v>
      </c>
      <c r="M29" s="201">
        <f t="shared" si="6"/>
        <v>11.508085927930622</v>
      </c>
      <c r="BE29" s="81"/>
      <c r="BF29" s="81"/>
      <c r="BG29" s="81"/>
    </row>
    <row r="30" spans="2:61" ht="15" customHeight="1">
      <c r="B30" s="80">
        <v>713</v>
      </c>
      <c r="C30" s="93" t="str">
        <f>IF(MasterSheet!$A$1=1,MasterSheet!C86,MasterSheet!B86)</f>
        <v>Takse</v>
      </c>
      <c r="D30" s="193">
        <f>'Cental Budget'!D30+'Local Government'!D21</f>
        <v>16290837.539999999</v>
      </c>
      <c r="E30" s="202">
        <f t="shared" si="0"/>
        <v>0.33818765522824934</v>
      </c>
      <c r="F30" s="193">
        <f>+IF(ISNUMBER(VLOOKUP($B30,'Cental Budget'!$B$16:$K$77,'Public Expenditure'!F$1,FALSE)),VLOOKUP($B30,'Cental Budget'!$B$16:$K$77,'Public Expenditure'!F$1,FALSE),0)+IF(ISNUMBER(VLOOKUP('Public Expenditure'!$B30,'Local Government'!$B$16:$M$60,'Public Expenditure'!F$1,FALSE)),VLOOKUP('Public Expenditure'!$B30,'Local Government'!$B$16:$M$60,'Public Expenditure'!F$1,FALSE),0)</f>
        <v>16881093.911486324</v>
      </c>
      <c r="G30" s="202">
        <f t="shared" si="2"/>
        <v>0.35044101038978481</v>
      </c>
      <c r="H30" s="195">
        <f t="shared" si="3"/>
        <v>-590256.37148632482</v>
      </c>
      <c r="I30" s="197">
        <f t="shared" si="4"/>
        <v>-3.4965528571859892</v>
      </c>
      <c r="J30" s="193">
        <f>+IF(ISNUMBER(VLOOKUP($B30,'Cental Budget'!$B$16:$K$77,'Public Expenditure'!J$1,FALSE)),VLOOKUP($B30,'Cental Budget'!$B$16:$K$77,'Public Expenditure'!J$1,FALSE),0)+IF(ISNUMBER(VLOOKUP('Public Expenditure'!$B30,'Local Government'!$B$16:$M$60,'Public Expenditure'!J$1,FALSE)),VLOOKUP('Public Expenditure'!$B30,'Local Government'!$B$16:$M$60,'Public Expenditure'!J$1,FALSE),0)</f>
        <v>17078238.330000002</v>
      </c>
      <c r="K30" s="202">
        <f t="shared" si="1"/>
        <v>0.36625001779969979</v>
      </c>
      <c r="L30" s="195">
        <f t="shared" si="5"/>
        <v>-787400.79000000283</v>
      </c>
      <c r="M30" s="197">
        <f t="shared" si="6"/>
        <v>-4.6105504255484959</v>
      </c>
      <c r="BE30" s="81"/>
      <c r="BF30" s="81"/>
      <c r="BG30" s="81"/>
    </row>
    <row r="31" spans="2:61" ht="15" customHeight="1">
      <c r="B31" s="80">
        <v>714</v>
      </c>
      <c r="C31" s="93" t="str">
        <f>IF(MasterSheet!$A$1=1,MasterSheet!C91,MasterSheet!B91)</f>
        <v>Naknade</v>
      </c>
      <c r="D31" s="193">
        <f>'Cental Budget'!D31+'Local Government'!D22</f>
        <v>67256586.060000002</v>
      </c>
      <c r="E31" s="202">
        <f t="shared" si="0"/>
        <v>1.3962048963069067</v>
      </c>
      <c r="F31" s="193">
        <f>+IF(ISNUMBER(VLOOKUP($B31,'Cental Budget'!$B$16:$K$77,'Public Expenditure'!F$1,FALSE)),VLOOKUP($B31,'Cental Budget'!$B$16:$K$77,'Public Expenditure'!F$1,FALSE),0)+IF(ISNUMBER(VLOOKUP('Public Expenditure'!$B31,'Local Government'!$B$16:$M$60,'Public Expenditure'!F$1,FALSE)),VLOOKUP('Public Expenditure'!$B31,'Local Government'!$B$16:$M$60,'Public Expenditure'!F$1,FALSE),0)</f>
        <v>64551513.227372184</v>
      </c>
      <c r="G31" s="202">
        <f t="shared" si="2"/>
        <v>1.3400492667242156</v>
      </c>
      <c r="H31" s="195">
        <f t="shared" si="3"/>
        <v>2705072.832627818</v>
      </c>
      <c r="I31" s="197">
        <f t="shared" si="4"/>
        <v>4.1905645543887289</v>
      </c>
      <c r="J31" s="193">
        <f>+IF(ISNUMBER(VLOOKUP($B31,'Cental Budget'!$B$16:$K$77,'Public Expenditure'!J$1,FALSE)),VLOOKUP($B31,'Cental Budget'!$B$16:$K$77,'Public Expenditure'!J$1,FALSE),0)+IF(ISNUMBER(VLOOKUP('Public Expenditure'!$B31,'Local Government'!$B$16:$M$60,'Public Expenditure'!J$1,FALSE)),VLOOKUP('Public Expenditure'!$B31,'Local Government'!$B$16:$M$60,'Public Expenditure'!J$1,FALSE),0)</f>
        <v>56024444.510000005</v>
      </c>
      <c r="K31" s="202">
        <f t="shared" si="1"/>
        <v>1.2014678213596399</v>
      </c>
      <c r="L31" s="195">
        <f t="shared" si="5"/>
        <v>11232141.549999997</v>
      </c>
      <c r="M31" s="197">
        <f t="shared" si="6"/>
        <v>20.048644209216789</v>
      </c>
      <c r="BE31" s="114"/>
      <c r="BF31" s="114"/>
      <c r="BG31" s="114"/>
    </row>
    <row r="32" spans="2:61" ht="15" customHeight="1">
      <c r="B32" s="80">
        <v>715</v>
      </c>
      <c r="C32" s="93" t="str">
        <f>IF(MasterSheet!$A$1=1,MasterSheet!C98,MasterSheet!B98)</f>
        <v>Ostali prihodi</v>
      </c>
      <c r="D32" s="193">
        <f>'Cental Budget'!D32+'Local Government'!D23</f>
        <v>41748941.149999999</v>
      </c>
      <c r="E32" s="202">
        <f t="shared" si="0"/>
        <v>0.86668205247970764</v>
      </c>
      <c r="F32" s="193">
        <f>+IF(ISNUMBER(VLOOKUP($B32,'Cental Budget'!$B$16:$K$77,'Public Expenditure'!F$1,FALSE)),VLOOKUP($B32,'Cental Budget'!$B$16:$K$77,'Public Expenditure'!F$1,FALSE),0)+IF(ISNUMBER(VLOOKUP('Public Expenditure'!$B32,'Local Government'!$B$16:$M$60,'Public Expenditure'!F$1,FALSE)),VLOOKUP('Public Expenditure'!$B32,'Local Government'!$B$16:$M$60,'Public Expenditure'!F$1,FALSE),0)</f>
        <v>44817948.531632803</v>
      </c>
      <c r="G32" s="202">
        <f t="shared" si="2"/>
        <v>0.930392736950298</v>
      </c>
      <c r="H32" s="195">
        <f t="shared" si="3"/>
        <v>-3069007.3816328049</v>
      </c>
      <c r="I32" s="197">
        <f t="shared" si="4"/>
        <v>-6.8477194565625439</v>
      </c>
      <c r="J32" s="193">
        <f>+IF(ISNUMBER(VLOOKUP($B32,'Cental Budget'!$B$16:$K$77,'Public Expenditure'!J$1,FALSE)),VLOOKUP($B32,'Cental Budget'!$B$16:$K$77,'Public Expenditure'!J$1,FALSE),0)+IF(ISNUMBER(VLOOKUP('Public Expenditure'!$B32,'Local Government'!$B$16:$M$60,'Public Expenditure'!J$1,FALSE)),VLOOKUP('Public Expenditure'!$B32,'Local Government'!$B$16:$M$60,'Public Expenditure'!J$1,FALSE),0)</f>
        <v>74894517.020000011</v>
      </c>
      <c r="K32" s="202">
        <f t="shared" si="1"/>
        <v>1.6061444782328973</v>
      </c>
      <c r="L32" s="195">
        <f t="shared" si="5"/>
        <v>-33145575.870000012</v>
      </c>
      <c r="M32" s="197">
        <f t="shared" si="6"/>
        <v>-44.256345042119364</v>
      </c>
      <c r="BE32" s="81"/>
      <c r="BF32" s="81"/>
      <c r="BG32" s="81"/>
      <c r="BH32" s="81"/>
      <c r="BI32" s="81"/>
    </row>
    <row r="33" spans="1:62">
      <c r="B33" s="80">
        <v>73</v>
      </c>
      <c r="C33" s="101" t="str">
        <f>IF(MasterSheet!$A$1=1,MasterSheet!C103,MasterSheet!B103)</f>
        <v xml:space="preserve">Primici od otplate kredita </v>
      </c>
      <c r="D33" s="193">
        <f>'Cental Budget'!D33+'Local Government'!D24</f>
        <v>4775383.3</v>
      </c>
      <c r="E33" s="202">
        <f t="shared" si="0"/>
        <v>9.9133987253741881E-2</v>
      </c>
      <c r="F33" s="193">
        <f>+IF(ISNUMBER(VLOOKUP($B33,'Cental Budget'!$B$16:$K$77,'Public Expenditure'!F$1,FALSE)),VLOOKUP($B33,'Cental Budget'!$B$16:$K$77,'Public Expenditure'!F$1,FALSE),0)+IF(ISNUMBER(VLOOKUP('Public Expenditure'!$B33,'Local Government'!$B$16:$M$60,'Public Expenditure'!F$1,FALSE)),VLOOKUP('Public Expenditure'!$B33,'Local Government'!$B$16:$M$60,'Public Expenditure'!F$1,FALSE),0)</f>
        <v>4143986.8926909333</v>
      </c>
      <c r="G33" s="202">
        <f t="shared" si="2"/>
        <v>8.6026590535611319E-2</v>
      </c>
      <c r="H33" s="195">
        <f t="shared" si="3"/>
        <v>631396.4073090665</v>
      </c>
      <c r="I33" s="197">
        <f t="shared" si="4"/>
        <v>15.236447982562609</v>
      </c>
      <c r="J33" s="193">
        <f>+IF(ISNUMBER(VLOOKUP($B33,'Cental Budget'!$B$16:$K$77,'Public Expenditure'!J$1,FALSE)),VLOOKUP($B33,'Cental Budget'!$B$16:$K$77,'Public Expenditure'!J$1,FALSE),0)+IF(ISNUMBER(VLOOKUP('Public Expenditure'!$B33,'Local Government'!$B$16:$M$60,'Public Expenditure'!J$1,FALSE)),VLOOKUP('Public Expenditure'!$B33,'Local Government'!$B$16:$M$60,'Public Expenditure'!J$1,FALSE),0)</f>
        <v>5587769.7700000005</v>
      </c>
      <c r="K33" s="202">
        <f t="shared" si="1"/>
        <v>0.11983207741797126</v>
      </c>
      <c r="L33" s="195">
        <f t="shared" si="5"/>
        <v>-812386.47000000067</v>
      </c>
      <c r="M33" s="197">
        <f t="shared" si="6"/>
        <v>-14.53865322729645</v>
      </c>
      <c r="BD33" s="100"/>
      <c r="BE33" s="100"/>
      <c r="BF33" s="99"/>
      <c r="BG33" s="116"/>
      <c r="BH33" s="116"/>
      <c r="BI33" s="116"/>
      <c r="BJ33" s="115"/>
    </row>
    <row r="34" spans="1:62" ht="13.5" customHeight="1" thickBot="1">
      <c r="B34" s="80">
        <v>74</v>
      </c>
      <c r="C34" s="93" t="s">
        <v>122</v>
      </c>
      <c r="D34" s="193">
        <f>'Cental Budget'!D34+'Local Government'!D25</f>
        <v>24557713.979999997</v>
      </c>
      <c r="E34" s="202">
        <f>D34/D$11*100</f>
        <v>0.50980286853085877</v>
      </c>
      <c r="F34" s="193">
        <f>+IF(ISNUMBER(VLOOKUP($B34,'Cental Budget'!$B$16:$K$77,'Public Expenditure'!F$1,FALSE)),VLOOKUP($B34,'Cental Budget'!$B$16:$K$77,'Public Expenditure'!F$1,FALSE),0)+IF(ISNUMBER(VLOOKUP('Public Expenditure'!$B34,'Local Government'!$B$16:$M$60,'Public Expenditure'!F$1,FALSE)),VLOOKUP('Public Expenditure'!$B34,'Local Government'!$B$16:$M$60,'Public Expenditure'!F$1,FALSE),0)</f>
        <v>24717767.789950449</v>
      </c>
      <c r="G34" s="202">
        <f t="shared" si="2"/>
        <v>0.51312548607980835</v>
      </c>
      <c r="H34" s="195">
        <f t="shared" si="3"/>
        <v>-160053.8099504523</v>
      </c>
      <c r="I34" s="197">
        <f t="shared" si="4"/>
        <v>-0.64752534011395824</v>
      </c>
      <c r="J34" s="193">
        <f>+IF(ISNUMBER(VLOOKUP($B34,'Cental Budget'!$B$16:$K$77,'Public Expenditure'!J$1,FALSE)),VLOOKUP($B34,'Cental Budget'!$B$16:$K$77,'Public Expenditure'!J$1,FALSE),0)+IF(ISNUMBER(VLOOKUP('Public Expenditure'!$B34,'Local Government'!$B$16:$M$60,'Public Expenditure'!J$1,FALSE)),VLOOKUP('Public Expenditure'!$B34,'Local Government'!$B$16:$M$60,'Public Expenditure'!J$1,FALSE),0)</f>
        <v>18514563.900000002</v>
      </c>
      <c r="K34" s="202">
        <f>J34/J$11*100</f>
        <v>0.39705262491957971</v>
      </c>
      <c r="L34" s="195">
        <f t="shared" si="5"/>
        <v>6043150.0799999945</v>
      </c>
      <c r="M34" s="197">
        <f t="shared" si="6"/>
        <v>32.63998068029025</v>
      </c>
      <c r="BE34" s="130"/>
      <c r="BF34" s="130"/>
      <c r="BG34" s="116"/>
      <c r="BH34" s="116"/>
      <c r="BI34" s="116"/>
      <c r="BJ34" s="115"/>
    </row>
    <row r="35" spans="1:62" ht="15" customHeight="1" thickTop="1" thickBot="1">
      <c r="B35" s="102"/>
      <c r="C35" s="138" t="s">
        <v>234</v>
      </c>
      <c r="D35" s="203">
        <f>+D37+D47+D53+SUM(D54:D58)</f>
        <v>1520740120.4610999</v>
      </c>
      <c r="E35" s="192">
        <f t="shared" si="0"/>
        <v>31.569619074984946</v>
      </c>
      <c r="F35" s="203">
        <f>+F37+F47+F53+SUM(F54:F59)</f>
        <v>1649026101.3250952</v>
      </c>
      <c r="G35" s="192">
        <f t="shared" si="2"/>
        <v>34.232756250131722</v>
      </c>
      <c r="H35" s="203">
        <f t="shared" si="3"/>
        <v>-128285980.86399531</v>
      </c>
      <c r="I35" s="192">
        <f t="shared" si="4"/>
        <v>-7.7794997156751862</v>
      </c>
      <c r="J35" s="203">
        <f>+J37+J47+J53+SUM(J54:J58)</f>
        <v>1479010887.2660031</v>
      </c>
      <c r="K35" s="192">
        <f t="shared" si="1"/>
        <v>31.718011736350054</v>
      </c>
      <c r="L35" s="203">
        <f t="shared" si="5"/>
        <v>41729233.195096731</v>
      </c>
      <c r="M35" s="192">
        <f t="shared" si="6"/>
        <v>2.8214283988290561</v>
      </c>
      <c r="N35" s="168"/>
      <c r="O35" s="168"/>
      <c r="BE35" s="81"/>
      <c r="BF35" s="81"/>
      <c r="BG35" s="116"/>
      <c r="BH35" s="116"/>
      <c r="BI35" s="116"/>
      <c r="BJ35" s="115"/>
    </row>
    <row r="36" spans="1:62" ht="13.5" customHeight="1" thickTop="1" thickBot="1">
      <c r="C36" s="138" t="s">
        <v>279</v>
      </c>
      <c r="D36" s="203">
        <f>+D35-D54</f>
        <v>1322886147.2410998</v>
      </c>
      <c r="E36" s="192">
        <f t="shared" si="0"/>
        <v>27.462293646407588</v>
      </c>
      <c r="F36" s="203">
        <f>+F35-F54</f>
        <v>1376529071.7624421</v>
      </c>
      <c r="G36" s="192">
        <f t="shared" si="2"/>
        <v>28.57588739620191</v>
      </c>
      <c r="H36" s="203">
        <f t="shared" si="3"/>
        <v>-53642924.521342278</v>
      </c>
      <c r="I36" s="192">
        <f t="shared" si="4"/>
        <v>-3.8969699675619864</v>
      </c>
      <c r="J36" s="203">
        <f>+J35-J54</f>
        <v>1299318055.5960031</v>
      </c>
      <c r="K36" s="192">
        <f t="shared" si="1"/>
        <v>27.864423238172915</v>
      </c>
      <c r="L36" s="203">
        <f t="shared" si="5"/>
        <v>23568091.645096779</v>
      </c>
      <c r="M36" s="192">
        <f t="shared" si="6"/>
        <v>1.8138816391869454</v>
      </c>
      <c r="BE36" s="130"/>
      <c r="BF36" s="130"/>
      <c r="BG36" s="116"/>
      <c r="BH36" s="116"/>
      <c r="BI36" s="116"/>
      <c r="BJ36" s="115"/>
    </row>
    <row r="37" spans="1:62" ht="13.5" customHeight="1" thickTop="1">
      <c r="A37" s="80">
        <v>41</v>
      </c>
      <c r="B37" s="80">
        <v>41</v>
      </c>
      <c r="C37" s="93" t="s">
        <v>62</v>
      </c>
      <c r="D37" s="204">
        <f>+SUM(D38:D46)</f>
        <v>664788860.34109998</v>
      </c>
      <c r="E37" s="202">
        <f t="shared" si="0"/>
        <v>13.800603274607129</v>
      </c>
      <c r="F37" s="204">
        <f>+SUM(F38:F46)</f>
        <v>714155829.03398085</v>
      </c>
      <c r="G37" s="202">
        <f t="shared" si="2"/>
        <v>14.82543084083745</v>
      </c>
      <c r="H37" s="205">
        <f t="shared" si="3"/>
        <v>-49366968.692880869</v>
      </c>
      <c r="I37" s="197">
        <f t="shared" si="4"/>
        <v>-6.9126326056398995</v>
      </c>
      <c r="J37" s="204">
        <f>+SUM(J38:J46)</f>
        <v>647845202.23630309</v>
      </c>
      <c r="K37" s="202">
        <f t="shared" si="1"/>
        <v>13.893313365565152</v>
      </c>
      <c r="L37" s="205">
        <f t="shared" si="5"/>
        <v>16943658.104796886</v>
      </c>
      <c r="M37" s="197">
        <f t="shared" si="6"/>
        <v>2.6153868310375401</v>
      </c>
      <c r="BE37" s="130"/>
      <c r="BF37" s="130"/>
      <c r="BG37" s="116"/>
      <c r="BH37" s="116"/>
      <c r="BI37" s="116"/>
      <c r="BJ37" s="115"/>
    </row>
    <row r="38" spans="1:62" ht="13.5" customHeight="1">
      <c r="B38" s="80">
        <v>411</v>
      </c>
      <c r="C38" s="93" t="s">
        <v>63</v>
      </c>
      <c r="D38" s="193">
        <f>'Cental Budget'!D38+'Local Government'!D29</f>
        <v>386846234.21000004</v>
      </c>
      <c r="E38" s="202">
        <f t="shared" si="0"/>
        <v>8.0306872228104051</v>
      </c>
      <c r="F38" s="193">
        <f>'Cental Budget'!F38+'Local Government'!F29</f>
        <v>391230405.93391752</v>
      </c>
      <c r="G38" s="202">
        <f t="shared" si="2"/>
        <v>8.1216999010590918</v>
      </c>
      <c r="H38" s="195">
        <f t="shared" si="3"/>
        <v>-4384171.7239174843</v>
      </c>
      <c r="I38" s="197">
        <f t="shared" si="4"/>
        <v>-1.1206111941764618</v>
      </c>
      <c r="J38" s="193">
        <f>+IF(ISNUMBER(VLOOKUP($B38,'Cental Budget'!$B$16:$K$77,'Public Expenditure'!J$1,FALSE)),VLOOKUP($B38,'Cental Budget'!$B$16:$K$77,'Public Expenditure'!J$1,FALSE),0)+IF(ISNUMBER(VLOOKUP('Public Expenditure'!$B38,'Local Government'!$B$16:$M$60,'Public Expenditure'!J$1,FALSE)),VLOOKUP('Public Expenditure'!$B38,'Local Government'!$B$16:$M$60,'Public Expenditure'!J$1,FALSE),0)</f>
        <v>373617433.898</v>
      </c>
      <c r="K38" s="202">
        <f t="shared" si="1"/>
        <v>8.0123833132747144</v>
      </c>
      <c r="L38" s="195">
        <f t="shared" si="5"/>
        <v>13228800.312000036</v>
      </c>
      <c r="M38" s="197">
        <f t="shared" si="6"/>
        <v>3.5407342141350995</v>
      </c>
      <c r="BE38" s="130"/>
      <c r="BF38" s="130"/>
      <c r="BG38" s="116"/>
      <c r="BH38" s="116"/>
      <c r="BI38" s="116"/>
      <c r="BJ38" s="115"/>
    </row>
    <row r="39" spans="1:62" ht="13.5" customHeight="1">
      <c r="B39" s="80">
        <v>412</v>
      </c>
      <c r="C39" s="93" t="s">
        <v>74</v>
      </c>
      <c r="D39" s="193">
        <f>'Cental Budget'!D39+'Local Government'!D30</f>
        <v>11510684.68</v>
      </c>
      <c r="E39" s="202">
        <f t="shared" si="0"/>
        <v>0.23895465487533993</v>
      </c>
      <c r="F39" s="193">
        <f>+IF(ISNUMBER(VLOOKUP($B39,'Cental Budget'!$B$16:$K$77,'Public Expenditure'!F$1,FALSE)),VLOOKUP($B39,'Cental Budget'!$B$16:$K$77,'Public Expenditure'!F$1,FALSE),0)+IF(ISNUMBER(VLOOKUP('Public Expenditure'!$B39,'Local Government'!$B$16:$M$60,'Public Expenditure'!F$1,FALSE)),VLOOKUP('Public Expenditure'!$B39,'Local Government'!$B$16:$M$60,'Public Expenditure'!F$1,FALSE),0)</f>
        <v>14100698.832649399</v>
      </c>
      <c r="G39" s="202">
        <f t="shared" si="2"/>
        <v>0.29272173782253635</v>
      </c>
      <c r="H39" s="195">
        <f t="shared" si="3"/>
        <v>-2590014.1526493989</v>
      </c>
      <c r="I39" s="197">
        <f t="shared" si="4"/>
        <v>-18.367984334594553</v>
      </c>
      <c r="J39" s="193">
        <f>+IF(ISNUMBER(VLOOKUP($B39,'Cental Budget'!$B$16:$K$77,'Public Expenditure'!J$1,FALSE)),VLOOKUP($B39,'Cental Budget'!$B$16:$K$77,'Public Expenditure'!J$1,FALSE),0)+IF(ISNUMBER(VLOOKUP('Public Expenditure'!$B39,'Local Government'!$B$16:$M$60,'Public Expenditure'!J$1,FALSE)),VLOOKUP('Public Expenditure'!$B39,'Local Government'!$B$16:$M$60,'Public Expenditure'!J$1,FALSE),0)</f>
        <v>10068650.199999999</v>
      </c>
      <c r="K39" s="202">
        <f t="shared" si="1"/>
        <v>0.2159264464936736</v>
      </c>
      <c r="L39" s="195">
        <f>+D39-J39</f>
        <v>1442034.4800000004</v>
      </c>
      <c r="M39" s="197">
        <f t="shared" si="6"/>
        <v>14.322023820034985</v>
      </c>
      <c r="BE39" s="130"/>
      <c r="BF39" s="130"/>
      <c r="BG39" s="116"/>
      <c r="BH39" s="116"/>
      <c r="BI39" s="116"/>
      <c r="BJ39" s="115"/>
    </row>
    <row r="40" spans="1:62" ht="13.5" customHeight="1">
      <c r="B40" s="80">
        <v>413</v>
      </c>
      <c r="C40" s="93" t="s">
        <v>76</v>
      </c>
      <c r="D40" s="193">
        <f>'Cental Budget'!D40+'Local Government'!D31</f>
        <v>79946062.501100004</v>
      </c>
      <c r="E40" s="202">
        <f t="shared" si="0"/>
        <v>1.6596305349920077</v>
      </c>
      <c r="F40" s="193">
        <f>+IF(ISNUMBER(VLOOKUP($B40,'Cental Budget'!$B$16:$K$77,'Public Expenditure'!F$1,FALSE)),VLOOKUP($B40,'Cental Budget'!$B$16:$K$77,'Public Expenditure'!F$1,FALSE),0)+IF(ISNUMBER(VLOOKUP('Public Expenditure'!$B40,'Local Government'!$B$16:$M$60,'Public Expenditure'!F$1,FALSE)),VLOOKUP('Public Expenditure'!$B40,'Local Government'!$B$16:$M$60,'Public Expenditure'!F$1,FALSE),0)</f>
        <v>86037884.130248562</v>
      </c>
      <c r="G40" s="202">
        <f t="shared" si="2"/>
        <v>1.7860929631987827</v>
      </c>
      <c r="H40" s="195">
        <f t="shared" si="3"/>
        <v>-6091821.6291485578</v>
      </c>
      <c r="I40" s="197">
        <f t="shared" si="4"/>
        <v>-7.0803945154281678</v>
      </c>
      <c r="J40" s="193">
        <f>+IF(ISNUMBER(VLOOKUP($B40,'Cental Budget'!$B$16:$K$77,'Public Expenditure'!J$1,FALSE)),VLOOKUP($B40,'Cental Budget'!$B$16:$K$77,'Public Expenditure'!J$1,FALSE),0)+IF(ISNUMBER(VLOOKUP('Public Expenditure'!$B40,'Local Government'!$B$16:$M$60,'Public Expenditure'!J$1,FALSE)),VLOOKUP('Public Expenditure'!$B40,'Local Government'!$B$16:$M$60,'Public Expenditure'!J$1,FALSE),0)</f>
        <v>79050533.118302986</v>
      </c>
      <c r="K40" s="202">
        <f t="shared" si="1"/>
        <v>1.6952719948167057</v>
      </c>
      <c r="L40" s="195">
        <f t="shared" si="5"/>
        <v>895529.38279701769</v>
      </c>
      <c r="M40" s="197">
        <f t="shared" si="6"/>
        <v>1.1328568543071356</v>
      </c>
      <c r="BE40" s="130"/>
      <c r="BF40" s="130"/>
      <c r="BG40" s="116"/>
      <c r="BH40" s="116"/>
      <c r="BI40" s="116"/>
      <c r="BJ40" s="115"/>
    </row>
    <row r="41" spans="1:62" ht="13.5" customHeight="1">
      <c r="B41" s="80">
        <v>415</v>
      </c>
      <c r="C41" s="93" t="s">
        <v>430</v>
      </c>
      <c r="D41" s="193">
        <f>'Cental Budget'!D41+'Local Government'!D32</f>
        <v>16644061.110000001</v>
      </c>
      <c r="E41" s="202">
        <f t="shared" si="0"/>
        <v>0.34552035685370869</v>
      </c>
      <c r="F41" s="193">
        <f>+IF(ISNUMBER(VLOOKUP($B41,'Cental Budget'!$B$16:$K$77,'Public Expenditure'!F$1,FALSE)),VLOOKUP($B41,'Cental Budget'!$B$16:$K$77,'Public Expenditure'!F$1,FALSE),0)+IF(ISNUMBER(VLOOKUP('Public Expenditure'!$B41,'Local Government'!$B$16:$M$60,'Public Expenditure'!F$1,FALSE)),VLOOKUP('Public Expenditure'!$B41,'Local Government'!$B$16:$M$60,'Public Expenditure'!F$1,FALSE),0)</f>
        <v>21723122.837868974</v>
      </c>
      <c r="G41" s="202">
        <f t="shared" si="2"/>
        <v>0.45095851939691878</v>
      </c>
      <c r="H41" s="195">
        <f t="shared" si="3"/>
        <v>-5079061.7278689723</v>
      </c>
      <c r="I41" s="197">
        <f t="shared" si="4"/>
        <v>-23.380900461580339</v>
      </c>
      <c r="J41" s="193">
        <f>+IF(ISNUMBER(VLOOKUP($B41,'Cental Budget'!$B$16:$K$77,'Public Expenditure'!J$1,FALSE)),VLOOKUP($B41,'Cental Budget'!$B$16:$K$77,'Public Expenditure'!J$1,FALSE),0)+IF(ISNUMBER(VLOOKUP('Public Expenditure'!$B41,'Local Government'!$B$16:$M$60,'Public Expenditure'!J$1,FALSE)),VLOOKUP('Public Expenditure'!$B41,'Local Government'!$B$16:$M$60,'Public Expenditure'!J$1,FALSE),0)</f>
        <v>16527439</v>
      </c>
      <c r="K41" s="202">
        <f t="shared" si="1"/>
        <v>0.35443789405961829</v>
      </c>
      <c r="L41" s="195">
        <f t="shared" si="5"/>
        <v>116622.11000000127</v>
      </c>
      <c r="M41" s="197">
        <f t="shared" si="6"/>
        <v>0.70562722996587013</v>
      </c>
      <c r="BE41" s="130"/>
      <c r="BF41" s="130"/>
      <c r="BG41" s="116"/>
      <c r="BH41" s="116"/>
      <c r="BI41" s="116"/>
      <c r="BJ41" s="115"/>
    </row>
    <row r="42" spans="1:62" ht="13.5" customHeight="1">
      <c r="B42" s="80">
        <v>416</v>
      </c>
      <c r="C42" s="93" t="s">
        <v>79</v>
      </c>
      <c r="D42" s="193">
        <f>'Cental Budget'!D42+'Local Government'!D33</f>
        <v>85259736.250000015</v>
      </c>
      <c r="E42" s="202">
        <f t="shared" si="0"/>
        <v>1.7699390971746491</v>
      </c>
      <c r="F42" s="193">
        <f>+IF(ISNUMBER(VLOOKUP($B42,'Cental Budget'!$B$16:$K$77,'Public Expenditure'!F$1,FALSE)),VLOOKUP($B42,'Cental Budget'!$B$16:$K$77,'Public Expenditure'!F$1,FALSE),0)+IF(ISNUMBER(VLOOKUP('Public Expenditure'!$B42,'Local Government'!$B$16:$M$60,'Public Expenditure'!F$1,FALSE)),VLOOKUP('Public Expenditure'!$B42,'Local Government'!$B$16:$M$60,'Public Expenditure'!F$1,FALSE),0)</f>
        <v>88226343.657466277</v>
      </c>
      <c r="G42" s="202">
        <f t="shared" si="2"/>
        <v>1.8315240218693045</v>
      </c>
      <c r="H42" s="195">
        <f t="shared" si="3"/>
        <v>-2966607.4074662626</v>
      </c>
      <c r="I42" s="197">
        <f t="shared" si="4"/>
        <v>-3.3624961485244569</v>
      </c>
      <c r="J42" s="193">
        <f>+IF(ISNUMBER(VLOOKUP($B42,'Cental Budget'!$B$16:$K$77,'Public Expenditure'!J$1,FALSE)),VLOOKUP($B42,'Cental Budget'!$B$16:$K$77,'Public Expenditure'!J$1,FALSE),0)+IF(ISNUMBER(VLOOKUP('Public Expenditure'!$B42,'Local Government'!$B$16:$M$60,'Public Expenditure'!J$1,FALSE)),VLOOKUP('Public Expenditure'!$B42,'Local Government'!$B$16:$M$60,'Public Expenditure'!J$1,FALSE),0)</f>
        <v>88657083.23999998</v>
      </c>
      <c r="K42" s="202">
        <f t="shared" si="1"/>
        <v>1.9012885104010291</v>
      </c>
      <c r="L42" s="195">
        <f t="shared" si="5"/>
        <v>-3397346.9899999648</v>
      </c>
      <c r="M42" s="197">
        <f t="shared" si="6"/>
        <v>-3.8320085275117179</v>
      </c>
      <c r="BE42" s="130"/>
      <c r="BF42" s="130"/>
      <c r="BG42" s="116"/>
      <c r="BH42" s="116"/>
      <c r="BI42" s="116"/>
      <c r="BJ42" s="115"/>
    </row>
    <row r="43" spans="1:62" ht="13.5" customHeight="1">
      <c r="B43" s="80">
        <v>417</v>
      </c>
      <c r="C43" s="93" t="s">
        <v>81</v>
      </c>
      <c r="D43" s="193">
        <f>'Cental Budget'!D43+'Local Government'!D34</f>
        <v>7875159.5200000005</v>
      </c>
      <c r="E43" s="202">
        <f t="shared" si="0"/>
        <v>0.1634834136721264</v>
      </c>
      <c r="F43" s="193">
        <f>+IF(ISNUMBER(VLOOKUP($B43,'Cental Budget'!$B$16:$K$77,'Public Expenditure'!F$1,FALSE)),VLOOKUP($B43,'Cental Budget'!$B$16:$K$77,'Public Expenditure'!F$1,FALSE),0)+IF(ISNUMBER(VLOOKUP('Public Expenditure'!$B43,'Local Government'!$B$16:$M$60,'Public Expenditure'!F$1,FALSE)),VLOOKUP('Public Expenditure'!$B43,'Local Government'!$B$16:$M$60,'Public Expenditure'!F$1,FALSE),0)</f>
        <v>7721841.0101039484</v>
      </c>
      <c r="G43" s="202">
        <f t="shared" si="2"/>
        <v>0.16030061676327972</v>
      </c>
      <c r="H43" s="195">
        <f t="shared" si="3"/>
        <v>153318.50989605207</v>
      </c>
      <c r="I43" s="197">
        <f t="shared" si="4"/>
        <v>1.9855175688729787</v>
      </c>
      <c r="J43" s="193">
        <f>+IF(ISNUMBER(VLOOKUP($B43,'Cental Budget'!$B$16:$K$77,'Public Expenditure'!J$1,FALSE)),VLOOKUP($B43,'Cental Budget'!$B$16:$K$77,'Public Expenditure'!J$1,FALSE),0)+IF(ISNUMBER(VLOOKUP('Public Expenditure'!$B43,'Local Government'!$B$16:$M$60,'Public Expenditure'!J$1,FALSE)),VLOOKUP('Public Expenditure'!$B43,'Local Government'!$B$16:$M$60,'Public Expenditure'!J$1,FALSE),0)</f>
        <v>6980081.0899999999</v>
      </c>
      <c r="K43" s="202">
        <f t="shared" si="1"/>
        <v>0.14969078039888484</v>
      </c>
      <c r="L43" s="195">
        <f t="shared" si="5"/>
        <v>895078.43000000063</v>
      </c>
      <c r="M43" s="197">
        <f t="shared" si="6"/>
        <v>12.823324234475336</v>
      </c>
      <c r="BE43" s="130"/>
      <c r="BF43" s="130"/>
      <c r="BG43" s="116"/>
      <c r="BH43" s="116"/>
      <c r="BI43" s="116"/>
      <c r="BJ43" s="115"/>
    </row>
    <row r="44" spans="1:62" ht="13.5" customHeight="1">
      <c r="B44" s="80">
        <v>418</v>
      </c>
      <c r="C44" s="93" t="s">
        <v>83</v>
      </c>
      <c r="D44" s="193">
        <f>'Cental Budget'!D44+'Local Government'!D35</f>
        <v>19788933.039999999</v>
      </c>
      <c r="E44" s="202">
        <f t="shared" si="0"/>
        <v>0.41080594216437277</v>
      </c>
      <c r="F44" s="193">
        <f>+IF(ISNUMBER(VLOOKUP($B44,'Cental Budget'!$B$16:$K$77,'Public Expenditure'!F$1,FALSE)),VLOOKUP($B44,'Cental Budget'!$B$16:$K$77,'Public Expenditure'!F$1,FALSE),0)+IF(ISNUMBER(VLOOKUP('Public Expenditure'!$B44,'Local Government'!$B$16:$M$60,'Public Expenditure'!F$1,FALSE)),VLOOKUP('Public Expenditure'!$B44,'Local Government'!$B$16:$M$60,'Public Expenditure'!F$1,FALSE),0)</f>
        <v>25192349.079644207</v>
      </c>
      <c r="G44" s="202">
        <f t="shared" si="2"/>
        <v>0.52297749848755903</v>
      </c>
      <c r="H44" s="195">
        <f t="shared" si="3"/>
        <v>-5403416.0396442078</v>
      </c>
      <c r="I44" s="197">
        <f t="shared" si="4"/>
        <v>-21.448639118811869</v>
      </c>
      <c r="J44" s="193">
        <f>+IF(ISNUMBER(VLOOKUP($B44,'Cental Budget'!$B$16:$K$77,'Public Expenditure'!J$1,FALSE)),VLOOKUP($B44,'Cental Budget'!$B$16:$K$77,'Public Expenditure'!J$1,FALSE),0)+IF(ISNUMBER(VLOOKUP('Public Expenditure'!$B44,'Local Government'!$B$16:$M$60,'Public Expenditure'!J$1,FALSE)),VLOOKUP('Public Expenditure'!$B44,'Local Government'!$B$16:$M$60,'Public Expenditure'!J$1,FALSE),0)</f>
        <v>18715805.629999995</v>
      </c>
      <c r="K44" s="202">
        <f t="shared" si="1"/>
        <v>0.40136833862320381</v>
      </c>
      <c r="L44" s="195">
        <f t="shared" si="5"/>
        <v>1073127.4100000039</v>
      </c>
      <c r="M44" s="197">
        <f t="shared" si="6"/>
        <v>5.7338029215256512</v>
      </c>
      <c r="BE44" s="130"/>
      <c r="BF44" s="130"/>
      <c r="BG44" s="116"/>
      <c r="BH44" s="116"/>
      <c r="BI44" s="116"/>
      <c r="BJ44" s="115"/>
    </row>
    <row r="45" spans="1:62" ht="13.5" customHeight="1">
      <c r="B45" s="80">
        <v>419</v>
      </c>
      <c r="C45" s="93" t="s">
        <v>85</v>
      </c>
      <c r="D45" s="193">
        <f>'Cental Budget'!D45+'Local Government'!D36</f>
        <v>34093818.030000001</v>
      </c>
      <c r="E45" s="202">
        <f t="shared" si="0"/>
        <v>0.70776645761972978</v>
      </c>
      <c r="F45" s="193">
        <f>+IF(ISNUMBER(VLOOKUP($B45,'Cental Budget'!$B$16:$K$77,'Public Expenditure'!F$1,FALSE)),VLOOKUP($B45,'Cental Budget'!$B$16:$K$77,'Public Expenditure'!F$1,FALSE),0)+IF(ISNUMBER(VLOOKUP('Public Expenditure'!$B45,'Local Government'!$B$16:$M$60,'Public Expenditure'!F$1,FALSE)),VLOOKUP('Public Expenditure'!$B45,'Local Government'!$B$16:$M$60,'Public Expenditure'!F$1,FALSE),0)</f>
        <v>35398484.904581875</v>
      </c>
      <c r="G45" s="202">
        <f t="shared" si="2"/>
        <v>0.73485053049722604</v>
      </c>
      <c r="H45" s="195">
        <f t="shared" si="3"/>
        <v>-1304666.8745818734</v>
      </c>
      <c r="I45" s="197">
        <f t="shared" si="4"/>
        <v>-3.685657389288437</v>
      </c>
      <c r="J45" s="193">
        <f>+IF(ISNUMBER(VLOOKUP($B45,'Cental Budget'!$B$16:$K$77,'Public Expenditure'!J$1,FALSE)),VLOOKUP($B45,'Cental Budget'!$B$16:$K$77,'Public Expenditure'!J$1,FALSE),0)+IF(ISNUMBER(VLOOKUP('Public Expenditure'!$B45,'Local Government'!$B$16:$M$60,'Public Expenditure'!J$1,FALSE)),VLOOKUP('Public Expenditure'!$B45,'Local Government'!$B$16:$M$60,'Public Expenditure'!J$1,FALSE),0)</f>
        <v>27882641.739999998</v>
      </c>
      <c r="K45" s="202">
        <f t="shared" si="1"/>
        <v>0.59795500193008788</v>
      </c>
      <c r="L45" s="195">
        <f t="shared" si="5"/>
        <v>6211176.2900000028</v>
      </c>
      <c r="M45" s="197">
        <f t="shared" si="6"/>
        <v>22.276139929343742</v>
      </c>
      <c r="BE45" s="130"/>
      <c r="BF45" s="130"/>
      <c r="BG45" s="116"/>
      <c r="BH45" s="116"/>
      <c r="BI45" s="116"/>
      <c r="BJ45" s="115"/>
    </row>
    <row r="46" spans="1:62" ht="13.5" customHeight="1">
      <c r="B46" s="80">
        <v>441</v>
      </c>
      <c r="C46" s="93" t="s">
        <v>129</v>
      </c>
      <c r="D46" s="193">
        <f>'Cental Budget'!D46</f>
        <v>22824171.000000004</v>
      </c>
      <c r="E46" s="202">
        <f t="shared" si="0"/>
        <v>0.47381559444479054</v>
      </c>
      <c r="F46" s="193">
        <f>+IF(ISNUMBER(VLOOKUP($B46,'Cental Budget'!$B$16:$K$77,'Public Expenditure'!F$1,FALSE)),VLOOKUP($B46,'Cental Budget'!$B$16:$K$77,'Public Expenditure'!F$1,FALSE),0)+IF(ISNUMBER(VLOOKUP('Public Expenditure'!$B46,'Local Government'!$B$16:$M$60,'Public Expenditure'!F$1,FALSE)),VLOOKUP('Public Expenditure'!$B46,'Local Government'!$B$16:$M$60,'Public Expenditure'!F$1,FALSE),0)</f>
        <v>44524698.647500008</v>
      </c>
      <c r="G46" s="202">
        <f t="shared" si="2"/>
        <v>0.92430505174274991</v>
      </c>
      <c r="H46" s="195">
        <f>+D46-F46</f>
        <v>-21700527.647500005</v>
      </c>
      <c r="I46" s="197">
        <f t="shared" si="4"/>
        <v>-48.738179722005725</v>
      </c>
      <c r="J46" s="193">
        <f>+IF(ISNUMBER(VLOOKUP($B46,'Cental Budget'!$B$16:$K$77,'Public Expenditure'!J$1,FALSE)),VLOOKUP($B46,'Cental Budget'!$B$16:$K$77,'Public Expenditure'!J$1,FALSE),0)+IF(ISNUMBER(VLOOKUP('Public Expenditure'!$B46,'Local Government'!$B$16:$M$60,'Public Expenditure'!J$1,FALSE)),VLOOKUP('Public Expenditure'!$B46,'Local Government'!$B$16:$M$60,'Public Expenditure'!J$1,FALSE),0)</f>
        <v>26345534.320000004</v>
      </c>
      <c r="K46" s="202">
        <f t="shared" si="1"/>
        <v>0.56499108556723143</v>
      </c>
      <c r="L46" s="195">
        <f t="shared" si="5"/>
        <v>-3521363.3200000003</v>
      </c>
      <c r="M46" s="197">
        <f t="shared" si="6"/>
        <v>-13.36607288821159</v>
      </c>
      <c r="BE46" s="130"/>
      <c r="BF46" s="130"/>
      <c r="BG46" s="116"/>
      <c r="BH46" s="116"/>
      <c r="BI46" s="116"/>
      <c r="BJ46" s="115"/>
    </row>
    <row r="47" spans="1:62" ht="13.5" customHeight="1">
      <c r="A47" s="80">
        <v>42</v>
      </c>
      <c r="B47" s="80">
        <v>42</v>
      </c>
      <c r="C47" s="93" t="s">
        <v>86</v>
      </c>
      <c r="D47" s="204">
        <f>'Cental Budget'!D47+'Local Government'!D37</f>
        <v>409584492.03000003</v>
      </c>
      <c r="E47" s="202">
        <f t="shared" si="0"/>
        <v>8.5027193130721805</v>
      </c>
      <c r="F47" s="204">
        <f>SUM(F48:F52)</f>
        <v>416571994.81923783</v>
      </c>
      <c r="G47" s="202">
        <f t="shared" si="2"/>
        <v>8.6477755250926442</v>
      </c>
      <c r="H47" s="205">
        <f t="shared" si="3"/>
        <v>-6987502.7892377973</v>
      </c>
      <c r="I47" s="197">
        <f t="shared" si="4"/>
        <v>-1.6773817914163516</v>
      </c>
      <c r="J47" s="204">
        <f>SUM(J48:J52)</f>
        <v>402017373.28999996</v>
      </c>
      <c r="K47" s="202">
        <f t="shared" si="1"/>
        <v>8.6214319813424822</v>
      </c>
      <c r="L47" s="205">
        <f t="shared" si="5"/>
        <v>7567118.7400000691</v>
      </c>
      <c r="M47" s="197">
        <f t="shared" si="6"/>
        <v>1.8822864987333503</v>
      </c>
      <c r="BE47" s="130"/>
      <c r="BF47" s="130"/>
      <c r="BG47" s="116"/>
      <c r="BH47" s="116"/>
      <c r="BI47" s="116"/>
      <c r="BJ47" s="115"/>
    </row>
    <row r="48" spans="1:62" ht="13.5" customHeight="1">
      <c r="B48" s="80">
        <v>421</v>
      </c>
      <c r="C48" s="97" t="s">
        <v>88</v>
      </c>
      <c r="D48" s="198">
        <f>'Cental Budget'!D48+'Local Government'!D38</f>
        <v>59412200.829999991</v>
      </c>
      <c r="E48" s="199">
        <f t="shared" si="0"/>
        <v>1.2333603377550806</v>
      </c>
      <c r="F48" s="198">
        <f>+IF(ISNUMBER(VLOOKUP($B48,'Cental Budget'!$B$16:$K$77,'Public Expenditure'!F$1,FALSE)),VLOOKUP($B48,'Cental Budget'!$B$16:$K$77,'Public Expenditure'!F$1,FALSE),0)+IF(ISNUMBER(VLOOKUP('Public Expenditure'!$B48,'Local Government'!$B$16:$M$60,'Public Expenditure'!F$1,FALSE)),VLOOKUP('Public Expenditure'!$B48,'Local Government'!$B$16:$M$60,'Public Expenditure'!F$1,FALSE),0)</f>
        <v>61460121.429237843</v>
      </c>
      <c r="G48" s="199">
        <f t="shared" si="2"/>
        <v>1.2758738956890627</v>
      </c>
      <c r="H48" s="200">
        <f t="shared" si="3"/>
        <v>-2047920.5992378518</v>
      </c>
      <c r="I48" s="201">
        <f t="shared" si="4"/>
        <v>-3.3321128426271116</v>
      </c>
      <c r="J48" s="198">
        <f>'Cental Budget'!J48+'Local Government'!J38</f>
        <v>58013731.909999996</v>
      </c>
      <c r="K48" s="199">
        <f t="shared" si="1"/>
        <v>1.244128927943384</v>
      </c>
      <c r="L48" s="200">
        <f t="shared" si="5"/>
        <v>1398468.9199999943</v>
      </c>
      <c r="M48" s="201">
        <f t="shared" si="6"/>
        <v>2.410582587876803</v>
      </c>
      <c r="BE48" s="130"/>
      <c r="BF48" s="130"/>
      <c r="BG48" s="116"/>
      <c r="BH48" s="116"/>
      <c r="BI48" s="116"/>
      <c r="BJ48" s="115"/>
    </row>
    <row r="49" spans="1:62" ht="13.5" customHeight="1">
      <c r="B49" s="80">
        <v>422</v>
      </c>
      <c r="C49" s="97" t="s">
        <v>90</v>
      </c>
      <c r="D49" s="198">
        <f>'Cental Budget'!D49</f>
        <v>10963721.089999998</v>
      </c>
      <c r="E49" s="199">
        <f t="shared" si="0"/>
        <v>0.22760003093147324</v>
      </c>
      <c r="F49" s="198">
        <f>+IF(ISNUMBER(VLOOKUP($B49,'Cental Budget'!$B$16:$K$77,'Public Expenditure'!F$1,FALSE)),VLOOKUP($B49,'Cental Budget'!$B$16:$K$77,'Public Expenditure'!F$1,FALSE),0)+IF(ISNUMBER(VLOOKUP('Public Expenditure'!$B49,'Local Government'!$B$16:$M$60,'Public Expenditure'!F$1,FALSE)),VLOOKUP('Public Expenditure'!$B49,'Local Government'!$B$16:$M$60,'Public Expenditure'!F$1,FALSE),0)</f>
        <v>11124286.76</v>
      </c>
      <c r="G49" s="199">
        <f t="shared" si="2"/>
        <v>0.23093327437669967</v>
      </c>
      <c r="H49" s="200">
        <f t="shared" si="3"/>
        <v>-160565.67000000179</v>
      </c>
      <c r="I49" s="201">
        <f t="shared" si="4"/>
        <v>-1.4433794585137321</v>
      </c>
      <c r="J49" s="198">
        <f>'Cental Budget'!J49</f>
        <v>8986781.6399999987</v>
      </c>
      <c r="K49" s="199">
        <f t="shared" si="1"/>
        <v>0.19272531932232465</v>
      </c>
      <c r="L49" s="200">
        <f t="shared" si="5"/>
        <v>1976939.4499999993</v>
      </c>
      <c r="M49" s="201">
        <f t="shared" si="6"/>
        <v>21.998302943076737</v>
      </c>
      <c r="BE49" s="130"/>
      <c r="BF49" s="130"/>
      <c r="BG49" s="116"/>
      <c r="BH49" s="116"/>
      <c r="BI49" s="116"/>
      <c r="BJ49" s="115"/>
    </row>
    <row r="50" spans="1:62" ht="13.5" customHeight="1">
      <c r="B50" s="80">
        <v>423</v>
      </c>
      <c r="C50" s="97" t="s">
        <v>92</v>
      </c>
      <c r="D50" s="198">
        <f>+'Cental Budget'!D50</f>
        <v>316011984.42000002</v>
      </c>
      <c r="E50" s="199">
        <f t="shared" si="0"/>
        <v>6.5602122526001132</v>
      </c>
      <c r="F50" s="198">
        <f>+IF(ISNUMBER(VLOOKUP($B50,'Cental Budget'!$B$16:$K$77,'Public Expenditure'!F$1,FALSE)),VLOOKUP($B50,'Cental Budget'!$B$16:$K$77,'Public Expenditure'!F$1,FALSE),0)+IF(ISNUMBER(VLOOKUP('Public Expenditure'!$B50,'Local Government'!$B$16:$M$60,'Public Expenditure'!F$1,FALSE)),VLOOKUP('Public Expenditure'!$B50,'Local Government'!$B$16:$M$60,'Public Expenditure'!F$1,FALSE),0)</f>
        <v>321768760.86000001</v>
      </c>
      <c r="G50" s="199">
        <f t="shared" si="2"/>
        <v>6.6797193510618431</v>
      </c>
      <c r="H50" s="200">
        <f t="shared" si="3"/>
        <v>-5756776.4399999976</v>
      </c>
      <c r="I50" s="201">
        <f t="shared" si="4"/>
        <v>-1.7891035862567009</v>
      </c>
      <c r="J50" s="198">
        <f>'Cental Budget'!J50</f>
        <v>311063911.84999996</v>
      </c>
      <c r="K50" s="199">
        <f t="shared" si="1"/>
        <v>6.6708966727428685</v>
      </c>
      <c r="L50" s="200">
        <f t="shared" si="5"/>
        <v>4948072.5700000525</v>
      </c>
      <c r="M50" s="201">
        <f t="shared" si="6"/>
        <v>1.5906932246084722</v>
      </c>
      <c r="BE50" s="130"/>
      <c r="BF50" s="130"/>
      <c r="BG50" s="116"/>
      <c r="BH50" s="116"/>
      <c r="BI50" s="116"/>
      <c r="BJ50" s="115"/>
    </row>
    <row r="51" spans="1:62" ht="13.5" customHeight="1">
      <c r="B51" s="80">
        <v>424</v>
      </c>
      <c r="C51" s="97" t="s">
        <v>94</v>
      </c>
      <c r="D51" s="198">
        <f>+'Cental Budget'!D51</f>
        <v>15065425.640000001</v>
      </c>
      <c r="E51" s="199">
        <f t="shared" si="0"/>
        <v>0.31274886633036475</v>
      </c>
      <c r="F51" s="198">
        <f>+IF(ISNUMBER(VLOOKUP($B51,'Cental Budget'!$B$16:$K$77,'Public Expenditure'!F$1,FALSE)),VLOOKUP($B51,'Cental Budget'!$B$16:$K$77,'Public Expenditure'!F$1,FALSE),0)+IF(ISNUMBER(VLOOKUP('Public Expenditure'!$B51,'Local Government'!$B$16:$M$60,'Public Expenditure'!F$1,FALSE)),VLOOKUP('Public Expenditure'!$B51,'Local Government'!$B$16:$M$60,'Public Expenditure'!F$1,FALSE),0)</f>
        <v>14250075.02</v>
      </c>
      <c r="G51" s="199">
        <f t="shared" si="2"/>
        <v>0.29582269456727078</v>
      </c>
      <c r="H51" s="200">
        <f t="shared" si="3"/>
        <v>815350.62000000104</v>
      </c>
      <c r="I51" s="201">
        <f t="shared" si="4"/>
        <v>5.721728614450484</v>
      </c>
      <c r="J51" s="198">
        <f>'Cental Budget'!J51</f>
        <v>13953541.960000001</v>
      </c>
      <c r="K51" s="199">
        <f t="shared" si="1"/>
        <v>0.29923958739009221</v>
      </c>
      <c r="L51" s="200">
        <f t="shared" si="5"/>
        <v>1111883.6799999997</v>
      </c>
      <c r="M51" s="201">
        <f t="shared" si="6"/>
        <v>7.9684691040266813</v>
      </c>
      <c r="BE51" s="130"/>
      <c r="BF51" s="130"/>
      <c r="BG51" s="116"/>
      <c r="BH51" s="116"/>
      <c r="BI51" s="116"/>
      <c r="BJ51" s="115"/>
    </row>
    <row r="52" spans="1:62" ht="13.5" customHeight="1">
      <c r="B52" s="80">
        <v>425</v>
      </c>
      <c r="C52" s="97" t="s">
        <v>431</v>
      </c>
      <c r="D52" s="198">
        <f>+'Cental Budget'!D52</f>
        <v>8131160.0500000007</v>
      </c>
      <c r="E52" s="199">
        <f t="shared" si="0"/>
        <v>0.16879782545514938</v>
      </c>
      <c r="F52" s="198">
        <f>+IF(ISNUMBER(VLOOKUP($B52,'Cental Budget'!$B$16:$K$77,'Public Expenditure'!F$1,FALSE)),VLOOKUP($B52,'Cental Budget'!$B$16:$K$77,'Public Expenditure'!F$1,FALSE),0)+IF(ISNUMBER(VLOOKUP('Public Expenditure'!$B52,'Local Government'!$B$16:$M$60,'Public Expenditure'!F$1,FALSE)),VLOOKUP('Public Expenditure'!$B52,'Local Government'!$B$16:$M$60,'Public Expenditure'!F$1,FALSE),0)</f>
        <v>7968750.75</v>
      </c>
      <c r="G52" s="199">
        <f t="shared" si="2"/>
        <v>0.16542630939777045</v>
      </c>
      <c r="H52" s="200">
        <f t="shared" si="3"/>
        <v>162409.30000000075</v>
      </c>
      <c r="I52" s="201">
        <f t="shared" si="4"/>
        <v>2.0380772983770328</v>
      </c>
      <c r="J52" s="198">
        <f>'Cental Budget'!J52</f>
        <v>9999405.9299999997</v>
      </c>
      <c r="K52" s="199">
        <f t="shared" si="1"/>
        <v>0.21444147394381299</v>
      </c>
      <c r="L52" s="200">
        <f t="shared" si="5"/>
        <v>-1868245.879999999</v>
      </c>
      <c r="M52" s="201">
        <f t="shared" si="6"/>
        <v>-18.683568734767817</v>
      </c>
      <c r="BE52" s="130"/>
      <c r="BF52" s="130"/>
      <c r="BG52" s="116"/>
      <c r="BH52" s="116"/>
      <c r="BI52" s="116"/>
      <c r="BJ52" s="115"/>
    </row>
    <row r="53" spans="1:62" ht="13.5" customHeight="1" thickBot="1">
      <c r="A53" s="80">
        <v>43</v>
      </c>
      <c r="B53" s="80">
        <v>43</v>
      </c>
      <c r="C53" s="93" t="s">
        <v>432</v>
      </c>
      <c r="D53" s="204">
        <f>+'Cental Budget'!D53+'Local Government'!D39</f>
        <v>199150914.26999998</v>
      </c>
      <c r="E53" s="202">
        <f t="shared" si="0"/>
        <v>4.1342491181416205</v>
      </c>
      <c r="F53" s="204">
        <f>+'Cental Budget'!F53+'Local Government'!F39</f>
        <v>200225313.8327117</v>
      </c>
      <c r="G53" s="202">
        <f t="shared" si="2"/>
        <v>4.156552984839669</v>
      </c>
      <c r="H53" s="205">
        <f t="shared" si="3"/>
        <v>-1074399.5627117157</v>
      </c>
      <c r="I53" s="197">
        <f t="shared" si="4"/>
        <v>-0.53659526967173576</v>
      </c>
      <c r="J53" s="204">
        <f>+'Cental Budget'!J53+'Local Government'!J39</f>
        <v>177711854.44999999</v>
      </c>
      <c r="K53" s="202">
        <f t="shared" si="1"/>
        <v>3.8111056069054254</v>
      </c>
      <c r="L53" s="205">
        <f t="shared" si="5"/>
        <v>21439059.819999993</v>
      </c>
      <c r="M53" s="197">
        <f t="shared" si="6"/>
        <v>12.063944685261262</v>
      </c>
      <c r="BE53" s="130"/>
      <c r="BF53" s="130"/>
      <c r="BG53" s="116"/>
      <c r="BH53" s="116"/>
      <c r="BI53" s="116"/>
      <c r="BJ53" s="115"/>
    </row>
    <row r="54" spans="1:62" ht="13.5" customHeight="1" thickTop="1" thickBot="1">
      <c r="B54" s="80">
        <v>44</v>
      </c>
      <c r="C54" s="138" t="s">
        <v>130</v>
      </c>
      <c r="D54" s="206">
        <f>'Cental Budget'!D56+'Local Government'!D40</f>
        <v>197853973.22000003</v>
      </c>
      <c r="E54" s="192">
        <f t="shared" si="0"/>
        <v>4.1073254285773606</v>
      </c>
      <c r="F54" s="206">
        <f>+IF(ISNUMBER(VLOOKUP($B54,'Cental Budget'!$B$16:$K$77,'Public Expenditure'!F$1,FALSE)),VLOOKUP($B54,'Cental Budget'!$B$16:$K$77,'Public Expenditure'!F$1,FALSE),0)+IF(ISNUMBER(VLOOKUP('Public Expenditure'!$B54,'Local Government'!$B$16:$M$60,'Public Expenditure'!F$1,FALSE)),VLOOKUP('Public Expenditure'!$B54,'Local Government'!$B$16:$M$60,'Public Expenditure'!F$1,FALSE),0)</f>
        <v>272497029.56265306</v>
      </c>
      <c r="G54" s="192">
        <f t="shared" si="2"/>
        <v>5.6568688539298142</v>
      </c>
      <c r="H54" s="206">
        <f t="shared" si="3"/>
        <v>-74643056.342653036</v>
      </c>
      <c r="I54" s="192">
        <f t="shared" si="4"/>
        <v>-27.39224587602007</v>
      </c>
      <c r="J54" s="206">
        <f>+IF(ISNUMBER(VLOOKUP($B54,'Cental Budget'!$B$16:$K$77,'Public Expenditure'!J$1,FALSE)),VLOOKUP($B54,'Cental Budget'!$B$16:$K$77,'Public Expenditure'!J$1,FALSE),0)+IF(ISNUMBER(VLOOKUP('Public Expenditure'!$B54,'Local Government'!$B$16:$M$60,'Public Expenditure'!J$1,FALSE)),VLOOKUP('Public Expenditure'!$B54,'Local Government'!$B$16:$M$60,'Public Expenditure'!J$1,FALSE),0)</f>
        <v>179692831.66999999</v>
      </c>
      <c r="K54" s="192">
        <f t="shared" si="1"/>
        <v>3.8535884981771384</v>
      </c>
      <c r="L54" s="206">
        <f t="shared" si="5"/>
        <v>18161141.550000042</v>
      </c>
      <c r="M54" s="192">
        <f t="shared" si="6"/>
        <v>10.106770192899162</v>
      </c>
      <c r="BE54" s="130"/>
      <c r="BF54" s="130"/>
      <c r="BG54" s="116"/>
      <c r="BH54" s="116"/>
      <c r="BI54" s="116"/>
      <c r="BJ54" s="115"/>
    </row>
    <row r="55" spans="1:62" ht="13.5" customHeight="1" thickTop="1">
      <c r="B55" s="80">
        <v>451</v>
      </c>
      <c r="C55" s="93" t="s">
        <v>110</v>
      </c>
      <c r="D55" s="193">
        <f>'Cental Budget'!D57+'Local Government'!D41</f>
        <v>7380497.7599999998</v>
      </c>
      <c r="E55" s="202">
        <f t="shared" si="0"/>
        <v>0.153214543189886</v>
      </c>
      <c r="F55" s="193">
        <f>+IF(ISNUMBER(VLOOKUP($B55,'Cental Budget'!$B$16:$K$77,'Public Expenditure'!F$1,FALSE)),VLOOKUP($B55,'Cental Budget'!$B$16:$K$77,'Public Expenditure'!F$1,FALSE),0)+IF(ISNUMBER(VLOOKUP('Public Expenditure'!$B55,'Local Government'!$B$16:$M$60,'Public Expenditure'!F$1,FALSE)),VLOOKUP('Public Expenditure'!$B55,'Local Government'!$B$16:$M$60,'Public Expenditure'!F$1,FALSE),0)</f>
        <v>2437297.4122878783</v>
      </c>
      <c r="G55" s="202">
        <f t="shared" si="2"/>
        <v>5.0596778399615509E-2</v>
      </c>
      <c r="H55" s="195">
        <f t="shared" si="3"/>
        <v>4943200.3477121219</v>
      </c>
      <c r="I55" s="197">
        <f t="shared" si="4"/>
        <v>202.81481951240272</v>
      </c>
      <c r="J55" s="193">
        <f>+IF(ISNUMBER(VLOOKUP($B55,'Cental Budget'!$B$16:$K$77,'Public Expenditure'!J$1,FALSE)),VLOOKUP($B55,'Cental Budget'!$B$16:$K$77,'Public Expenditure'!J$1,FALSE),0)+IF(ISNUMBER(VLOOKUP('Public Expenditure'!$B55,'Local Government'!$B$16:$M$60,'Public Expenditure'!J$1,FALSE)),VLOOKUP('Public Expenditure'!$B55,'Local Government'!$B$16:$M$60,'Public Expenditure'!J$1,FALSE),0)</f>
        <v>2683029.2999999998</v>
      </c>
      <c r="K55" s="202">
        <f t="shared" si="1"/>
        <v>5.7538693973836576E-2</v>
      </c>
      <c r="L55" s="195">
        <f t="shared" si="5"/>
        <v>4697468.46</v>
      </c>
      <c r="M55" s="197">
        <f t="shared" si="6"/>
        <v>175.08077381040903</v>
      </c>
      <c r="BE55" s="130"/>
      <c r="BF55" s="130"/>
      <c r="BG55" s="116"/>
      <c r="BH55" s="116"/>
      <c r="BI55" s="116"/>
      <c r="BJ55" s="115"/>
    </row>
    <row r="56" spans="1:62" ht="13.5" customHeight="1" thickBot="1">
      <c r="B56" s="80">
        <v>47</v>
      </c>
      <c r="C56" s="93" t="s">
        <v>117</v>
      </c>
      <c r="D56" s="193">
        <f>'Cental Budget'!D58+'Local Government'!D42</f>
        <v>16265608.690000001</v>
      </c>
      <c r="E56" s="202">
        <f t="shared" si="0"/>
        <v>0.33766391999335704</v>
      </c>
      <c r="F56" s="193">
        <f>+IF(ISNUMBER(VLOOKUP($B56,'Cental Budget'!$B$16:$K$77,'Public Expenditure'!F$1,FALSE)),VLOOKUP($B56,'Cental Budget'!$B$16:$K$77,'Public Expenditure'!F$1,FALSE),0)+IF(ISNUMBER(VLOOKUP('Public Expenditure'!$B56,'Local Government'!$B$16:$M$60,'Public Expenditure'!F$1,FALSE)),VLOOKUP('Public Expenditure'!$B56,'Local Government'!$B$16:$M$60,'Public Expenditure'!F$1,FALSE),0)</f>
        <v>19529076.294223823</v>
      </c>
      <c r="G56" s="202">
        <f t="shared" si="2"/>
        <v>0.40541147774021352</v>
      </c>
      <c r="H56" s="195">
        <f t="shared" si="3"/>
        <v>-3263467.6042238213</v>
      </c>
      <c r="I56" s="197">
        <f t="shared" si="4"/>
        <v>-16.710813942536902</v>
      </c>
      <c r="J56" s="193">
        <f>+IF(ISNUMBER(VLOOKUP($B56,'Cental Budget'!$B$16:$K$77,'Public Expenditure'!J$1,FALSE)),VLOOKUP($B56,'Cental Budget'!$B$16:$K$77,'Public Expenditure'!J$1,FALSE),0)+IF(ISNUMBER(VLOOKUP('Public Expenditure'!$B56,'Local Government'!$B$16:$M$60,'Public Expenditure'!J$1,FALSE)),VLOOKUP('Public Expenditure'!$B56,'Local Government'!$B$16:$M$60,'Public Expenditure'!J$1,FALSE),0)</f>
        <v>15019526.860000001</v>
      </c>
      <c r="K56" s="202">
        <f t="shared" si="1"/>
        <v>0.32210008277932667</v>
      </c>
      <c r="L56" s="195">
        <f t="shared" si="5"/>
        <v>1246081.83</v>
      </c>
      <c r="M56" s="197">
        <f t="shared" si="6"/>
        <v>8.2964120082807966</v>
      </c>
      <c r="BE56" s="130"/>
      <c r="BF56" s="130"/>
      <c r="BG56" s="116"/>
      <c r="BH56" s="116"/>
      <c r="BI56" s="116"/>
      <c r="BJ56" s="115"/>
    </row>
    <row r="57" spans="1:62" ht="13.5" customHeight="1" thickTop="1" thickBot="1">
      <c r="B57" s="80">
        <v>462</v>
      </c>
      <c r="C57" s="119" t="s">
        <v>112</v>
      </c>
      <c r="D57" s="207">
        <f>'Cental Budget'!D59+'Local Government'!D43</f>
        <v>9434699.4100000001</v>
      </c>
      <c r="E57" s="208">
        <f t="shared" si="0"/>
        <v>0.19585849183118473</v>
      </c>
      <c r="F57" s="207">
        <f>+IF(ISNUMBER(VLOOKUP($B57,'Cental Budget'!$B$16:$K$77,'Public Expenditure'!F$1,FALSE)),VLOOKUP($B57,'Cental Budget'!$B$16:$K$77,'Public Expenditure'!F$1,FALSE),0)+IF(ISNUMBER(VLOOKUP('Public Expenditure'!$B57,'Local Government'!$B$16:$M$60,'Public Expenditure'!F$1,FALSE)),VLOOKUP('Public Expenditure'!$B57,'Local Government'!$B$16:$M$60,'Public Expenditure'!F$1,FALSE),0)</f>
        <v>9434672.4100000001</v>
      </c>
      <c r="G57" s="208">
        <f t="shared" si="2"/>
        <v>0.19585793132797744</v>
      </c>
      <c r="H57" s="209">
        <f t="shared" si="3"/>
        <v>27</v>
      </c>
      <c r="I57" s="184">
        <f t="shared" si="4"/>
        <v>2.8617845777034745E-4</v>
      </c>
      <c r="J57" s="207">
        <f>+IF(ISNUMBER(VLOOKUP($B57,'Cental Budget'!$B$16:$K$77,'Public Expenditure'!J$1,FALSE)),VLOOKUP($B57,'Cental Budget'!$B$16:$K$77,'Public Expenditure'!J$1,FALSE),0)+IF(ISNUMBER(VLOOKUP('Public Expenditure'!$B57,'Local Government'!$B$16:$M$60,'Public Expenditure'!J$1,FALSE)),VLOOKUP('Public Expenditure'!$B57,'Local Government'!$B$16:$M$60,'Public Expenditure'!J$1,FALSE),0)</f>
        <v>0</v>
      </c>
      <c r="K57" s="208">
        <f t="shared" si="1"/>
        <v>0</v>
      </c>
      <c r="L57" s="209">
        <f t="shared" si="5"/>
        <v>9434699.4100000001</v>
      </c>
      <c r="M57" s="210" t="e">
        <f t="shared" si="6"/>
        <v>#DIV/0!</v>
      </c>
      <c r="BE57" s="130"/>
      <c r="BF57" s="130"/>
      <c r="BG57" s="116"/>
      <c r="BH57" s="116"/>
      <c r="BI57" s="116"/>
      <c r="BJ57" s="115"/>
    </row>
    <row r="58" spans="1:62" ht="13.5" customHeight="1" thickTop="1" thickBot="1">
      <c r="B58" s="166" t="s">
        <v>447</v>
      </c>
      <c r="C58" s="161" t="s">
        <v>115</v>
      </c>
      <c r="D58" s="211">
        <f>'Cental Budget'!D60+'Local Government'!D44</f>
        <v>16281074.739999998</v>
      </c>
      <c r="E58" s="212">
        <f>D58/D$11*100</f>
        <v>0.33798498557223222</v>
      </c>
      <c r="F58" s="211">
        <f>'Cental Budget'!F60+'Local Government'!F44</f>
        <v>14174887.960000001</v>
      </c>
      <c r="G58" s="212">
        <f>F58/D$11*100</f>
        <v>0.2942618579643354</v>
      </c>
      <c r="H58" s="213">
        <f>+D58-F58</f>
        <v>2106186.7799999975</v>
      </c>
      <c r="I58" s="184">
        <f t="shared" si="4"/>
        <v>14.858577972139386</v>
      </c>
      <c r="J58" s="211">
        <f>'Cental Budget'!J60+'Local Government'!J44</f>
        <v>54041069.459700003</v>
      </c>
      <c r="K58" s="212">
        <f>J58/J$11*100</f>
        <v>1.1589335076066911</v>
      </c>
      <c r="L58" s="213">
        <f>+D58-J58</f>
        <v>-37759994.719700009</v>
      </c>
      <c r="M58" s="214">
        <f>+D58/J58*100-100</f>
        <v>-69.872774719713362</v>
      </c>
      <c r="BE58" s="130"/>
      <c r="BF58" s="130"/>
      <c r="BG58" s="116"/>
      <c r="BH58" s="116"/>
      <c r="BI58" s="116"/>
      <c r="BJ58" s="115"/>
    </row>
    <row r="59" spans="1:62" ht="13.5" customHeight="1" thickTop="1" thickBot="1">
      <c r="B59" s="80">
        <v>990</v>
      </c>
      <c r="C59" s="118" t="s">
        <v>151</v>
      </c>
      <c r="D59" s="193">
        <f>'Cental Budget'!D61+'Local Government'!D45</f>
        <v>0</v>
      </c>
      <c r="E59" s="202">
        <f t="shared" si="0"/>
        <v>0</v>
      </c>
      <c r="F59" s="193">
        <f>+IF(ISNUMBER(VLOOKUP($B59,'Cental Budget'!$B$16:$K$77,'Public Expenditure'!F$1,FALSE)),VLOOKUP($B59,'Cental Budget'!$B$16:$K$77,'Public Expenditure'!F$1,FALSE),0)+IF(ISNUMBER(VLOOKUP('Public Expenditure'!$B59,'Local Government'!$B$16:$M$60,'Public Expenditure'!F$1,FALSE)),VLOOKUP('Public Expenditure'!$B59,'Local Government'!$B$16:$M$60,'Public Expenditure'!F$1,FALSE),0)</f>
        <v>0</v>
      </c>
      <c r="G59" s="202">
        <f t="shared" si="2"/>
        <v>0</v>
      </c>
      <c r="H59" s="195">
        <f t="shared" si="3"/>
        <v>0</v>
      </c>
      <c r="I59" s="184" t="e">
        <f t="shared" si="4"/>
        <v>#DIV/0!</v>
      </c>
      <c r="J59" s="193">
        <f>+IF(ISNUMBER(VLOOKUP($B59,'Cental Budget'!$B$16:$K$77,'Public Expenditure'!J$1,FALSE)),VLOOKUP($B59,'Cental Budget'!$B$16:$K$77,'Public Expenditure'!J$1,FALSE),0)+IF(ISNUMBER(VLOOKUP('Public Expenditure'!$B59,'Local Government'!$B$16:$M$60,'Public Expenditure'!J$1,FALSE)),VLOOKUP('Public Expenditure'!$B59,'Local Government'!$B$16:$M$60,'Public Expenditure'!J$1,FALSE),0)</f>
        <v>0</v>
      </c>
      <c r="K59" s="202">
        <f t="shared" si="1"/>
        <v>0</v>
      </c>
      <c r="L59" s="195">
        <f t="shared" si="5"/>
        <v>0</v>
      </c>
      <c r="M59" s="197" t="e">
        <f t="shared" si="6"/>
        <v>#DIV/0!</v>
      </c>
      <c r="BE59" s="130"/>
      <c r="BF59" s="130"/>
      <c r="BG59" s="116"/>
      <c r="BH59" s="116"/>
      <c r="BI59" s="116"/>
      <c r="BJ59" s="115"/>
    </row>
    <row r="60" spans="1:62" ht="13.5" customHeight="1" thickTop="1" thickBot="1">
      <c r="C60" s="138" t="s">
        <v>131</v>
      </c>
      <c r="D60" s="203">
        <f>+D15-D35</f>
        <v>2963957.6089000702</v>
      </c>
      <c r="E60" s="192">
        <f t="shared" si="0"/>
        <v>6.1529916524466377E-2</v>
      </c>
      <c r="F60" s="203">
        <f>+F15-F35</f>
        <v>-177196475.8032527</v>
      </c>
      <c r="G60" s="192">
        <f t="shared" si="2"/>
        <v>-3.6784886301561666</v>
      </c>
      <c r="H60" s="203">
        <f>+D60-F60</f>
        <v>180160433.41215277</v>
      </c>
      <c r="I60" s="192">
        <f t="shared" si="4"/>
        <v>-101.67269557448256</v>
      </c>
      <c r="J60" s="203">
        <f>+J15-J35</f>
        <v>-44748171.22600317</v>
      </c>
      <c r="K60" s="192">
        <f>J60/J$11*100</f>
        <v>-0.95964338893423062</v>
      </c>
      <c r="L60" s="203">
        <f t="shared" si="5"/>
        <v>47712128.83490324</v>
      </c>
      <c r="M60" s="192">
        <f t="shared" si="6"/>
        <v>-106.62363964312739</v>
      </c>
      <c r="N60" s="168"/>
      <c r="O60" s="168"/>
      <c r="BE60" s="130"/>
      <c r="BF60" s="130"/>
      <c r="BG60" s="116"/>
      <c r="BH60" s="116"/>
      <c r="BI60" s="116"/>
      <c r="BJ60" s="115"/>
    </row>
    <row r="61" spans="1:62" ht="13.5" customHeight="1" thickTop="1" thickBot="1">
      <c r="C61" s="138" t="s">
        <v>469</v>
      </c>
      <c r="D61" s="203">
        <f>D60-D59</f>
        <v>2963957.6089000702</v>
      </c>
      <c r="E61" s="192">
        <f t="shared" si="0"/>
        <v>6.1529916524466377E-2</v>
      </c>
      <c r="F61" s="203">
        <f>F60-F59</f>
        <v>-177196475.8032527</v>
      </c>
      <c r="G61" s="192">
        <f t="shared" si="2"/>
        <v>-3.6784886301561666</v>
      </c>
      <c r="H61" s="203">
        <f>+D61-F61</f>
        <v>180160433.41215277</v>
      </c>
      <c r="I61" s="192">
        <f t="shared" si="4"/>
        <v>-101.67269557448256</v>
      </c>
      <c r="J61" s="203">
        <f>J60-J59</f>
        <v>-44748171.22600317</v>
      </c>
      <c r="K61" s="192">
        <f>J61/J$11*100</f>
        <v>-0.95964338893423062</v>
      </c>
      <c r="L61" s="203">
        <f t="shared" ref="L61" si="7">+D61-J61</f>
        <v>47712128.83490324</v>
      </c>
      <c r="M61" s="192">
        <f t="shared" ref="M61" si="8">+D61/J61*100-100</f>
        <v>-106.62363964312739</v>
      </c>
      <c r="N61" s="162"/>
      <c r="O61" s="168"/>
      <c r="BE61" s="130"/>
      <c r="BF61" s="130"/>
      <c r="BG61" s="116"/>
      <c r="BH61" s="116"/>
      <c r="BI61" s="116"/>
      <c r="BJ61" s="115"/>
    </row>
    <row r="62" spans="1:62" ht="13.5" customHeight="1" thickTop="1" thickBot="1">
      <c r="C62" s="138" t="s">
        <v>468</v>
      </c>
      <c r="D62" s="203">
        <f>+D60+D42</f>
        <v>88223693.858900085</v>
      </c>
      <c r="E62" s="192">
        <f t="shared" si="0"/>
        <v>1.8314690136991152</v>
      </c>
      <c r="F62" s="203">
        <f>+F60+F42</f>
        <v>-88970132.14578642</v>
      </c>
      <c r="G62" s="192">
        <f t="shared" si="2"/>
        <v>-1.8469646082868618</v>
      </c>
      <c r="H62" s="203">
        <f t="shared" si="3"/>
        <v>177193826.0046865</v>
      </c>
      <c r="I62" s="192" t="s">
        <v>467</v>
      </c>
      <c r="J62" s="203">
        <f>+J61+J42</f>
        <v>43908912.01399681</v>
      </c>
      <c r="K62" s="192">
        <f t="shared" si="1"/>
        <v>0.94164512146679846</v>
      </c>
      <c r="L62" s="203">
        <f t="shared" si="5"/>
        <v>44314781.844903275</v>
      </c>
      <c r="M62" s="192" t="s">
        <v>467</v>
      </c>
      <c r="O62" s="168"/>
      <c r="BE62" s="130"/>
      <c r="BF62" s="130"/>
      <c r="BG62" s="116"/>
      <c r="BH62" s="116"/>
      <c r="BI62" s="116"/>
      <c r="BJ62" s="115"/>
    </row>
    <row r="63" spans="1:62" ht="13.5" customHeight="1" thickTop="1" thickBot="1">
      <c r="C63" s="138" t="s">
        <v>0</v>
      </c>
      <c r="D63" s="203">
        <f>+SUM(D64:D66)</f>
        <v>523760859.59999996</v>
      </c>
      <c r="E63" s="192">
        <f t="shared" si="0"/>
        <v>10.872949691723235</v>
      </c>
      <c r="F63" s="203">
        <f>+SUM(F64:F66)</f>
        <v>379150528.30883682</v>
      </c>
      <c r="G63" s="192">
        <f t="shared" si="2"/>
        <v>7.8709291546539788</v>
      </c>
      <c r="H63" s="203">
        <v>0</v>
      </c>
      <c r="I63" s="192">
        <f t="shared" si="4"/>
        <v>38.140611839889317</v>
      </c>
      <c r="J63" s="203">
        <f>+SUM(J64:J65)</f>
        <v>680051949.64999998</v>
      </c>
      <c r="K63" s="192">
        <f t="shared" si="1"/>
        <v>14.584000635856745</v>
      </c>
      <c r="L63" s="203">
        <f t="shared" si="5"/>
        <v>-156291090.05000001</v>
      </c>
      <c r="M63" s="192">
        <f t="shared" si="6"/>
        <v>-22.982228068081838</v>
      </c>
      <c r="O63" s="168"/>
      <c r="BE63" s="130"/>
      <c r="BF63" s="130"/>
      <c r="BG63" s="116"/>
      <c r="BH63" s="116"/>
      <c r="BI63" s="116"/>
      <c r="BJ63" s="115"/>
    </row>
    <row r="64" spans="1:62" ht="13.5" customHeight="1" thickTop="1">
      <c r="B64" s="80">
        <v>4611</v>
      </c>
      <c r="C64" s="97" t="s">
        <v>134</v>
      </c>
      <c r="D64" s="198">
        <f>'Cental Budget'!D66+'Local Government'!D50</f>
        <v>180644271.79000002</v>
      </c>
      <c r="E64" s="199">
        <f t="shared" si="0"/>
        <v>3.750062730480995</v>
      </c>
      <c r="F64" s="198">
        <f>+IF(ISNUMBER(VLOOKUP($B64,'Cental Budget'!$B$16:$K$77,'Public Expenditure'!F$1,FALSE)),VLOOKUP($B64,'Cental Budget'!$B$16:$K$77,'Public Expenditure'!F$1,FALSE),0)+IF(ISNUMBER(VLOOKUP('Public Expenditure'!$B64,'Local Government'!$B$16:$M$60,'Public Expenditure'!F$1,FALSE)),VLOOKUP('Public Expenditure'!$B64,'Local Government'!$B$16:$M$60,'Public Expenditure'!F$1,FALSE),0)</f>
        <v>37580104.129060067</v>
      </c>
      <c r="G64" s="199">
        <f t="shared" si="2"/>
        <v>0.78013958873720846</v>
      </c>
      <c r="H64" s="200">
        <f t="shared" si="3"/>
        <v>143064167.66093996</v>
      </c>
      <c r="I64" s="201">
        <f t="shared" si="4"/>
        <v>380.69124867142347</v>
      </c>
      <c r="J64" s="198">
        <f>+IF(ISNUMBER(VLOOKUP($B64,'Cental Budget'!$B$16:$K$77,'Public Expenditure'!J$1,FALSE)),VLOOKUP($B64,'Cental Budget'!$B$16:$K$77,'Public Expenditure'!J$1,FALSE),0)+IF(ISNUMBER(VLOOKUP('Public Expenditure'!$B64,'Local Government'!$B$16:$M$60,'Public Expenditure'!J$1,FALSE)),VLOOKUP('Public Expenditure'!$B64,'Local Government'!$B$16:$M$60,'Public Expenditure'!J$1,FALSE),0)</f>
        <v>237698641.22</v>
      </c>
      <c r="K64" s="199">
        <f t="shared" si="1"/>
        <v>5.0975475277718205</v>
      </c>
      <c r="L64" s="200">
        <f t="shared" si="5"/>
        <v>-57054369.429999977</v>
      </c>
      <c r="M64" s="201">
        <f t="shared" si="6"/>
        <v>-24.002816817616463</v>
      </c>
      <c r="BE64" s="130"/>
      <c r="BF64" s="130"/>
      <c r="BG64" s="116"/>
      <c r="BH64" s="116"/>
      <c r="BI64" s="116"/>
      <c r="BJ64" s="115"/>
    </row>
    <row r="65" spans="2:62" ht="13.5" customHeight="1">
      <c r="B65" s="80">
        <v>4612</v>
      </c>
      <c r="C65" s="97" t="s">
        <v>136</v>
      </c>
      <c r="D65" s="198">
        <f>'Cental Budget'!D67+'Local Government'!D51</f>
        <v>307038847.72999996</v>
      </c>
      <c r="E65" s="199">
        <f t="shared" si="0"/>
        <v>6.373935515766747</v>
      </c>
      <c r="F65" s="198">
        <f>+IF(ISNUMBER(VLOOKUP($B65,'Cental Budget'!$B$16:$K$77,'Public Expenditure'!F$1,FALSE)),VLOOKUP($B65,'Cental Budget'!$B$16:$K$77,'Public Expenditure'!F$1,FALSE),0)+IF(ISNUMBER(VLOOKUP('Public Expenditure'!$B65,'Local Government'!$B$16:$M$60,'Public Expenditure'!F$1,FALSE)),VLOOKUP('Public Expenditure'!$B65,'Local Government'!$B$16:$M$60,'Public Expenditure'!F$1,FALSE),0)</f>
        <v>309124316.91189957</v>
      </c>
      <c r="G65" s="199">
        <f t="shared" si="2"/>
        <v>6.4172285589234104</v>
      </c>
      <c r="H65" s="200">
        <f t="shared" si="3"/>
        <v>-2085469.1818996072</v>
      </c>
      <c r="I65" s="201">
        <f t="shared" si="4"/>
        <v>-0.67463770004673052</v>
      </c>
      <c r="J65" s="198">
        <f>+IF(ISNUMBER(VLOOKUP($B65,'Cental Budget'!$B$16:$K$77,'Public Expenditure'!J$1,FALSE)),VLOOKUP($B65,'Cental Budget'!$B$16:$K$77,'Public Expenditure'!J$1,FALSE),0)+IF(ISNUMBER(VLOOKUP('Public Expenditure'!$B65,'Local Government'!$B$16:$M$60,'Public Expenditure'!J$1,FALSE)),VLOOKUP('Public Expenditure'!$B65,'Local Government'!$B$16:$M$60,'Public Expenditure'!J$1,FALSE),0)</f>
        <v>442353308.43000001</v>
      </c>
      <c r="K65" s="199">
        <f t="shared" si="1"/>
        <v>9.486453108084925</v>
      </c>
      <c r="L65" s="200">
        <f t="shared" si="5"/>
        <v>-135314460.70000005</v>
      </c>
      <c r="M65" s="201">
        <f t="shared" si="6"/>
        <v>-30.58967981504604</v>
      </c>
      <c r="BE65" s="130"/>
      <c r="BF65" s="130"/>
      <c r="BG65" s="116"/>
      <c r="BH65" s="116"/>
      <c r="BI65" s="116"/>
      <c r="BJ65" s="115"/>
    </row>
    <row r="66" spans="2:62" ht="13.5" customHeight="1" thickBot="1">
      <c r="B66" s="166" t="s">
        <v>447</v>
      </c>
      <c r="C66" s="167" t="s">
        <v>115</v>
      </c>
      <c r="D66" s="198">
        <f>'Cental Budget'!D68+'Local Government'!D52</f>
        <v>36077740.079999991</v>
      </c>
      <c r="E66" s="199">
        <f t="shared" si="0"/>
        <v>0.7489514454754933</v>
      </c>
      <c r="F66" s="198">
        <f>'Cental Budget'!F68+'Local Government'!F52</f>
        <v>32446107.267877165</v>
      </c>
      <c r="G66" s="199">
        <f t="shared" si="2"/>
        <v>0.67356100699336041</v>
      </c>
      <c r="H66" s="200">
        <f t="shared" si="3"/>
        <v>3631632.8121228255</v>
      </c>
      <c r="I66" s="201">
        <f t="shared" si="4"/>
        <v>11.192815156961132</v>
      </c>
      <c r="J66" s="198">
        <f>'Cental Budget'!J68+'Local Government'!J52</f>
        <v>0</v>
      </c>
      <c r="K66" s="199">
        <f t="shared" si="1"/>
        <v>0</v>
      </c>
      <c r="L66" s="200">
        <f t="shared" si="5"/>
        <v>36077740.079999991</v>
      </c>
      <c r="M66" s="201" t="e">
        <f t="shared" si="6"/>
        <v>#DIV/0!</v>
      </c>
      <c r="BE66" s="130"/>
      <c r="BF66" s="130"/>
      <c r="BG66" s="116"/>
      <c r="BH66" s="116"/>
      <c r="BI66" s="116"/>
      <c r="BJ66" s="115"/>
    </row>
    <row r="67" spans="2:62" ht="13.5" customHeight="1" thickTop="1" thickBot="1">
      <c r="C67" s="138" t="s">
        <v>466</v>
      </c>
      <c r="D67" s="203">
        <f>+'Cental Budget'!D69+'Local Government'!D53</f>
        <v>39983668.460000001</v>
      </c>
      <c r="E67" s="192">
        <f t="shared" si="0"/>
        <v>0.83003608934836326</v>
      </c>
      <c r="F67" s="203">
        <f>+'Cental Budget'!F69+'Local Government'!F53</f>
        <v>40060000.020000003</v>
      </c>
      <c r="G67" s="192">
        <f t="shared" si="2"/>
        <v>0.83162068505947573</v>
      </c>
      <c r="H67" s="203">
        <f t="shared" si="3"/>
        <v>-76331.560000002384</v>
      </c>
      <c r="I67" s="192">
        <f t="shared" si="4"/>
        <v>-0.19054308527681485</v>
      </c>
      <c r="J67" s="203">
        <f>+'Cental Budget'!J69+'Local Government'!J53</f>
        <v>68939595.359999999</v>
      </c>
      <c r="K67" s="192">
        <f t="shared" si="1"/>
        <v>1.4784386738151405</v>
      </c>
      <c r="L67" s="203">
        <f t="shared" si="5"/>
        <v>-28955926.899999999</v>
      </c>
      <c r="M67" s="192">
        <f t="shared" si="6"/>
        <v>-42.001881137818152</v>
      </c>
      <c r="N67" s="162"/>
      <c r="BE67" s="130"/>
      <c r="BF67" s="130"/>
      <c r="BG67" s="116"/>
      <c r="BH67" s="116"/>
      <c r="BI67" s="116"/>
      <c r="BJ67" s="115"/>
    </row>
    <row r="68" spans="2:62" ht="13.5" customHeight="1" thickTop="1" thickBot="1">
      <c r="C68" s="138" t="s">
        <v>140</v>
      </c>
      <c r="D68" s="203">
        <f>+D60-D63-D67</f>
        <v>-560780570.45109987</v>
      </c>
      <c r="E68" s="192">
        <f t="shared" si="0"/>
        <v>-11.641455864547131</v>
      </c>
      <c r="F68" s="203">
        <f>+F60-F63-F67</f>
        <v>-596407004.1320895</v>
      </c>
      <c r="G68" s="192">
        <f t="shared" si="2"/>
        <v>-12.381038469869621</v>
      </c>
      <c r="H68" s="203">
        <f t="shared" si="3"/>
        <v>35626433.680989623</v>
      </c>
      <c r="I68" s="192">
        <f t="shared" si="4"/>
        <v>-5.973510276398315</v>
      </c>
      <c r="J68" s="203">
        <f>+J60-J63-J67</f>
        <v>-793739716.23600316</v>
      </c>
      <c r="K68" s="192">
        <f t="shared" si="1"/>
        <v>-17.022082698606113</v>
      </c>
      <c r="L68" s="203">
        <f t="shared" si="5"/>
        <v>232959145.78490329</v>
      </c>
      <c r="M68" s="192">
        <f t="shared" si="6"/>
        <v>-29.349563971627873</v>
      </c>
      <c r="N68" s="162"/>
      <c r="O68" s="168"/>
      <c r="BE68" s="130"/>
      <c r="BF68" s="130"/>
      <c r="BG68" s="116"/>
      <c r="BH68" s="116"/>
      <c r="BI68" s="116"/>
      <c r="BJ68" s="115"/>
    </row>
    <row r="69" spans="2:62" ht="13.5" customHeight="1" thickTop="1" thickBot="1">
      <c r="C69" s="138" t="s">
        <v>120</v>
      </c>
      <c r="D69" s="203">
        <f>+SUM(D70:D74)</f>
        <v>560780570.45109987</v>
      </c>
      <c r="E69" s="192">
        <f t="shared" si="0"/>
        <v>11.641455864547131</v>
      </c>
      <c r="F69" s="203">
        <f>+SUM(F70:F74)</f>
        <v>596407004.1320895</v>
      </c>
      <c r="G69" s="192">
        <f t="shared" si="2"/>
        <v>12.381038469869621</v>
      </c>
      <c r="H69" s="203">
        <f t="shared" si="3"/>
        <v>-35626433.680989623</v>
      </c>
      <c r="I69" s="192">
        <f t="shared" si="4"/>
        <v>-5.973510276398315</v>
      </c>
      <c r="J69" s="203">
        <f>+SUM(J70:J74)</f>
        <v>793739716.23600316</v>
      </c>
      <c r="K69" s="192">
        <f t="shared" si="1"/>
        <v>17.022082698606113</v>
      </c>
      <c r="L69" s="203">
        <f t="shared" si="5"/>
        <v>-232959145.78490329</v>
      </c>
      <c r="M69" s="192">
        <f t="shared" si="6"/>
        <v>-29.349563971627873</v>
      </c>
      <c r="N69" s="162"/>
      <c r="BE69" s="130"/>
      <c r="BF69" s="130"/>
      <c r="BG69" s="116"/>
      <c r="BH69" s="116"/>
      <c r="BI69" s="116"/>
      <c r="BJ69" s="115"/>
    </row>
    <row r="70" spans="2:62" ht="13.5" customHeight="1" thickTop="1">
      <c r="B70" s="80">
        <v>7511</v>
      </c>
      <c r="C70" s="97" t="s">
        <v>143</v>
      </c>
      <c r="D70" s="198">
        <f>'Cental Budget'!D72+'Local Government'!D56</f>
        <v>300456636.38999999</v>
      </c>
      <c r="E70" s="199">
        <f t="shared" si="0"/>
        <v>6.2372929021610517</v>
      </c>
      <c r="F70" s="198">
        <f>+IF(ISNUMBER(VLOOKUP($B70,'Cental Budget'!$B$16:$K$77,'Public Expenditure'!F$1,FALSE)),VLOOKUP($B70,'Cental Budget'!$B$16:$K$77,'Public Expenditure'!F$1,FALSE),0)+IF(ISNUMBER(VLOOKUP('Public Expenditure'!$B70,'Local Government'!$B$16:$M$60,'Public Expenditure'!F$1,FALSE)),VLOOKUP('Public Expenditure'!$B70,'Local Government'!$B$16:$M$60,'Public Expenditure'!F$1,FALSE),0)</f>
        <v>192948057.70706919</v>
      </c>
      <c r="G70" s="199">
        <f t="shared" si="2"/>
        <v>4.0054816737678109</v>
      </c>
      <c r="H70" s="200">
        <f t="shared" si="3"/>
        <v>107508578.6829308</v>
      </c>
      <c r="I70" s="201" t="s">
        <v>467</v>
      </c>
      <c r="J70" s="198">
        <f>+IF(ISNUMBER(VLOOKUP($B70,'Cental Budget'!$B$16:$K$77,'Public Expenditure'!J$1,FALSE)),VLOOKUP($B70,'Cental Budget'!$B$16:$K$77,'Public Expenditure'!J$1,FALSE),0)+IF(ISNUMBER(VLOOKUP('Public Expenditure'!$B70,'Local Government'!$B$16:$M$60,'Public Expenditure'!J$1,FALSE)),VLOOKUP('Public Expenditure'!$B70,'Local Government'!$B$16:$M$60,'Public Expenditure'!J$1,FALSE),0)</f>
        <v>216833423.13</v>
      </c>
      <c r="K70" s="199">
        <f t="shared" si="1"/>
        <v>4.6500841331760672</v>
      </c>
      <c r="L70" s="200">
        <f t="shared" si="5"/>
        <v>83623213.25999999</v>
      </c>
      <c r="M70" s="201">
        <f t="shared" si="6"/>
        <v>38.565647330976589</v>
      </c>
      <c r="N70" s="162"/>
      <c r="O70" s="162"/>
      <c r="BE70" s="130"/>
      <c r="BF70" s="130"/>
      <c r="BG70" s="116"/>
      <c r="BH70" s="116"/>
      <c r="BI70" s="116"/>
      <c r="BJ70" s="115"/>
    </row>
    <row r="71" spans="2:62" ht="13.5" customHeight="1">
      <c r="B71" s="80">
        <v>7512</v>
      </c>
      <c r="C71" s="97" t="s">
        <v>121</v>
      </c>
      <c r="D71" s="198">
        <f>'Cental Budget'!D73+'Local Government'!D57</f>
        <v>106851179.95</v>
      </c>
      <c r="E71" s="199">
        <f t="shared" si="0"/>
        <v>2.2181640395673745</v>
      </c>
      <c r="F71" s="198">
        <f>+IF(ISNUMBER(VLOOKUP($B71,'Cental Budget'!$B$16:$K$77,'Public Expenditure'!F$1,FALSE)),VLOOKUP($B71,'Cental Budget'!$B$16:$K$77,'Public Expenditure'!F$1,FALSE),0)+IF(ISNUMBER(VLOOKUP('Public Expenditure'!$B71,'Local Government'!$B$16:$M$60,'Public Expenditure'!F$1,FALSE)),VLOOKUP('Public Expenditure'!$B71,'Local Government'!$B$16:$M$60,'Public Expenditure'!F$1,FALSE),0)</f>
        <v>136678601.31365383</v>
      </c>
      <c r="G71" s="199">
        <f t="shared" si="2"/>
        <v>2.8373627558832872</v>
      </c>
      <c r="H71" s="200">
        <f t="shared" si="3"/>
        <v>-29827421.363653824</v>
      </c>
      <c r="I71" s="201">
        <f t="shared" si="4"/>
        <v>-21.823036727750107</v>
      </c>
      <c r="J71" s="198">
        <f>+IF(ISNUMBER(VLOOKUP($B71,'Cental Budget'!$B$16:$K$77,'Public Expenditure'!J$1,FALSE)),VLOOKUP($B71,'Cental Budget'!$B$16:$K$77,'Public Expenditure'!J$1,FALSE),0)+IF(ISNUMBER(VLOOKUP('Public Expenditure'!$B71,'Local Government'!$B$16:$M$60,'Public Expenditure'!J$1,FALSE)),VLOOKUP('Public Expenditure'!$B71,'Local Government'!$B$16:$M$60,'Public Expenditure'!J$1,FALSE),0)</f>
        <v>828958475.1400001</v>
      </c>
      <c r="K71" s="199">
        <f t="shared" si="1"/>
        <v>17.777363824576454</v>
      </c>
      <c r="L71" s="200">
        <f t="shared" si="5"/>
        <v>-722107295.19000006</v>
      </c>
      <c r="M71" s="201">
        <f t="shared" si="6"/>
        <v>-87.110189092167218</v>
      </c>
      <c r="N71" s="162"/>
      <c r="O71" s="162"/>
      <c r="BE71" s="130"/>
      <c r="BF71" s="130"/>
      <c r="BG71" s="116"/>
      <c r="BH71" s="116"/>
      <c r="BI71" s="116"/>
      <c r="BJ71" s="115"/>
    </row>
    <row r="72" spans="2:62" ht="13.5" customHeight="1">
      <c r="B72" s="80">
        <v>72</v>
      </c>
      <c r="C72" s="103" t="s">
        <v>328</v>
      </c>
      <c r="D72" s="198">
        <f>'Cental Budget'!D74+'Local Government'!D58</f>
        <v>9995222.6499999985</v>
      </c>
      <c r="E72" s="215">
        <f t="shared" si="0"/>
        <v>0.2074946056756139</v>
      </c>
      <c r="F72" s="198">
        <f>+IF(ISNUMBER(VLOOKUP($B72,'Cental Budget'!$B$16:$K$77,'Public Expenditure'!F$1,FALSE)),VLOOKUP($B72,'Cental Budget'!$B$16:$K$77,'Public Expenditure'!F$1,FALSE),0)+IF(ISNUMBER(VLOOKUP('Public Expenditure'!$B72,'Local Government'!$B$16:$M$60,'Public Expenditure'!F$1,FALSE)),VLOOKUP('Public Expenditure'!$B72,'Local Government'!$B$16:$M$60,'Public Expenditure'!F$1,FALSE),0)</f>
        <v>6841648.8711803854</v>
      </c>
      <c r="G72" s="215">
        <f t="shared" si="2"/>
        <v>0.14202837539557797</v>
      </c>
      <c r="H72" s="200">
        <f t="shared" si="3"/>
        <v>3153573.7788196132</v>
      </c>
      <c r="I72" s="201">
        <f t="shared" si="4"/>
        <v>46.093768303481056</v>
      </c>
      <c r="J72" s="198">
        <f>+IF(ISNUMBER(VLOOKUP($B72,'Cental Budget'!$B$16:$K$77,'Public Expenditure'!J$1,FALSE)),VLOOKUP($B72,'Cental Budget'!$B$16:$K$77,'Public Expenditure'!J$1,FALSE),0)+IF(ISNUMBER(VLOOKUP('Public Expenditure'!$B72,'Local Government'!$B$16:$M$60,'Public Expenditure'!J$1,FALSE)),VLOOKUP('Public Expenditure'!$B72,'Local Government'!$B$16:$M$60,'Public Expenditure'!J$1,FALSE),0)</f>
        <v>18102807.870000001</v>
      </c>
      <c r="K72" s="215">
        <f t="shared" si="1"/>
        <v>0.38822234334119665</v>
      </c>
      <c r="L72" s="200">
        <f t="shared" si="5"/>
        <v>-8107585.2200000025</v>
      </c>
      <c r="M72" s="201">
        <f t="shared" si="6"/>
        <v>-44.786340761180497</v>
      </c>
      <c r="N72" s="162"/>
      <c r="O72" s="162"/>
      <c r="BE72" s="130"/>
      <c r="BF72" s="130"/>
      <c r="BG72" s="116"/>
      <c r="BH72" s="116"/>
      <c r="BI72" s="116"/>
      <c r="BJ72" s="115"/>
    </row>
    <row r="73" spans="2:62" ht="13.5" customHeight="1" thickBot="1">
      <c r="C73" s="103" t="s">
        <v>463</v>
      </c>
      <c r="D73" s="198">
        <f>+'Local Government'!D60</f>
        <v>5437131.8299999991</v>
      </c>
      <c r="E73" s="215">
        <f t="shared" si="0"/>
        <v>0.11287147516140415</v>
      </c>
      <c r="F73" s="198">
        <f>+'Local Government'!F60</f>
        <v>2341648.8711803849</v>
      </c>
      <c r="G73" s="215">
        <f t="shared" si="2"/>
        <v>4.8611174174926511E-2</v>
      </c>
      <c r="H73" s="200">
        <f t="shared" si="3"/>
        <v>3095482.9588196143</v>
      </c>
      <c r="I73" s="201">
        <f t="shared" si="4"/>
        <v>132.1924476772316</v>
      </c>
      <c r="J73" s="198">
        <f>+'Local Government'!J60</f>
        <v>3987802.36</v>
      </c>
      <c r="K73" s="215">
        <f t="shared" si="1"/>
        <v>8.552010208020587E-2</v>
      </c>
      <c r="L73" s="200">
        <f t="shared" si="5"/>
        <v>1449329.4699999993</v>
      </c>
      <c r="M73" s="201">
        <f t="shared" si="6"/>
        <v>36.344064704350075</v>
      </c>
      <c r="N73" s="162"/>
      <c r="O73" s="162"/>
      <c r="BE73" s="130"/>
      <c r="BF73" s="130"/>
      <c r="BG73" s="116"/>
      <c r="BH73" s="116"/>
      <c r="BI73" s="116"/>
      <c r="BJ73" s="115"/>
    </row>
    <row r="74" spans="2:62" ht="13.5" customHeight="1" thickTop="1" thickBot="1">
      <c r="C74" s="119" t="s">
        <v>124</v>
      </c>
      <c r="D74" s="216">
        <f>-D68-SUM(D70:D73)</f>
        <v>138040399.63109994</v>
      </c>
      <c r="E74" s="208">
        <f t="shared" si="0"/>
        <v>2.865632841981689</v>
      </c>
      <c r="F74" s="216">
        <f>-F68-SUM(F70:F73)</f>
        <v>257597047.36900574</v>
      </c>
      <c r="G74" s="208">
        <f t="shared" si="2"/>
        <v>5.3475544906480197</v>
      </c>
      <c r="H74" s="217">
        <f t="shared" si="3"/>
        <v>-119556647.7379058</v>
      </c>
      <c r="I74" s="210">
        <f t="shared" si="4"/>
        <v>-46.412274115332487</v>
      </c>
      <c r="J74" s="216">
        <f>-J68-SUM(J70:J73)</f>
        <v>-274142792.26399696</v>
      </c>
      <c r="K74" s="208">
        <f t="shared" si="1"/>
        <v>-5.8791077045678097</v>
      </c>
      <c r="L74" s="217">
        <f t="shared" si="5"/>
        <v>412183191.8950969</v>
      </c>
      <c r="M74" s="210" t="s">
        <v>467</v>
      </c>
      <c r="N74" s="162"/>
      <c r="O74" s="168"/>
      <c r="BE74" s="130"/>
      <c r="BF74" s="130"/>
      <c r="BG74" s="116"/>
      <c r="BH74" s="116"/>
      <c r="BI74" s="116"/>
      <c r="BJ74" s="115"/>
    </row>
    <row r="75" spans="2:62" ht="13.5" thickTop="1">
      <c r="C75" s="106" t="str">
        <f>IF(MasterSheet!$A$1=1,MasterSheet!C151,MasterSheet!B151)</f>
        <v>Izvor: Ministarstvo finansija Crne Gore</v>
      </c>
      <c r="D75" s="218"/>
      <c r="E75" s="218"/>
      <c r="F75" s="218"/>
      <c r="G75" s="218"/>
      <c r="H75" s="218"/>
      <c r="I75" s="218"/>
      <c r="J75" s="218"/>
      <c r="K75" s="218"/>
      <c r="L75" s="218"/>
      <c r="M75" s="218" t="s">
        <v>427</v>
      </c>
    </row>
    <row r="77" spans="2:62">
      <c r="D77" s="219"/>
    </row>
    <row r="80" spans="2:62">
      <c r="D80" s="220"/>
      <c r="F80" s="220"/>
      <c r="J80" s="220"/>
    </row>
  </sheetData>
  <sheetProtection formatCells="0" formatColumns="0" formatRows="0" sort="0" autoFilter="0"/>
  <mergeCells count="12">
    <mergeCell ref="H11:I11"/>
    <mergeCell ref="J11:K11"/>
    <mergeCell ref="L11:M11"/>
    <mergeCell ref="D11:G11"/>
    <mergeCell ref="C13:C14"/>
    <mergeCell ref="D13:E13"/>
    <mergeCell ref="F13:G13"/>
    <mergeCell ref="H13:I13"/>
    <mergeCell ref="J13:K13"/>
    <mergeCell ref="L13:M13"/>
    <mergeCell ref="D12:E12"/>
    <mergeCell ref="J12:K12"/>
  </mergeCells>
  <printOptions horizontalCentered="1" verticalCentered="1"/>
  <pageMargins left="0" right="0" top="0.19685039370078741" bottom="0.19685039370078741" header="0" footer="0"/>
  <pageSetup paperSize="9" scale="1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59"/>
  <sheetViews>
    <sheetView workbookViewId="0">
      <selection activeCell="F5" sqref="F5"/>
    </sheetView>
  </sheetViews>
  <sheetFormatPr defaultColWidth="9.140625"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39" t="s">
        <v>434</v>
      </c>
    </row>
    <row r="3" spans="2:7" ht="55.5" thickTop="1" thickBot="1">
      <c r="B3" s="30" t="s">
        <v>393</v>
      </c>
      <c r="C3" s="31" t="s">
        <v>394</v>
      </c>
      <c r="D3" s="32" t="s">
        <v>395</v>
      </c>
      <c r="G3" s="29" t="s">
        <v>396</v>
      </c>
    </row>
    <row r="4" spans="2:7" ht="16.5" thickTop="1" thickBot="1">
      <c r="B4" s="33">
        <v>7</v>
      </c>
      <c r="C4" s="34" t="s">
        <v>397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398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304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305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399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312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400</v>
      </c>
      <c r="D36" s="43" t="e">
        <f>+D37+D38+D41</f>
        <v>#REF!</v>
      </c>
    </row>
    <row r="37" spans="2:4">
      <c r="B37" s="51">
        <v>7200</v>
      </c>
      <c r="C37" s="48" t="s">
        <v>401</v>
      </c>
      <c r="D37" s="46" t="e">
        <f>+#REF!</f>
        <v>#REF!</v>
      </c>
    </row>
    <row r="38" spans="2:4" hidden="1">
      <c r="B38" s="52">
        <v>721</v>
      </c>
      <c r="C38" s="48" t="s">
        <v>402</v>
      </c>
      <c r="D38" s="46"/>
    </row>
    <row r="39" spans="2:4" hidden="1">
      <c r="B39" s="51">
        <v>7211</v>
      </c>
      <c r="C39" s="48" t="s">
        <v>403</v>
      </c>
      <c r="D39" s="46"/>
    </row>
    <row r="40" spans="2:4" hidden="1">
      <c r="B40" s="51">
        <v>7213</v>
      </c>
      <c r="C40" s="48" t="s">
        <v>404</v>
      </c>
      <c r="D40" s="46"/>
    </row>
    <row r="41" spans="2:4" hidden="1">
      <c r="B41" s="52">
        <v>722</v>
      </c>
      <c r="C41" s="48" t="s">
        <v>405</v>
      </c>
      <c r="D41" s="46">
        <v>0</v>
      </c>
    </row>
    <row r="42" spans="2:4" hidden="1">
      <c r="B42" s="44">
        <v>7221</v>
      </c>
      <c r="C42" s="48" t="s">
        <v>406</v>
      </c>
      <c r="D42" s="46"/>
    </row>
    <row r="43" spans="2:4" hidden="1">
      <c r="B43" s="44">
        <v>7222</v>
      </c>
      <c r="C43" s="48" t="s">
        <v>407</v>
      </c>
      <c r="D43" s="46"/>
    </row>
    <row r="44" spans="2:4">
      <c r="B44" s="49">
        <v>73</v>
      </c>
      <c r="C44" s="50" t="s">
        <v>408</v>
      </c>
      <c r="D44" s="43" t="e">
        <f>+D45</f>
        <v>#REF!</v>
      </c>
    </row>
    <row r="45" spans="2:4">
      <c r="B45" s="52">
        <v>731</v>
      </c>
      <c r="C45" s="45" t="s">
        <v>408</v>
      </c>
      <c r="D45" s="46" t="e">
        <f>+#REF!</f>
        <v>#REF!</v>
      </c>
    </row>
    <row r="46" spans="2:4" ht="27" hidden="1">
      <c r="B46" s="51">
        <v>7311</v>
      </c>
      <c r="C46" s="48" t="s">
        <v>409</v>
      </c>
      <c r="D46" s="46"/>
    </row>
    <row r="47" spans="2:4" hidden="1">
      <c r="B47" s="52">
        <v>7312</v>
      </c>
      <c r="C47" s="48" t="s">
        <v>410</v>
      </c>
      <c r="D47" s="46"/>
    </row>
    <row r="48" spans="2:4" hidden="1">
      <c r="B48" s="52">
        <v>7313</v>
      </c>
      <c r="C48" s="48" t="s">
        <v>411</v>
      </c>
      <c r="D48" s="46"/>
    </row>
    <row r="49" spans="2:4" hidden="1">
      <c r="B49" s="52">
        <v>7314</v>
      </c>
      <c r="C49" s="48" t="s">
        <v>412</v>
      </c>
      <c r="D49" s="46"/>
    </row>
    <row r="50" spans="2:4" hidden="1">
      <c r="B50" s="52">
        <v>732</v>
      </c>
      <c r="C50" s="45" t="s">
        <v>413</v>
      </c>
      <c r="D50" s="46"/>
    </row>
    <row r="51" spans="2:4" hidden="1">
      <c r="B51" s="44">
        <v>7321</v>
      </c>
      <c r="C51" s="48" t="s">
        <v>414</v>
      </c>
      <c r="D51" s="46"/>
    </row>
    <row r="52" spans="2:4">
      <c r="B52" s="49">
        <v>74</v>
      </c>
      <c r="C52" s="50" t="s">
        <v>415</v>
      </c>
      <c r="D52" s="43" t="e">
        <f>+D53</f>
        <v>#REF!</v>
      </c>
    </row>
    <row r="53" spans="2:4">
      <c r="B53" s="52">
        <v>741</v>
      </c>
      <c r="C53" s="48" t="s">
        <v>415</v>
      </c>
      <c r="D53" s="46" t="e">
        <f>+#REF!</f>
        <v>#REF!</v>
      </c>
    </row>
    <row r="54" spans="2:4" hidden="1">
      <c r="B54" s="44">
        <v>7411</v>
      </c>
      <c r="C54" s="48" t="s">
        <v>416</v>
      </c>
      <c r="D54" s="46">
        <v>0</v>
      </c>
    </row>
    <row r="55" spans="2:4">
      <c r="B55" s="49">
        <v>75</v>
      </c>
      <c r="C55" s="50" t="s">
        <v>110</v>
      </c>
      <c r="D55" s="43" t="e">
        <f>+D56</f>
        <v>#REF!</v>
      </c>
    </row>
    <row r="56" spans="2:4">
      <c r="B56" s="53">
        <v>751</v>
      </c>
      <c r="C56" s="54" t="s">
        <v>110</v>
      </c>
      <c r="D56" s="55" t="e">
        <f>+D57+D58</f>
        <v>#REF!</v>
      </c>
    </row>
    <row r="57" spans="2:4">
      <c r="B57" s="51">
        <v>7511</v>
      </c>
      <c r="C57" s="48" t="s">
        <v>143</v>
      </c>
      <c r="D57" s="46" t="e">
        <f>+#REF!</f>
        <v>#REF!</v>
      </c>
    </row>
    <row r="58" spans="2:4" ht="15.75" thickBot="1">
      <c r="B58" s="56">
        <v>7512</v>
      </c>
      <c r="C58" s="57" t="s">
        <v>121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:G24"/>
  <sheetViews>
    <sheetView workbookViewId="0">
      <selection activeCell="G24" sqref="G24"/>
    </sheetView>
  </sheetViews>
  <sheetFormatPr defaultColWidth="9.140625"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126</v>
      </c>
      <c r="E3" s="60" t="s">
        <v>395</v>
      </c>
    </row>
    <row r="4" spans="4:7" ht="16.5" thickTop="1" thickBot="1">
      <c r="D4" s="61" t="s">
        <v>417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418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419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125</v>
      </c>
      <c r="E8" s="72" t="e">
        <f>+#REF!</f>
        <v>#REF!</v>
      </c>
      <c r="G8" s="65"/>
    </row>
    <row r="9" spans="4:7" ht="16.5" thickBot="1">
      <c r="D9" s="73" t="s">
        <v>420</v>
      </c>
      <c r="E9" s="74" t="e">
        <f>+#REF!</f>
        <v>#REF!</v>
      </c>
      <c r="G9" s="65"/>
    </row>
    <row r="10" spans="4:7" ht="16.5" thickTop="1" thickBot="1">
      <c r="D10" s="67" t="s">
        <v>421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422</v>
      </c>
      <c r="E11" s="62" t="e">
        <f>+#REF!</f>
        <v>#REF!</v>
      </c>
      <c r="G11" s="65"/>
    </row>
    <row r="12" spans="4:7" ht="16.5" thickTop="1" thickBot="1">
      <c r="D12" s="67" t="s">
        <v>423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157</v>
      </c>
      <c r="E13" s="72" t="e">
        <f>+#REF!</f>
        <v>#REF!</v>
      </c>
      <c r="G13" s="65"/>
    </row>
    <row r="14" spans="4:7" ht="16.5" thickTop="1" thickBot="1">
      <c r="D14" s="77" t="s">
        <v>158</v>
      </c>
      <c r="E14" s="72" t="e">
        <f>+#REF!</f>
        <v>#REF!</v>
      </c>
      <c r="G14" s="65"/>
    </row>
    <row r="15" spans="4:7" ht="16.5" thickTop="1" thickBot="1">
      <c r="D15" s="78" t="s">
        <v>159</v>
      </c>
      <c r="E15" s="72" t="e">
        <f>+#REF!</f>
        <v>#REF!</v>
      </c>
      <c r="G15" s="65"/>
    </row>
    <row r="16" spans="4:7" ht="15.75" hidden="1" thickBot="1">
      <c r="D16" s="68" t="s">
        <v>112</v>
      </c>
      <c r="E16" s="64">
        <v>0</v>
      </c>
      <c r="G16" s="65"/>
    </row>
    <row r="17" spans="4:7" ht="16.5" thickTop="1" thickBot="1">
      <c r="D17" s="67" t="s">
        <v>424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425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143</v>
      </c>
      <c r="E19" s="72" t="e">
        <f>+#REF!</f>
        <v>#REF!</v>
      </c>
      <c r="G19" s="65"/>
    </row>
    <row r="20" spans="4:7" ht="16.5" thickTop="1" thickBot="1">
      <c r="D20" s="77" t="s">
        <v>121</v>
      </c>
      <c r="E20" s="72" t="e">
        <f>+#REF!</f>
        <v>#REF!</v>
      </c>
      <c r="G20" s="65"/>
    </row>
    <row r="21" spans="4:7" ht="16.5" thickTop="1" thickBot="1">
      <c r="D21" s="77" t="s">
        <v>122</v>
      </c>
      <c r="E21" s="72" t="e">
        <f>+#REF!</f>
        <v>#REF!</v>
      </c>
      <c r="G21" s="65"/>
    </row>
    <row r="22" spans="4:7" ht="15.75" thickTop="1">
      <c r="D22" s="77" t="s">
        <v>123</v>
      </c>
      <c r="E22" s="72" t="e">
        <f>+#REF!</f>
        <v>#REF!</v>
      </c>
      <c r="G22" s="65"/>
    </row>
    <row r="23" spans="4:7" ht="15.75" thickBot="1">
      <c r="D23" s="78" t="s">
        <v>160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A373" workbookViewId="0">
      <selection activeCell="C278" sqref="C278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250</v>
      </c>
    </row>
    <row r="3" spans="1:3">
      <c r="B3" s="350" t="s">
        <v>195</v>
      </c>
      <c r="C3" s="350"/>
    </row>
    <row r="5" spans="1:3" ht="15" customHeight="1">
      <c r="B5" s="11" t="s">
        <v>198</v>
      </c>
      <c r="C5" s="11" t="s">
        <v>196</v>
      </c>
    </row>
    <row r="6" spans="1:3">
      <c r="B6" s="11" t="s">
        <v>199</v>
      </c>
      <c r="C6" s="11" t="s">
        <v>197</v>
      </c>
    </row>
    <row r="8" spans="1:3">
      <c r="B8" s="11" t="s">
        <v>207</v>
      </c>
      <c r="C8" s="11" t="s">
        <v>364</v>
      </c>
    </row>
    <row r="9" spans="1:3">
      <c r="B9" s="11" t="s">
        <v>205</v>
      </c>
      <c r="C9" s="11" t="s">
        <v>206</v>
      </c>
    </row>
    <row r="10" spans="1:3">
      <c r="B10" s="11" t="s">
        <v>212</v>
      </c>
      <c r="C10" s="11" t="s">
        <v>214</v>
      </c>
    </row>
    <row r="11" spans="1:3">
      <c r="B11" s="11" t="s">
        <v>213</v>
      </c>
      <c r="C11" s="11" t="s">
        <v>211</v>
      </c>
    </row>
    <row r="12" spans="1:3">
      <c r="B12" s="11" t="s">
        <v>215</v>
      </c>
      <c r="C12" s="11" t="s">
        <v>216</v>
      </c>
    </row>
    <row r="13" spans="1:3">
      <c r="B13" s="11" t="s">
        <v>210</v>
      </c>
      <c r="C13" s="11" t="s">
        <v>365</v>
      </c>
    </row>
    <row r="14" spans="1:3">
      <c r="B14" s="11" t="s">
        <v>366</v>
      </c>
      <c r="C14" s="11" t="s">
        <v>367</v>
      </c>
    </row>
    <row r="15" spans="1:3">
      <c r="B15" s="11" t="s">
        <v>208</v>
      </c>
      <c r="C15" s="11" t="s">
        <v>209</v>
      </c>
    </row>
    <row r="16" spans="1:3">
      <c r="B16" s="11" t="s">
        <v>200</v>
      </c>
      <c r="C16" s="11" t="s">
        <v>201</v>
      </c>
    </row>
    <row r="17" spans="2:3" ht="15" customHeight="1">
      <c r="B17" s="11" t="s">
        <v>202</v>
      </c>
      <c r="C17" s="11" t="s">
        <v>289</v>
      </c>
    </row>
    <row r="18" spans="2:3">
      <c r="B18" s="11" t="s">
        <v>368</v>
      </c>
      <c r="C18" s="11" t="s">
        <v>369</v>
      </c>
    </row>
    <row r="19" spans="2:3">
      <c r="B19" s="11" t="s">
        <v>290</v>
      </c>
      <c r="C19" s="11" t="s">
        <v>291</v>
      </c>
    </row>
    <row r="21" spans="2:3">
      <c r="B21" s="11" t="s">
        <v>220</v>
      </c>
      <c r="C21" s="11" t="s">
        <v>221</v>
      </c>
    </row>
    <row r="22" spans="2:3">
      <c r="B22" s="11" t="s">
        <v>203</v>
      </c>
      <c r="C22" s="11" t="s">
        <v>204</v>
      </c>
    </row>
    <row r="24" spans="2:3">
      <c r="B24" s="11" t="s">
        <v>330</v>
      </c>
    </row>
    <row r="25" spans="2:3">
      <c r="B25" s="11" t="s">
        <v>219</v>
      </c>
    </row>
    <row r="27" spans="2:3">
      <c r="B27" s="12" t="s">
        <v>171</v>
      </c>
    </row>
    <row r="28" spans="2:3">
      <c r="B28" s="12" t="s">
        <v>170</v>
      </c>
    </row>
    <row r="30" spans="2:3">
      <c r="B30" s="11" t="s">
        <v>217</v>
      </c>
    </row>
    <row r="31" spans="2:3">
      <c r="B31" s="11" t="s">
        <v>218</v>
      </c>
    </row>
    <row r="37" spans="2:20">
      <c r="B37" s="350" t="s">
        <v>243</v>
      </c>
      <c r="C37" s="350"/>
      <c r="D37" s="350"/>
      <c r="E37" s="350"/>
      <c r="F37" s="350"/>
      <c r="G37" s="350"/>
      <c r="H37" s="350"/>
      <c r="I37" s="350"/>
      <c r="J37" s="350"/>
      <c r="K37" s="350"/>
      <c r="L37" s="350"/>
      <c r="M37" s="350"/>
      <c r="N37" s="350"/>
      <c r="O37" s="350"/>
      <c r="P37" s="350"/>
      <c r="Q37" s="350"/>
      <c r="R37" s="350"/>
      <c r="S37" s="350"/>
      <c r="T37" s="350"/>
    </row>
    <row r="40" spans="2:20" ht="12.75" customHeight="1">
      <c r="B40" s="353" t="s">
        <v>238</v>
      </c>
      <c r="C40" s="353"/>
      <c r="D40" s="354" t="s">
        <v>244</v>
      </c>
      <c r="E40" s="354"/>
      <c r="F40" s="353" t="s">
        <v>239</v>
      </c>
      <c r="G40" s="353"/>
      <c r="H40" s="353"/>
      <c r="I40" s="2" t="s">
        <v>240</v>
      </c>
      <c r="J40" s="353" t="s">
        <v>241</v>
      </c>
      <c r="K40" s="353"/>
      <c r="L40" s="353"/>
      <c r="M40" s="353" t="s">
        <v>242</v>
      </c>
      <c r="N40" s="353"/>
      <c r="O40" s="353"/>
      <c r="P40" s="353"/>
    </row>
    <row r="41" spans="2:20">
      <c r="B41" s="353"/>
      <c r="C41" s="353"/>
      <c r="D41" s="354"/>
      <c r="E41" s="354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351" t="s">
        <v>222</v>
      </c>
      <c r="C42" s="15" t="s">
        <v>223</v>
      </c>
      <c r="D42" s="355" t="s">
        <v>180</v>
      </c>
      <c r="E42" s="16" t="s">
        <v>181</v>
      </c>
      <c r="F42" s="355" t="s">
        <v>246</v>
      </c>
      <c r="G42" s="355"/>
      <c r="H42" s="355"/>
      <c r="I42" s="17" t="s">
        <v>247</v>
      </c>
      <c r="J42" s="356" t="s">
        <v>248</v>
      </c>
      <c r="K42" s="356"/>
      <c r="L42" s="356"/>
      <c r="M42" s="355" t="s">
        <v>249</v>
      </c>
      <c r="N42" s="355"/>
      <c r="O42" s="355"/>
      <c r="P42" s="355"/>
    </row>
    <row r="43" spans="2:20">
      <c r="B43" s="351"/>
      <c r="C43" s="18" t="s">
        <v>224</v>
      </c>
      <c r="D43" s="355"/>
      <c r="E43" s="16" t="s">
        <v>182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351"/>
      <c r="C44" s="15" t="s">
        <v>225</v>
      </c>
      <c r="D44" s="355"/>
      <c r="E44" s="16" t="s">
        <v>183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351"/>
      <c r="C45" s="15" t="s">
        <v>226</v>
      </c>
      <c r="D45" s="355"/>
      <c r="E45" s="17" t="s">
        <v>184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351"/>
      <c r="C46" s="15" t="s">
        <v>227</v>
      </c>
      <c r="D46" s="355"/>
      <c r="E46" s="17" t="s">
        <v>185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351"/>
      <c r="C47" s="15" t="s">
        <v>228</v>
      </c>
      <c r="D47" s="355"/>
      <c r="E47" s="16" t="s">
        <v>186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351"/>
      <c r="C48" s="15" t="s">
        <v>229</v>
      </c>
      <c r="D48" s="355"/>
      <c r="E48" s="17" t="s">
        <v>187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351"/>
      <c r="C49" s="19" t="s">
        <v>230</v>
      </c>
      <c r="D49" s="355"/>
      <c r="E49" s="16" t="s">
        <v>245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351"/>
      <c r="C50" s="15" t="s">
        <v>231</v>
      </c>
      <c r="D50" s="355"/>
      <c r="E50" s="17" t="s">
        <v>188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351"/>
      <c r="C51" s="15" t="s">
        <v>378</v>
      </c>
      <c r="D51" s="355"/>
      <c r="E51" s="17" t="s">
        <v>379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352" t="s">
        <v>232</v>
      </c>
      <c r="C52" s="20" t="s">
        <v>233</v>
      </c>
      <c r="D52" s="355" t="s">
        <v>189</v>
      </c>
      <c r="E52" s="17" t="s">
        <v>190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352"/>
      <c r="C53" s="20" t="s">
        <v>234</v>
      </c>
      <c r="D53" s="355"/>
      <c r="E53" s="17" t="s">
        <v>191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352"/>
      <c r="C54" s="20" t="s">
        <v>235</v>
      </c>
      <c r="D54" s="355"/>
      <c r="E54" s="17" t="s">
        <v>373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352"/>
      <c r="C55" s="20" t="s">
        <v>374</v>
      </c>
      <c r="D55" s="355"/>
      <c r="E55" s="20" t="s">
        <v>376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352"/>
      <c r="C56" s="20" t="s">
        <v>79</v>
      </c>
      <c r="D56" s="355"/>
      <c r="E56" s="17" t="s">
        <v>192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352"/>
      <c r="C57" s="20" t="s">
        <v>236</v>
      </c>
      <c r="D57" s="355"/>
      <c r="E57" s="17" t="s">
        <v>193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352"/>
      <c r="C58" s="20" t="s">
        <v>375</v>
      </c>
      <c r="D58" s="355"/>
      <c r="E58" s="17" t="s">
        <v>377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352"/>
      <c r="C59" s="20" t="s">
        <v>237</v>
      </c>
      <c r="D59" s="355"/>
      <c r="E59" s="17" t="s">
        <v>194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332</v>
      </c>
      <c r="D60" s="11" t="s">
        <v>331</v>
      </c>
    </row>
    <row r="62" spans="2:20">
      <c r="B62" s="350" t="s">
        <v>251</v>
      </c>
      <c r="C62" s="350"/>
      <c r="D62" s="350"/>
      <c r="E62" s="350"/>
      <c r="F62" s="350"/>
      <c r="G62" s="350"/>
      <c r="H62" s="350"/>
      <c r="I62" s="350"/>
      <c r="J62" s="350"/>
      <c r="K62" s="350"/>
      <c r="L62" s="350"/>
      <c r="M62" s="350"/>
      <c r="N62" s="350"/>
      <c r="O62" s="350"/>
      <c r="P62" s="350"/>
      <c r="Q62" s="350"/>
      <c r="R62" s="350"/>
      <c r="S62" s="350"/>
      <c r="T62" s="350"/>
    </row>
    <row r="66" spans="2:22">
      <c r="B66" s="11" t="s">
        <v>370</v>
      </c>
    </row>
    <row r="67" spans="2:22">
      <c r="B67" s="11" t="s">
        <v>371</v>
      </c>
      <c r="M67" s="11" t="s">
        <v>337</v>
      </c>
      <c r="O67" s="11" t="s">
        <v>380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336</v>
      </c>
      <c r="N68" s="22"/>
      <c r="O68" s="23" t="s">
        <v>381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126</v>
      </c>
      <c r="C70" s="6" t="s">
        <v>262</v>
      </c>
      <c r="D70" s="6" t="s">
        <v>149</v>
      </c>
      <c r="E70" s="6" t="s">
        <v>262</v>
      </c>
      <c r="F70" s="6" t="s">
        <v>149</v>
      </c>
      <c r="G70" s="6" t="s">
        <v>262</v>
      </c>
      <c r="H70" s="6" t="s">
        <v>149</v>
      </c>
      <c r="I70" s="6" t="s">
        <v>262</v>
      </c>
      <c r="J70" s="6" t="s">
        <v>149</v>
      </c>
      <c r="K70" s="6" t="s">
        <v>262</v>
      </c>
      <c r="L70" s="6" t="s">
        <v>149</v>
      </c>
      <c r="M70" s="6" t="s">
        <v>262</v>
      </c>
      <c r="N70" s="6" t="s">
        <v>149</v>
      </c>
      <c r="O70" s="6" t="s">
        <v>262</v>
      </c>
      <c r="P70" s="6" t="s">
        <v>149</v>
      </c>
      <c r="Q70" s="6" t="s">
        <v>262</v>
      </c>
      <c r="R70" s="6" t="s">
        <v>149</v>
      </c>
      <c r="S70" s="6" t="s">
        <v>262</v>
      </c>
      <c r="T70" s="6" t="s">
        <v>149</v>
      </c>
      <c r="U70" s="6" t="s">
        <v>262</v>
      </c>
      <c r="V70" s="3" t="s">
        <v>149</v>
      </c>
    </row>
    <row r="71" spans="2:22">
      <c r="B71" s="5" t="s">
        <v>252</v>
      </c>
      <c r="C71" s="6" t="s">
        <v>262</v>
      </c>
      <c r="D71" s="6" t="s">
        <v>165</v>
      </c>
      <c r="E71" s="6" t="s">
        <v>262</v>
      </c>
      <c r="F71" s="6" t="s">
        <v>165</v>
      </c>
      <c r="G71" s="6" t="s">
        <v>262</v>
      </c>
      <c r="H71" s="6" t="s">
        <v>165</v>
      </c>
      <c r="I71" s="6" t="s">
        <v>262</v>
      </c>
      <c r="J71" s="6" t="s">
        <v>165</v>
      </c>
      <c r="K71" s="6" t="s">
        <v>262</v>
      </c>
      <c r="L71" s="6" t="s">
        <v>165</v>
      </c>
      <c r="M71" s="6" t="s">
        <v>262</v>
      </c>
      <c r="N71" s="6" t="s">
        <v>165</v>
      </c>
      <c r="O71" s="6" t="s">
        <v>262</v>
      </c>
      <c r="P71" s="6" t="s">
        <v>165</v>
      </c>
      <c r="Q71" s="6" t="s">
        <v>262</v>
      </c>
      <c r="R71" s="6" t="s">
        <v>165</v>
      </c>
      <c r="S71" s="6" t="s">
        <v>262</v>
      </c>
      <c r="T71" s="6" t="s">
        <v>165</v>
      </c>
      <c r="U71" s="6" t="s">
        <v>262</v>
      </c>
      <c r="V71" s="3" t="s">
        <v>165</v>
      </c>
    </row>
    <row r="72" spans="2:22">
      <c r="B72" s="7" t="s">
        <v>127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166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68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253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174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167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168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408</v>
      </c>
      <c r="C103" s="12" t="s">
        <v>461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61</v>
      </c>
      <c r="C104" s="12" t="s">
        <v>339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125</v>
      </c>
      <c r="C105" s="12" t="s">
        <v>169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62</v>
      </c>
      <c r="C106" s="12" t="s">
        <v>340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63</v>
      </c>
      <c r="C107" s="12" t="s">
        <v>64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65</v>
      </c>
      <c r="C108" s="12" t="s">
        <v>66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67</v>
      </c>
      <c r="C109" s="12" t="s">
        <v>68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69</v>
      </c>
      <c r="C110" s="12" t="s">
        <v>70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71</v>
      </c>
      <c r="C111" s="12" t="s">
        <v>72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128</v>
      </c>
      <c r="C112" s="12" t="s">
        <v>178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74</v>
      </c>
      <c r="C113" s="12" t="s">
        <v>75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76</v>
      </c>
      <c r="C114" s="12" t="s">
        <v>77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78</v>
      </c>
      <c r="C115" s="12" t="s">
        <v>150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79</v>
      </c>
      <c r="C116" s="12" t="s">
        <v>80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81</v>
      </c>
      <c r="C117" s="12" t="s">
        <v>82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83</v>
      </c>
      <c r="C118" s="12" t="s">
        <v>84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85</v>
      </c>
      <c r="C119" s="12" t="s">
        <v>341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129</v>
      </c>
      <c r="C120" s="12" t="s">
        <v>179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86</v>
      </c>
      <c r="C121" s="12" t="s">
        <v>87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88</v>
      </c>
      <c r="C122" s="12" t="s">
        <v>89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90</v>
      </c>
      <c r="C123" s="12" t="s">
        <v>91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92</v>
      </c>
      <c r="C124" s="12" t="s">
        <v>93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94</v>
      </c>
      <c r="C125" s="12" t="s">
        <v>95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96</v>
      </c>
      <c r="C126" s="12" t="s">
        <v>97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99</v>
      </c>
      <c r="C127" s="12" t="s">
        <v>100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101</v>
      </c>
      <c r="C128" s="12" t="s">
        <v>102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103</v>
      </c>
      <c r="C129" s="12" t="s">
        <v>104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105</v>
      </c>
      <c r="C130" s="12" t="s">
        <v>106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107</v>
      </c>
      <c r="C131" s="12" t="s">
        <v>172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108</v>
      </c>
      <c r="C132" s="12" t="s">
        <v>173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130</v>
      </c>
      <c r="C133" s="12" t="s">
        <v>175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110</v>
      </c>
      <c r="C134" s="12" t="s">
        <v>111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117</v>
      </c>
      <c r="C135" s="12" t="s">
        <v>118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151</v>
      </c>
      <c r="C136" s="12" t="s">
        <v>176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131</v>
      </c>
      <c r="C137" s="12" t="s">
        <v>119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132</v>
      </c>
      <c r="C138" s="12" t="s">
        <v>177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133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134</v>
      </c>
      <c r="C140" s="12" t="s">
        <v>135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136</v>
      </c>
      <c r="C141" s="12" t="s">
        <v>137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115</v>
      </c>
      <c r="C142" s="12" t="s">
        <v>138</v>
      </c>
    </row>
    <row r="143" spans="2:20">
      <c r="B143" s="9" t="s">
        <v>112</v>
      </c>
      <c r="C143" s="12" t="s">
        <v>139</v>
      </c>
    </row>
    <row r="144" spans="2:20">
      <c r="B144" s="9" t="s">
        <v>140</v>
      </c>
      <c r="C144" s="12" t="s">
        <v>141</v>
      </c>
    </row>
    <row r="145" spans="2:22">
      <c r="B145" s="9" t="s">
        <v>120</v>
      </c>
      <c r="C145" s="12" t="s">
        <v>142</v>
      </c>
    </row>
    <row r="146" spans="2:22">
      <c r="B146" s="9" t="s">
        <v>143</v>
      </c>
      <c r="C146" s="12" t="s">
        <v>144</v>
      </c>
    </row>
    <row r="147" spans="2:22">
      <c r="B147" s="9" t="s">
        <v>121</v>
      </c>
      <c r="C147" s="12" t="s">
        <v>145</v>
      </c>
    </row>
    <row r="148" spans="2:22">
      <c r="B148" s="9" t="s">
        <v>122</v>
      </c>
      <c r="C148" s="12" t="s">
        <v>146</v>
      </c>
    </row>
    <row r="149" spans="2:22">
      <c r="B149" s="9" t="s">
        <v>328</v>
      </c>
      <c r="C149" s="12" t="s">
        <v>147</v>
      </c>
    </row>
    <row r="150" spans="2:22">
      <c r="B150" s="9" t="s">
        <v>124</v>
      </c>
      <c r="C150" s="12" t="s">
        <v>148</v>
      </c>
    </row>
    <row r="151" spans="2:22">
      <c r="B151" s="11" t="s">
        <v>265</v>
      </c>
      <c r="C151" s="11" t="s">
        <v>266</v>
      </c>
    </row>
    <row r="154" spans="2:22">
      <c r="B154" s="350" t="s">
        <v>255</v>
      </c>
      <c r="C154" s="350"/>
      <c r="D154" s="350"/>
      <c r="E154" s="350"/>
      <c r="F154" s="350"/>
      <c r="G154" s="350"/>
      <c r="H154" s="350"/>
      <c r="I154" s="350"/>
      <c r="J154" s="350"/>
      <c r="K154" s="350"/>
      <c r="L154" s="350"/>
      <c r="M154" s="350"/>
      <c r="N154" s="350"/>
      <c r="O154" s="350"/>
      <c r="P154" s="350"/>
      <c r="Q154" s="350"/>
      <c r="R154" s="350"/>
      <c r="S154" s="350"/>
      <c r="T154" s="350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258</v>
      </c>
      <c r="C159" s="11" t="s">
        <v>262</v>
      </c>
      <c r="D159" s="11" t="s">
        <v>152</v>
      </c>
      <c r="E159" s="11" t="s">
        <v>262</v>
      </c>
      <c r="F159" s="11" t="s">
        <v>152</v>
      </c>
      <c r="G159" s="11" t="s">
        <v>262</v>
      </c>
      <c r="H159" s="11" t="s">
        <v>152</v>
      </c>
      <c r="I159" s="11" t="s">
        <v>262</v>
      </c>
      <c r="J159" s="11" t="s">
        <v>152</v>
      </c>
      <c r="K159" s="11" t="s">
        <v>262</v>
      </c>
      <c r="L159" s="11" t="s">
        <v>152</v>
      </c>
      <c r="M159" s="11" t="s">
        <v>262</v>
      </c>
      <c r="N159" s="11" t="s">
        <v>152</v>
      </c>
      <c r="O159" s="11" t="s">
        <v>262</v>
      </c>
      <c r="P159" s="11" t="s">
        <v>152</v>
      </c>
      <c r="Q159" s="11" t="s">
        <v>262</v>
      </c>
      <c r="R159" s="11" t="s">
        <v>152</v>
      </c>
      <c r="S159" s="11" t="s">
        <v>262</v>
      </c>
      <c r="T159" s="11" t="s">
        <v>152</v>
      </c>
      <c r="U159" s="11" t="s">
        <v>262</v>
      </c>
      <c r="V159" s="1" t="s">
        <v>152</v>
      </c>
    </row>
    <row r="160" spans="2:22">
      <c r="B160" s="11" t="s">
        <v>257</v>
      </c>
      <c r="C160" s="11" t="s">
        <v>262</v>
      </c>
      <c r="D160" s="11" t="s">
        <v>256</v>
      </c>
      <c r="E160" s="11" t="s">
        <v>262</v>
      </c>
      <c r="F160" s="11" t="s">
        <v>256</v>
      </c>
      <c r="G160" s="11" t="s">
        <v>262</v>
      </c>
      <c r="H160" s="11" t="s">
        <v>256</v>
      </c>
      <c r="I160" s="11" t="s">
        <v>262</v>
      </c>
      <c r="J160" s="11" t="s">
        <v>256</v>
      </c>
      <c r="K160" s="11" t="s">
        <v>262</v>
      </c>
      <c r="L160" s="11" t="s">
        <v>256</v>
      </c>
      <c r="M160" s="11" t="s">
        <v>262</v>
      </c>
      <c r="N160" s="11" t="s">
        <v>256</v>
      </c>
      <c r="O160" s="11" t="s">
        <v>262</v>
      </c>
      <c r="P160" s="11" t="s">
        <v>256</v>
      </c>
      <c r="Q160" s="11" t="s">
        <v>262</v>
      </c>
      <c r="R160" s="11" t="s">
        <v>256</v>
      </c>
      <c r="S160" s="11" t="s">
        <v>262</v>
      </c>
      <c r="T160" s="11" t="s">
        <v>256</v>
      </c>
      <c r="U160" s="11" t="s">
        <v>262</v>
      </c>
      <c r="V160" s="1" t="s">
        <v>256</v>
      </c>
    </row>
    <row r="161" spans="2:3">
      <c r="B161" s="11" t="s">
        <v>260</v>
      </c>
      <c r="C161" s="11" t="s">
        <v>259</v>
      </c>
    </row>
    <row r="162" spans="2:3">
      <c r="B162" s="11" t="s">
        <v>127</v>
      </c>
      <c r="C162" s="11" t="s">
        <v>1</v>
      </c>
    </row>
    <row r="163" spans="2:3">
      <c r="B163" s="11" t="s">
        <v>2</v>
      </c>
      <c r="C163" s="11" t="s">
        <v>166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263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174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267</v>
      </c>
    </row>
    <row r="181" spans="2:3">
      <c r="B181" s="11" t="s">
        <v>36</v>
      </c>
      <c r="C181" s="11" t="s">
        <v>272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167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161</v>
      </c>
      <c r="C186" s="11" t="s">
        <v>277</v>
      </c>
    </row>
    <row r="187" spans="2:3">
      <c r="B187" s="11" t="s">
        <v>44</v>
      </c>
      <c r="C187" s="11" t="s">
        <v>276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268</v>
      </c>
    </row>
    <row r="191" spans="2:3">
      <c r="B191" s="11" t="s">
        <v>50</v>
      </c>
      <c r="C191" s="11" t="s">
        <v>168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462</v>
      </c>
      <c r="C198" s="11" t="s">
        <v>460</v>
      </c>
    </row>
    <row r="199" spans="2:3">
      <c r="B199" s="11" t="s">
        <v>122</v>
      </c>
      <c r="C199" s="11" t="s">
        <v>146</v>
      </c>
    </row>
    <row r="200" spans="2:3">
      <c r="B200" s="11" t="s">
        <v>61</v>
      </c>
      <c r="C200" s="11" t="s">
        <v>339</v>
      </c>
    </row>
    <row r="201" spans="2:3">
      <c r="B201" s="11" t="s">
        <v>261</v>
      </c>
      <c r="C201" s="11" t="s">
        <v>269</v>
      </c>
    </row>
    <row r="202" spans="2:3">
      <c r="B202" s="11" t="s">
        <v>62</v>
      </c>
      <c r="C202" s="11" t="s">
        <v>340</v>
      </c>
    </row>
    <row r="203" spans="2:3">
      <c r="B203" s="11" t="s">
        <v>63</v>
      </c>
      <c r="C203" s="11" t="s">
        <v>64</v>
      </c>
    </row>
    <row r="204" spans="2:3">
      <c r="B204" s="11" t="s">
        <v>65</v>
      </c>
      <c r="C204" s="11" t="s">
        <v>66</v>
      </c>
    </row>
    <row r="205" spans="2:3">
      <c r="B205" s="11" t="s">
        <v>67</v>
      </c>
      <c r="C205" s="11" t="s">
        <v>68</v>
      </c>
    </row>
    <row r="206" spans="2:3">
      <c r="B206" s="11" t="s">
        <v>69</v>
      </c>
      <c r="C206" s="11" t="s">
        <v>70</v>
      </c>
    </row>
    <row r="207" spans="2:3">
      <c r="B207" s="11" t="s">
        <v>71</v>
      </c>
      <c r="C207" s="11" t="s">
        <v>72</v>
      </c>
    </row>
    <row r="208" spans="2:3">
      <c r="B208" s="11" t="s">
        <v>73</v>
      </c>
      <c r="C208" s="11" t="s">
        <v>270</v>
      </c>
    </row>
    <row r="209" spans="2:3">
      <c r="B209" s="11" t="s">
        <v>74</v>
      </c>
      <c r="C209" s="11" t="s">
        <v>75</v>
      </c>
    </row>
    <row r="210" spans="2:3">
      <c r="B210" s="11" t="s">
        <v>76</v>
      </c>
      <c r="C210" s="11" t="s">
        <v>77</v>
      </c>
    </row>
    <row r="211" spans="2:3">
      <c r="B211" s="11" t="s">
        <v>78</v>
      </c>
      <c r="C211" s="11" t="s">
        <v>271</v>
      </c>
    </row>
    <row r="212" spans="2:3">
      <c r="B212" s="11" t="s">
        <v>79</v>
      </c>
      <c r="C212" s="11" t="s">
        <v>80</v>
      </c>
    </row>
    <row r="213" spans="2:3">
      <c r="B213" s="11" t="s">
        <v>81</v>
      </c>
      <c r="C213" s="11" t="s">
        <v>82</v>
      </c>
    </row>
    <row r="214" spans="2:3">
      <c r="B214" s="11" t="s">
        <v>83</v>
      </c>
      <c r="C214" s="11" t="s">
        <v>84</v>
      </c>
    </row>
    <row r="215" spans="2:3">
      <c r="B215" s="11" t="s">
        <v>85</v>
      </c>
      <c r="C215" s="11" t="s">
        <v>341</v>
      </c>
    </row>
    <row r="216" spans="2:3">
      <c r="B216" s="11" t="s">
        <v>86</v>
      </c>
      <c r="C216" s="11" t="s">
        <v>87</v>
      </c>
    </row>
    <row r="217" spans="2:3">
      <c r="B217" s="11" t="s">
        <v>88</v>
      </c>
      <c r="C217" s="11" t="s">
        <v>89</v>
      </c>
    </row>
    <row r="218" spans="2:3">
      <c r="B218" s="11" t="s">
        <v>90</v>
      </c>
      <c r="C218" s="11" t="s">
        <v>91</v>
      </c>
    </row>
    <row r="219" spans="2:3">
      <c r="B219" s="11" t="s">
        <v>92</v>
      </c>
      <c r="C219" s="11" t="s">
        <v>93</v>
      </c>
    </row>
    <row r="220" spans="2:3">
      <c r="B220" s="11" t="s">
        <v>94</v>
      </c>
      <c r="C220" s="11" t="s">
        <v>95</v>
      </c>
    </row>
    <row r="221" spans="2:3">
      <c r="B221" s="11" t="s">
        <v>96</v>
      </c>
      <c r="C221" s="11" t="s">
        <v>97</v>
      </c>
    </row>
    <row r="222" spans="2:3">
      <c r="B222" s="11" t="s">
        <v>98</v>
      </c>
      <c r="C222" s="11" t="s">
        <v>100</v>
      </c>
    </row>
    <row r="223" spans="2:3">
      <c r="B223" s="11" t="s">
        <v>101</v>
      </c>
      <c r="C223" s="11" t="s">
        <v>102</v>
      </c>
    </row>
    <row r="224" spans="2:3">
      <c r="B224" s="11" t="s">
        <v>103</v>
      </c>
      <c r="C224" s="11" t="s">
        <v>104</v>
      </c>
    </row>
    <row r="225" spans="2:3">
      <c r="B225" s="11" t="s">
        <v>105</v>
      </c>
      <c r="C225" s="11" t="s">
        <v>106</v>
      </c>
    </row>
    <row r="226" spans="2:3">
      <c r="B226" s="11" t="s">
        <v>107</v>
      </c>
      <c r="C226" s="12" t="s">
        <v>172</v>
      </c>
    </row>
    <row r="227" spans="2:3">
      <c r="B227" s="11" t="s">
        <v>108</v>
      </c>
      <c r="C227" s="12" t="s">
        <v>173</v>
      </c>
    </row>
    <row r="228" spans="2:3">
      <c r="B228" s="11" t="s">
        <v>162</v>
      </c>
      <c r="C228" s="11" t="s">
        <v>342</v>
      </c>
    </row>
    <row r="229" spans="2:3">
      <c r="B229" s="11" t="s">
        <v>109</v>
      </c>
      <c r="C229" s="12" t="s">
        <v>175</v>
      </c>
    </row>
    <row r="230" spans="2:3">
      <c r="B230" s="11" t="s">
        <v>110</v>
      </c>
      <c r="C230" s="11" t="s">
        <v>111</v>
      </c>
    </row>
    <row r="231" spans="2:3">
      <c r="B231" s="11" t="s">
        <v>112</v>
      </c>
      <c r="C231" s="11" t="s">
        <v>113</v>
      </c>
    </row>
    <row r="232" spans="2:3">
      <c r="B232" s="11" t="s">
        <v>114</v>
      </c>
      <c r="C232" s="11" t="s">
        <v>116</v>
      </c>
    </row>
    <row r="233" spans="2:3">
      <c r="B233" s="11" t="s">
        <v>117</v>
      </c>
      <c r="C233" s="11" t="s">
        <v>118</v>
      </c>
    </row>
    <row r="234" spans="2:3">
      <c r="B234" s="11" t="s">
        <v>151</v>
      </c>
      <c r="C234" s="12" t="s">
        <v>176</v>
      </c>
    </row>
    <row r="235" spans="2:3">
      <c r="B235" s="11" t="s">
        <v>264</v>
      </c>
      <c r="C235" s="11" t="s">
        <v>286</v>
      </c>
    </row>
    <row r="236" spans="2:3">
      <c r="B236" s="11" t="s">
        <v>132</v>
      </c>
      <c r="C236" s="12" t="s">
        <v>177</v>
      </c>
    </row>
    <row r="237" spans="2:3">
      <c r="B237" s="11" t="s">
        <v>0</v>
      </c>
      <c r="C237" s="12" t="s">
        <v>133</v>
      </c>
    </row>
    <row r="238" spans="2:3">
      <c r="B238" s="11" t="s">
        <v>157</v>
      </c>
      <c r="C238" s="12" t="s">
        <v>135</v>
      </c>
    </row>
    <row r="239" spans="2:3">
      <c r="B239" s="11" t="s">
        <v>158</v>
      </c>
      <c r="C239" s="12" t="s">
        <v>137</v>
      </c>
    </row>
    <row r="240" spans="2:3">
      <c r="B240" s="11" t="s">
        <v>159</v>
      </c>
      <c r="C240" s="12" t="s">
        <v>138</v>
      </c>
    </row>
    <row r="241" spans="2:21">
      <c r="B241" s="11" t="s">
        <v>112</v>
      </c>
      <c r="C241" s="12" t="s">
        <v>139</v>
      </c>
    </row>
    <row r="242" spans="2:21">
      <c r="B242" s="11" t="s">
        <v>140</v>
      </c>
      <c r="C242" s="12" t="s">
        <v>141</v>
      </c>
    </row>
    <row r="243" spans="2:21">
      <c r="B243" s="11" t="s">
        <v>120</v>
      </c>
      <c r="C243" s="12" t="s">
        <v>142</v>
      </c>
    </row>
    <row r="244" spans="2:21">
      <c r="B244" s="11" t="s">
        <v>143</v>
      </c>
      <c r="C244" s="12" t="s">
        <v>144</v>
      </c>
    </row>
    <row r="245" spans="2:21">
      <c r="B245" s="11" t="s">
        <v>121</v>
      </c>
      <c r="C245" s="12" t="s">
        <v>145</v>
      </c>
    </row>
    <row r="246" spans="2:21">
      <c r="B246" s="11" t="s">
        <v>123</v>
      </c>
      <c r="C246" s="12" t="s">
        <v>147</v>
      </c>
    </row>
    <row r="247" spans="2:21">
      <c r="B247" s="11" t="s">
        <v>122</v>
      </c>
      <c r="C247" s="5" t="s">
        <v>146</v>
      </c>
    </row>
    <row r="248" spans="2:21">
      <c r="B248" s="11" t="s">
        <v>163</v>
      </c>
      <c r="C248" s="5" t="s">
        <v>274</v>
      </c>
    </row>
    <row r="249" spans="2:21">
      <c r="B249" s="11" t="s">
        <v>164</v>
      </c>
      <c r="C249" s="5" t="s">
        <v>275</v>
      </c>
    </row>
    <row r="250" spans="2:21">
      <c r="B250" s="11" t="s">
        <v>265</v>
      </c>
      <c r="C250" s="11" t="s">
        <v>273</v>
      </c>
    </row>
    <row r="253" spans="2:21">
      <c r="B253" s="350" t="s">
        <v>278</v>
      </c>
      <c r="C253" s="350"/>
      <c r="D253" s="350"/>
      <c r="E253" s="350"/>
      <c r="F253" s="350"/>
      <c r="G253" s="350"/>
      <c r="H253" s="350"/>
      <c r="I253" s="350"/>
      <c r="J253" s="350"/>
      <c r="K253" s="350"/>
      <c r="L253" s="350"/>
      <c r="M253" s="350"/>
      <c r="N253" s="350"/>
      <c r="O253" s="350"/>
      <c r="P253" s="350"/>
      <c r="Q253" s="350"/>
      <c r="R253" s="350"/>
      <c r="S253" s="350"/>
      <c r="T253" s="350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234</v>
      </c>
      <c r="C257" s="11" t="s">
        <v>262</v>
      </c>
      <c r="D257" s="11" t="s">
        <v>152</v>
      </c>
      <c r="E257" s="11" t="s">
        <v>262</v>
      </c>
      <c r="F257" s="11" t="s">
        <v>152</v>
      </c>
      <c r="G257" s="11" t="s">
        <v>262</v>
      </c>
      <c r="H257" s="11" t="s">
        <v>152</v>
      </c>
      <c r="I257" s="11" t="s">
        <v>262</v>
      </c>
      <c r="J257" s="11" t="s">
        <v>152</v>
      </c>
      <c r="K257" s="11" t="s">
        <v>262</v>
      </c>
      <c r="L257" s="11" t="s">
        <v>152</v>
      </c>
      <c r="M257" s="11" t="s">
        <v>262</v>
      </c>
      <c r="N257" s="11" t="s">
        <v>152</v>
      </c>
      <c r="O257" s="11" t="s">
        <v>262</v>
      </c>
      <c r="P257" s="11" t="s">
        <v>152</v>
      </c>
      <c r="Q257" s="11" t="s">
        <v>262</v>
      </c>
      <c r="R257" s="11" t="s">
        <v>152</v>
      </c>
      <c r="S257" s="11" t="s">
        <v>262</v>
      </c>
      <c r="T257" s="11" t="s">
        <v>152</v>
      </c>
      <c r="U257" s="11" t="s">
        <v>262</v>
      </c>
      <c r="V257" s="1" t="s">
        <v>152</v>
      </c>
    </row>
    <row r="258" spans="2:22">
      <c r="B258" s="11" t="s">
        <v>191</v>
      </c>
      <c r="C258" s="11" t="s">
        <v>262</v>
      </c>
      <c r="D258" s="11" t="s">
        <v>256</v>
      </c>
      <c r="E258" s="11" t="s">
        <v>262</v>
      </c>
      <c r="F258" s="11" t="s">
        <v>256</v>
      </c>
      <c r="G258" s="11" t="s">
        <v>262</v>
      </c>
      <c r="H258" s="11" t="s">
        <v>256</v>
      </c>
      <c r="I258" s="11" t="s">
        <v>262</v>
      </c>
      <c r="J258" s="11" t="s">
        <v>256</v>
      </c>
      <c r="K258" s="11" t="s">
        <v>262</v>
      </c>
      <c r="L258" s="11" t="s">
        <v>256</v>
      </c>
      <c r="M258" s="11" t="s">
        <v>262</v>
      </c>
      <c r="N258" s="11" t="s">
        <v>256</v>
      </c>
      <c r="O258" s="11" t="s">
        <v>262</v>
      </c>
      <c r="P258" s="11" t="s">
        <v>256</v>
      </c>
      <c r="Q258" s="11" t="s">
        <v>262</v>
      </c>
      <c r="R258" s="11" t="s">
        <v>256</v>
      </c>
      <c r="S258" s="11" t="s">
        <v>262</v>
      </c>
      <c r="T258" s="11" t="s">
        <v>256</v>
      </c>
      <c r="U258" s="11" t="s">
        <v>262</v>
      </c>
      <c r="V258" s="1" t="s">
        <v>256</v>
      </c>
    </row>
    <row r="259" spans="2:22">
      <c r="B259" s="11" t="s">
        <v>127</v>
      </c>
      <c r="C259" s="11" t="s">
        <v>1</v>
      </c>
    </row>
    <row r="260" spans="2:22">
      <c r="B260" s="11" t="s">
        <v>2</v>
      </c>
      <c r="C260" s="11" t="s">
        <v>166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281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167</v>
      </c>
    </row>
    <row r="276" spans="2:3">
      <c r="B276" s="11" t="s">
        <v>53</v>
      </c>
      <c r="C276" s="11" t="s">
        <v>54</v>
      </c>
    </row>
    <row r="277" spans="2:3">
      <c r="B277" s="7" t="s">
        <v>408</v>
      </c>
      <c r="C277" s="11" t="s">
        <v>461</v>
      </c>
    </row>
    <row r="278" spans="2:3">
      <c r="B278" s="11" t="s">
        <v>234</v>
      </c>
      <c r="C278" s="11" t="s">
        <v>282</v>
      </c>
    </row>
    <row r="279" spans="2:3">
      <c r="B279" s="11" t="s">
        <v>279</v>
      </c>
      <c r="C279" s="11" t="s">
        <v>283</v>
      </c>
    </row>
    <row r="280" spans="2:3">
      <c r="B280" s="11" t="s">
        <v>62</v>
      </c>
      <c r="C280" s="11" t="s">
        <v>340</v>
      </c>
    </row>
    <row r="281" spans="2:3">
      <c r="B281" s="11" t="s">
        <v>63</v>
      </c>
      <c r="C281" s="11" t="s">
        <v>64</v>
      </c>
    </row>
    <row r="282" spans="2:3">
      <c r="B282" s="11" t="s">
        <v>65</v>
      </c>
      <c r="C282" s="11" t="s">
        <v>66</v>
      </c>
    </row>
    <row r="283" spans="2:3">
      <c r="B283" s="11" t="s">
        <v>67</v>
      </c>
      <c r="C283" s="11" t="s">
        <v>68</v>
      </c>
    </row>
    <row r="284" spans="2:3">
      <c r="B284" s="11" t="s">
        <v>69</v>
      </c>
      <c r="C284" s="11" t="s">
        <v>70</v>
      </c>
    </row>
    <row r="285" spans="2:3">
      <c r="B285" s="11" t="s">
        <v>71</v>
      </c>
      <c r="C285" s="11" t="s">
        <v>72</v>
      </c>
    </row>
    <row r="286" spans="2:3">
      <c r="B286" s="11" t="s">
        <v>153</v>
      </c>
      <c r="C286" s="11" t="s">
        <v>270</v>
      </c>
    </row>
    <row r="287" spans="2:3">
      <c r="B287" s="11" t="s">
        <v>74</v>
      </c>
      <c r="C287" s="11" t="s">
        <v>75</v>
      </c>
    </row>
    <row r="288" spans="2:3">
      <c r="B288" s="11" t="s">
        <v>76</v>
      </c>
      <c r="C288" s="11" t="s">
        <v>77</v>
      </c>
    </row>
    <row r="289" spans="2:3">
      <c r="B289" s="11" t="s">
        <v>78</v>
      </c>
      <c r="C289" s="11" t="s">
        <v>271</v>
      </c>
    </row>
    <row r="290" spans="2:3">
      <c r="B290" s="11" t="s">
        <v>79</v>
      </c>
      <c r="C290" s="11" t="s">
        <v>80</v>
      </c>
    </row>
    <row r="291" spans="2:3">
      <c r="B291" s="11" t="s">
        <v>81</v>
      </c>
      <c r="C291" s="11" t="s">
        <v>82</v>
      </c>
    </row>
    <row r="292" spans="2:3">
      <c r="B292" s="11" t="s">
        <v>83</v>
      </c>
      <c r="C292" s="11" t="s">
        <v>84</v>
      </c>
    </row>
    <row r="293" spans="2:3">
      <c r="B293" s="11" t="s">
        <v>85</v>
      </c>
      <c r="C293" s="11" t="s">
        <v>341</v>
      </c>
    </row>
    <row r="294" spans="2:3">
      <c r="B294" s="11" t="s">
        <v>154</v>
      </c>
      <c r="C294" s="11" t="s">
        <v>343</v>
      </c>
    </row>
    <row r="295" spans="2:3">
      <c r="B295" s="11" t="s">
        <v>86</v>
      </c>
      <c r="C295" s="11" t="s">
        <v>87</v>
      </c>
    </row>
    <row r="296" spans="2:3">
      <c r="B296" s="11" t="s">
        <v>88</v>
      </c>
      <c r="C296" s="11" t="s">
        <v>89</v>
      </c>
    </row>
    <row r="297" spans="2:3">
      <c r="B297" s="11" t="s">
        <v>90</v>
      </c>
      <c r="C297" s="11" t="s">
        <v>91</v>
      </c>
    </row>
    <row r="298" spans="2:3">
      <c r="B298" s="11" t="s">
        <v>92</v>
      </c>
      <c r="C298" s="11" t="s">
        <v>93</v>
      </c>
    </row>
    <row r="299" spans="2:3">
      <c r="B299" s="11" t="s">
        <v>94</v>
      </c>
      <c r="C299" s="11" t="s">
        <v>95</v>
      </c>
    </row>
    <row r="300" spans="2:3">
      <c r="B300" s="11" t="s">
        <v>96</v>
      </c>
      <c r="C300" s="11" t="s">
        <v>97</v>
      </c>
    </row>
    <row r="301" spans="2:3">
      <c r="B301" s="11" t="s">
        <v>155</v>
      </c>
      <c r="C301" s="11" t="s">
        <v>100</v>
      </c>
    </row>
    <row r="302" spans="2:3">
      <c r="B302" s="11" t="s">
        <v>101</v>
      </c>
      <c r="C302" s="11" t="s">
        <v>102</v>
      </c>
    </row>
    <row r="303" spans="2:3">
      <c r="B303" s="11" t="s">
        <v>103</v>
      </c>
      <c r="C303" s="11" t="s">
        <v>104</v>
      </c>
    </row>
    <row r="304" spans="2:3">
      <c r="B304" s="11" t="s">
        <v>108</v>
      </c>
      <c r="C304" s="12" t="s">
        <v>173</v>
      </c>
    </row>
    <row r="305" spans="2:3">
      <c r="B305" s="11" t="s">
        <v>105</v>
      </c>
      <c r="C305" s="11" t="s">
        <v>106</v>
      </c>
    </row>
    <row r="306" spans="2:3">
      <c r="B306" s="11" t="s">
        <v>280</v>
      </c>
      <c r="C306" s="11" t="s">
        <v>342</v>
      </c>
    </row>
    <row r="307" spans="2:3">
      <c r="B307" s="11" t="s">
        <v>109</v>
      </c>
      <c r="C307" s="11" t="s">
        <v>284</v>
      </c>
    </row>
    <row r="308" spans="2:3">
      <c r="B308" s="11" t="s">
        <v>156</v>
      </c>
      <c r="C308" s="11" t="s">
        <v>285</v>
      </c>
    </row>
    <row r="309" spans="2:3">
      <c r="B309" s="11" t="s">
        <v>110</v>
      </c>
      <c r="C309" s="11" t="s">
        <v>111</v>
      </c>
    </row>
    <row r="310" spans="2:3">
      <c r="B310" s="11" t="s">
        <v>112</v>
      </c>
      <c r="C310" s="11" t="s">
        <v>113</v>
      </c>
    </row>
    <row r="311" spans="2:3">
      <c r="B311" s="11" t="s">
        <v>115</v>
      </c>
      <c r="C311" s="11" t="s">
        <v>116</v>
      </c>
    </row>
    <row r="312" spans="2:3">
      <c r="B312" s="11" t="s">
        <v>117</v>
      </c>
      <c r="C312" s="11" t="s">
        <v>118</v>
      </c>
    </row>
    <row r="313" spans="2:3">
      <c r="B313" s="11" t="s">
        <v>151</v>
      </c>
      <c r="C313" s="12" t="s">
        <v>176</v>
      </c>
    </row>
    <row r="314" spans="2:3">
      <c r="B314" s="11" t="s">
        <v>264</v>
      </c>
      <c r="C314" s="11" t="s">
        <v>286</v>
      </c>
    </row>
    <row r="315" spans="2:3">
      <c r="B315" s="11" t="s">
        <v>132</v>
      </c>
      <c r="C315" s="12" t="s">
        <v>177</v>
      </c>
    </row>
    <row r="316" spans="2:3">
      <c r="B316" s="11" t="s">
        <v>0</v>
      </c>
      <c r="C316" s="12" t="s">
        <v>133</v>
      </c>
    </row>
    <row r="317" spans="2:3">
      <c r="B317" s="11" t="s">
        <v>157</v>
      </c>
      <c r="C317" s="12" t="s">
        <v>135</v>
      </c>
    </row>
    <row r="318" spans="2:3">
      <c r="B318" s="11" t="s">
        <v>158</v>
      </c>
      <c r="C318" s="12" t="s">
        <v>137</v>
      </c>
    </row>
    <row r="319" spans="2:3">
      <c r="B319" s="11" t="s">
        <v>115</v>
      </c>
      <c r="C319" s="12" t="s">
        <v>138</v>
      </c>
    </row>
    <row r="320" spans="2:3">
      <c r="B320" s="11" t="s">
        <v>112</v>
      </c>
      <c r="C320" s="12" t="s">
        <v>139</v>
      </c>
    </row>
    <row r="321" spans="2:20">
      <c r="B321" s="11" t="s">
        <v>140</v>
      </c>
      <c r="C321" s="12" t="s">
        <v>141</v>
      </c>
    </row>
    <row r="322" spans="2:20">
      <c r="B322" s="11" t="s">
        <v>120</v>
      </c>
      <c r="C322" s="12" t="s">
        <v>287</v>
      </c>
    </row>
    <row r="323" spans="2:20">
      <c r="B323" s="11" t="s">
        <v>143</v>
      </c>
      <c r="C323" s="12" t="s">
        <v>144</v>
      </c>
    </row>
    <row r="324" spans="2:20">
      <c r="B324" s="11" t="s">
        <v>121</v>
      </c>
      <c r="C324" s="12" t="s">
        <v>145</v>
      </c>
    </row>
    <row r="325" spans="2:20">
      <c r="B325" s="11" t="s">
        <v>122</v>
      </c>
      <c r="C325" s="5" t="s">
        <v>146</v>
      </c>
    </row>
    <row r="326" spans="2:20">
      <c r="B326" s="11" t="s">
        <v>123</v>
      </c>
      <c r="C326" s="12" t="s">
        <v>288</v>
      </c>
    </row>
    <row r="327" spans="2:20">
      <c r="B327" s="11" t="s">
        <v>160</v>
      </c>
      <c r="C327" s="12" t="s">
        <v>148</v>
      </c>
    </row>
    <row r="328" spans="2:20">
      <c r="B328" s="11" t="s">
        <v>265</v>
      </c>
      <c r="C328" s="11" t="s">
        <v>273</v>
      </c>
    </row>
    <row r="331" spans="2:20">
      <c r="B331" s="350" t="s">
        <v>314</v>
      </c>
      <c r="C331" s="350"/>
      <c r="D331" s="350"/>
      <c r="E331" s="350"/>
      <c r="F331" s="350"/>
      <c r="G331" s="350"/>
      <c r="H331" s="350"/>
      <c r="I331" s="350"/>
      <c r="J331" s="350"/>
      <c r="K331" s="350"/>
      <c r="L331" s="350"/>
      <c r="M331" s="350"/>
      <c r="N331" s="350"/>
      <c r="O331" s="350"/>
      <c r="P331" s="350"/>
      <c r="Q331" s="350"/>
      <c r="R331" s="350"/>
      <c r="S331" s="350"/>
      <c r="T331" s="350"/>
    </row>
    <row r="334" spans="2:20">
      <c r="C334" s="11">
        <v>2013</v>
      </c>
    </row>
    <row r="335" spans="2:20">
      <c r="B335" s="11" t="s">
        <v>384</v>
      </c>
      <c r="C335" s="11" t="s">
        <v>292</v>
      </c>
      <c r="D335" s="11" t="s">
        <v>293</v>
      </c>
      <c r="E335" s="11" t="s">
        <v>294</v>
      </c>
      <c r="F335" s="11" t="s">
        <v>295</v>
      </c>
      <c r="G335" s="11" t="s">
        <v>296</v>
      </c>
      <c r="H335" s="11" t="s">
        <v>297</v>
      </c>
      <c r="I335" s="11" t="s">
        <v>298</v>
      </c>
      <c r="J335" s="11" t="s">
        <v>299</v>
      </c>
      <c r="K335" s="11" t="s">
        <v>300</v>
      </c>
      <c r="L335" s="11" t="s">
        <v>301</v>
      </c>
      <c r="M335" s="11" t="s">
        <v>302</v>
      </c>
      <c r="N335" s="11" t="s">
        <v>303</v>
      </c>
      <c r="O335" s="11" t="s">
        <v>383</v>
      </c>
    </row>
    <row r="336" spans="2:20">
      <c r="B336" s="11" t="s">
        <v>385</v>
      </c>
      <c r="C336" s="11" t="s">
        <v>315</v>
      </c>
      <c r="D336" s="11" t="s">
        <v>316</v>
      </c>
      <c r="E336" s="11" t="s">
        <v>317</v>
      </c>
      <c r="F336" s="11" t="s">
        <v>295</v>
      </c>
      <c r="G336" s="11" t="s">
        <v>318</v>
      </c>
      <c r="H336" s="11" t="s">
        <v>319</v>
      </c>
      <c r="I336" s="11" t="s">
        <v>320</v>
      </c>
      <c r="J336" s="11" t="s">
        <v>321</v>
      </c>
      <c r="K336" s="11" t="s">
        <v>322</v>
      </c>
      <c r="L336" s="11" t="s">
        <v>323</v>
      </c>
      <c r="M336" s="11" t="s">
        <v>324</v>
      </c>
      <c r="N336" s="11" t="s">
        <v>325</v>
      </c>
      <c r="O336" s="11" t="s">
        <v>382</v>
      </c>
    </row>
    <row r="337" spans="2:3">
      <c r="B337" s="11" t="s">
        <v>127</v>
      </c>
      <c r="C337" s="11" t="s">
        <v>1</v>
      </c>
    </row>
    <row r="338" spans="2:3">
      <c r="B338" s="11" t="s">
        <v>2</v>
      </c>
      <c r="C338" s="11" t="s">
        <v>166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304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305</v>
      </c>
      <c r="C343" s="11" t="s">
        <v>13</v>
      </c>
    </row>
    <row r="344" spans="2:3">
      <c r="B344" s="11" t="s">
        <v>306</v>
      </c>
      <c r="C344" s="11" t="s">
        <v>15</v>
      </c>
    </row>
    <row r="345" spans="2:3">
      <c r="B345" s="11" t="s">
        <v>457</v>
      </c>
      <c r="C345" s="11" t="s">
        <v>458</v>
      </c>
    </row>
    <row r="346" spans="2:3">
      <c r="B346" s="11" t="s">
        <v>19</v>
      </c>
      <c r="C346" s="11" t="s">
        <v>20</v>
      </c>
    </row>
    <row r="347" spans="2:3">
      <c r="B347" s="11" t="s">
        <v>307</v>
      </c>
      <c r="C347" s="11" t="s">
        <v>22</v>
      </c>
    </row>
    <row r="348" spans="2:3">
      <c r="B348" s="11" t="s">
        <v>308</v>
      </c>
      <c r="C348" s="11" t="s">
        <v>24</v>
      </c>
    </row>
    <row r="349" spans="2:3">
      <c r="B349" s="11" t="s">
        <v>309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174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167</v>
      </c>
    </row>
    <row r="357" spans="2:3">
      <c r="B357" s="11" t="s">
        <v>327</v>
      </c>
      <c r="C357" s="11" t="s">
        <v>41</v>
      </c>
    </row>
    <row r="358" spans="2:3">
      <c r="B358" s="11" t="s">
        <v>310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311</v>
      </c>
      <c r="C360" s="11" t="s">
        <v>48</v>
      </c>
    </row>
    <row r="361" spans="2:3">
      <c r="B361" s="11" t="s">
        <v>312</v>
      </c>
      <c r="C361" s="11" t="s">
        <v>168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313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408</v>
      </c>
      <c r="C368" s="11" t="s">
        <v>460</v>
      </c>
    </row>
    <row r="369" spans="2:3">
      <c r="B369" s="11" t="s">
        <v>61</v>
      </c>
      <c r="C369" s="11" t="s">
        <v>339</v>
      </c>
    </row>
    <row r="370" spans="2:3">
      <c r="B370" s="11" t="s">
        <v>125</v>
      </c>
      <c r="C370" s="11" t="s">
        <v>169</v>
      </c>
    </row>
    <row r="371" spans="2:3">
      <c r="B371" s="11" t="s">
        <v>62</v>
      </c>
      <c r="C371" s="11" t="s">
        <v>340</v>
      </c>
    </row>
    <row r="372" spans="2:3">
      <c r="B372" s="11" t="s">
        <v>63</v>
      </c>
      <c r="C372" s="11" t="s">
        <v>64</v>
      </c>
    </row>
    <row r="373" spans="2:3">
      <c r="B373" s="11" t="s">
        <v>65</v>
      </c>
      <c r="C373" s="11" t="s">
        <v>66</v>
      </c>
    </row>
    <row r="374" spans="2:3">
      <c r="B374" s="11" t="s">
        <v>67</v>
      </c>
      <c r="C374" s="11" t="s">
        <v>68</v>
      </c>
    </row>
    <row r="375" spans="2:3">
      <c r="B375" s="11" t="s">
        <v>69</v>
      </c>
      <c r="C375" s="11" t="s">
        <v>70</v>
      </c>
    </row>
    <row r="376" spans="2:3">
      <c r="B376" s="11" t="s">
        <v>71</v>
      </c>
      <c r="C376" s="11" t="s">
        <v>72</v>
      </c>
    </row>
    <row r="377" spans="2:3">
      <c r="B377" s="11" t="s">
        <v>128</v>
      </c>
      <c r="C377" s="11" t="s">
        <v>178</v>
      </c>
    </row>
    <row r="378" spans="2:3">
      <c r="B378" s="11" t="s">
        <v>74</v>
      </c>
      <c r="C378" s="11" t="s">
        <v>75</v>
      </c>
    </row>
    <row r="379" spans="2:3">
      <c r="B379" s="11" t="s">
        <v>76</v>
      </c>
      <c r="C379" s="11" t="s">
        <v>77</v>
      </c>
    </row>
    <row r="380" spans="2:3">
      <c r="B380" s="11" t="s">
        <v>78</v>
      </c>
      <c r="C380" s="11" t="s">
        <v>150</v>
      </c>
    </row>
    <row r="381" spans="2:3">
      <c r="B381" s="11" t="s">
        <v>79</v>
      </c>
      <c r="C381" s="11" t="s">
        <v>80</v>
      </c>
    </row>
    <row r="382" spans="2:3">
      <c r="B382" s="11" t="s">
        <v>81</v>
      </c>
      <c r="C382" s="11" t="s">
        <v>82</v>
      </c>
    </row>
    <row r="383" spans="2:3">
      <c r="B383" s="11" t="s">
        <v>83</v>
      </c>
      <c r="C383" s="11" t="s">
        <v>84</v>
      </c>
    </row>
    <row r="384" spans="2:3">
      <c r="B384" s="11" t="s">
        <v>85</v>
      </c>
      <c r="C384" s="11" t="s">
        <v>341</v>
      </c>
    </row>
    <row r="385" spans="2:3">
      <c r="B385" s="11" t="s">
        <v>129</v>
      </c>
      <c r="C385" s="11" t="s">
        <v>179</v>
      </c>
    </row>
    <row r="386" spans="2:3">
      <c r="B386" s="11" t="s">
        <v>86</v>
      </c>
      <c r="C386" s="11" t="s">
        <v>87</v>
      </c>
    </row>
    <row r="387" spans="2:3">
      <c r="B387" s="11" t="s">
        <v>88</v>
      </c>
      <c r="C387" s="11" t="s">
        <v>89</v>
      </c>
    </row>
    <row r="388" spans="2:3">
      <c r="B388" s="11" t="s">
        <v>90</v>
      </c>
      <c r="C388" s="11" t="s">
        <v>91</v>
      </c>
    </row>
    <row r="389" spans="2:3">
      <c r="B389" s="11" t="s">
        <v>92</v>
      </c>
      <c r="C389" s="11" t="s">
        <v>93</v>
      </c>
    </row>
    <row r="390" spans="2:3">
      <c r="B390" s="11" t="s">
        <v>94</v>
      </c>
      <c r="C390" s="11" t="s">
        <v>95</v>
      </c>
    </row>
    <row r="391" spans="2:3">
      <c r="B391" s="11" t="s">
        <v>96</v>
      </c>
      <c r="C391" s="11" t="s">
        <v>97</v>
      </c>
    </row>
    <row r="392" spans="2:3">
      <c r="B392" s="11" t="s">
        <v>99</v>
      </c>
      <c r="C392" s="11" t="s">
        <v>100</v>
      </c>
    </row>
    <row r="393" spans="2:3">
      <c r="B393" s="11" t="s">
        <v>101</v>
      </c>
      <c r="C393" s="11" t="s">
        <v>102</v>
      </c>
    </row>
    <row r="394" spans="2:3">
      <c r="B394" s="11" t="s">
        <v>103</v>
      </c>
      <c r="C394" s="11" t="s">
        <v>104</v>
      </c>
    </row>
    <row r="395" spans="2:3">
      <c r="B395" s="11" t="s">
        <v>105</v>
      </c>
      <c r="C395" s="11" t="s">
        <v>106</v>
      </c>
    </row>
    <row r="396" spans="2:3">
      <c r="B396" s="11" t="s">
        <v>107</v>
      </c>
      <c r="C396" s="11" t="s">
        <v>172</v>
      </c>
    </row>
    <row r="397" spans="2:3">
      <c r="B397" s="11" t="s">
        <v>108</v>
      </c>
      <c r="C397" s="11" t="s">
        <v>173</v>
      </c>
    </row>
    <row r="398" spans="2:3">
      <c r="B398" s="11" t="s">
        <v>130</v>
      </c>
      <c r="C398" s="11" t="s">
        <v>372</v>
      </c>
    </row>
    <row r="399" spans="2:3">
      <c r="B399" s="11" t="s">
        <v>110</v>
      </c>
      <c r="C399" s="11" t="s">
        <v>111</v>
      </c>
    </row>
    <row r="400" spans="2:3">
      <c r="B400" s="11" t="s">
        <v>117</v>
      </c>
      <c r="C400" s="11" t="s">
        <v>118</v>
      </c>
    </row>
    <row r="401" spans="2:3">
      <c r="B401" s="11" t="s">
        <v>151</v>
      </c>
      <c r="C401" s="11" t="s">
        <v>176</v>
      </c>
    </row>
    <row r="402" spans="2:3">
      <c r="B402" s="11" t="s">
        <v>131</v>
      </c>
      <c r="C402" s="11" t="s">
        <v>119</v>
      </c>
    </row>
    <row r="403" spans="2:3">
      <c r="B403" s="11" t="s">
        <v>132</v>
      </c>
      <c r="C403" s="11" t="s">
        <v>177</v>
      </c>
    </row>
    <row r="404" spans="2:3">
      <c r="B404" s="11" t="s">
        <v>0</v>
      </c>
      <c r="C404" s="11" t="s">
        <v>133</v>
      </c>
    </row>
    <row r="405" spans="2:3">
      <c r="B405" s="11" t="s">
        <v>134</v>
      </c>
      <c r="C405" s="11" t="s">
        <v>135</v>
      </c>
    </row>
    <row r="406" spans="2:3">
      <c r="B406" s="11" t="s">
        <v>136</v>
      </c>
      <c r="C406" s="11" t="s">
        <v>137</v>
      </c>
    </row>
    <row r="407" spans="2:3">
      <c r="B407" s="11" t="s">
        <v>115</v>
      </c>
      <c r="C407" s="11" t="s">
        <v>138</v>
      </c>
    </row>
    <row r="408" spans="2:3">
      <c r="B408" s="11" t="s">
        <v>112</v>
      </c>
      <c r="C408" s="11" t="s">
        <v>139</v>
      </c>
    </row>
    <row r="409" spans="2:3">
      <c r="B409" s="11" t="s">
        <v>140</v>
      </c>
      <c r="C409" s="11" t="s">
        <v>141</v>
      </c>
    </row>
    <row r="410" spans="2:3">
      <c r="B410" s="11" t="s">
        <v>120</v>
      </c>
      <c r="C410" s="11" t="s">
        <v>142</v>
      </c>
    </row>
    <row r="411" spans="2:3">
      <c r="B411" s="11" t="s">
        <v>143</v>
      </c>
      <c r="C411" s="11" t="s">
        <v>144</v>
      </c>
    </row>
    <row r="412" spans="2:3">
      <c r="B412" s="11" t="s">
        <v>121</v>
      </c>
      <c r="C412" s="11" t="s">
        <v>145</v>
      </c>
    </row>
    <row r="413" spans="2:3">
      <c r="B413" s="11" t="s">
        <v>122</v>
      </c>
      <c r="C413" s="11" t="s">
        <v>146</v>
      </c>
    </row>
    <row r="414" spans="2:3">
      <c r="B414" s="11" t="s">
        <v>328</v>
      </c>
      <c r="C414" s="11" t="s">
        <v>147</v>
      </c>
    </row>
    <row r="415" spans="2:3">
      <c r="B415" s="11" t="s">
        <v>124</v>
      </c>
      <c r="C415" s="11" t="s">
        <v>148</v>
      </c>
    </row>
    <row r="416" spans="2:3">
      <c r="B416" s="11" t="s">
        <v>265</v>
      </c>
      <c r="C416" s="11" t="s">
        <v>266</v>
      </c>
    </row>
    <row r="419" spans="2:23">
      <c r="B419" s="350" t="s">
        <v>386</v>
      </c>
      <c r="C419" s="357"/>
      <c r="D419" s="357"/>
      <c r="E419" s="357"/>
      <c r="F419" s="357"/>
      <c r="G419" s="357"/>
      <c r="H419" s="357"/>
      <c r="I419" s="357"/>
      <c r="J419" s="357"/>
      <c r="K419" s="357"/>
      <c r="L419" s="357"/>
      <c r="M419" s="357"/>
      <c r="N419" s="357"/>
      <c r="O419" s="357"/>
      <c r="P419" s="357"/>
      <c r="Q419" s="357"/>
      <c r="R419" s="357"/>
      <c r="S419" s="357"/>
      <c r="T419" s="357"/>
    </row>
    <row r="421" spans="2:23">
      <c r="B421" s="11" t="s">
        <v>326</v>
      </c>
    </row>
    <row r="422" spans="2:23">
      <c r="B422" s="11" t="s">
        <v>333</v>
      </c>
      <c r="O422" s="1"/>
    </row>
    <row r="424" spans="2:23">
      <c r="B424" s="11" t="s">
        <v>388</v>
      </c>
    </row>
    <row r="425" spans="2:23">
      <c r="B425" s="11" t="s">
        <v>388</v>
      </c>
    </row>
    <row r="427" spans="2:23">
      <c r="B427" s="350" t="s">
        <v>329</v>
      </c>
      <c r="C427" s="350"/>
      <c r="D427" s="350"/>
      <c r="E427" s="350"/>
      <c r="F427" s="350"/>
      <c r="G427" s="350"/>
      <c r="H427" s="350"/>
      <c r="I427" s="350"/>
      <c r="J427" s="350"/>
      <c r="K427" s="350"/>
      <c r="L427" s="350"/>
      <c r="M427" s="350"/>
      <c r="N427" s="350"/>
      <c r="O427" s="350"/>
      <c r="P427" s="350"/>
      <c r="Q427" s="350"/>
      <c r="R427" s="350"/>
      <c r="S427" s="350"/>
      <c r="T427" s="350"/>
    </row>
    <row r="429" spans="2:23">
      <c r="B429" s="11" t="s">
        <v>334</v>
      </c>
      <c r="C429" s="11" t="s">
        <v>239</v>
      </c>
      <c r="D429" s="11" t="s">
        <v>387</v>
      </c>
      <c r="E429" s="27" t="s">
        <v>389</v>
      </c>
      <c r="F429" s="27" t="s">
        <v>390</v>
      </c>
    </row>
    <row r="430" spans="2:23">
      <c r="B430" s="11" t="s">
        <v>335</v>
      </c>
      <c r="C430" s="11" t="s">
        <v>338</v>
      </c>
      <c r="D430" s="11" t="s">
        <v>387</v>
      </c>
      <c r="E430" s="27" t="s">
        <v>389</v>
      </c>
      <c r="F430" s="27" t="s">
        <v>391</v>
      </c>
      <c r="W430" s="28"/>
    </row>
    <row r="432" spans="2:23">
      <c r="B432" s="350" t="s">
        <v>344</v>
      </c>
      <c r="C432" s="350"/>
      <c r="D432" s="350"/>
      <c r="E432" s="350"/>
      <c r="F432" s="350"/>
      <c r="G432" s="350"/>
      <c r="H432" s="350"/>
      <c r="I432" s="350"/>
      <c r="J432" s="350"/>
      <c r="K432" s="350"/>
      <c r="L432" s="350"/>
      <c r="M432" s="350"/>
      <c r="N432" s="350"/>
      <c r="O432" s="350"/>
      <c r="P432" s="350"/>
      <c r="Q432" s="350"/>
      <c r="R432" s="350"/>
      <c r="S432" s="350"/>
      <c r="T432" s="350"/>
    </row>
    <row r="435" spans="2:6">
      <c r="B435" s="11" t="s">
        <v>352</v>
      </c>
      <c r="C435" s="11" t="s">
        <v>353</v>
      </c>
    </row>
    <row r="437" spans="2:6">
      <c r="B437" s="11" t="s">
        <v>345</v>
      </c>
      <c r="C437" s="11" t="s">
        <v>344</v>
      </c>
    </row>
    <row r="438" spans="2:6">
      <c r="B438" s="11" t="s">
        <v>346</v>
      </c>
      <c r="C438" s="11" t="s">
        <v>354</v>
      </c>
    </row>
    <row r="439" spans="2:6">
      <c r="B439" s="11" t="s">
        <v>347</v>
      </c>
      <c r="C439" s="11" t="s">
        <v>355</v>
      </c>
    </row>
    <row r="441" spans="2:6">
      <c r="B441" s="11" t="s">
        <v>356</v>
      </c>
      <c r="C441" s="11" t="s">
        <v>348</v>
      </c>
      <c r="D441" s="11" t="s">
        <v>349</v>
      </c>
      <c r="E441" s="11" t="s">
        <v>350</v>
      </c>
      <c r="F441" s="11" t="s">
        <v>351</v>
      </c>
    </row>
    <row r="442" spans="2:6">
      <c r="B442" s="11" t="s">
        <v>357</v>
      </c>
      <c r="C442" s="11" t="s">
        <v>358</v>
      </c>
      <c r="D442" s="11" t="s">
        <v>359</v>
      </c>
      <c r="E442" s="11" t="s">
        <v>360</v>
      </c>
      <c r="F442" s="11" t="s">
        <v>361</v>
      </c>
    </row>
    <row r="443" spans="2:6">
      <c r="B443" s="11" t="s">
        <v>362</v>
      </c>
    </row>
    <row r="444" spans="2:6">
      <c r="B444" s="11" t="s">
        <v>363</v>
      </c>
    </row>
  </sheetData>
  <mergeCells count="21">
    <mergeCell ref="B40:C41"/>
    <mergeCell ref="B419:T419"/>
    <mergeCell ref="B432:T432"/>
    <mergeCell ref="B427:T427"/>
    <mergeCell ref="B331:T331"/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41" t="s">
        <v>292</v>
      </c>
      <c r="E4" s="141" t="s">
        <v>293</v>
      </c>
      <c r="F4" s="141" t="s">
        <v>294</v>
      </c>
      <c r="G4" s="141" t="s">
        <v>295</v>
      </c>
      <c r="H4" s="141" t="s">
        <v>296</v>
      </c>
      <c r="I4" s="141" t="s">
        <v>297</v>
      </c>
      <c r="J4" s="141" t="s">
        <v>298</v>
      </c>
      <c r="K4" s="141" t="s">
        <v>299</v>
      </c>
      <c r="L4" s="141" t="s">
        <v>300</v>
      </c>
      <c r="M4" s="141" t="s">
        <v>301</v>
      </c>
      <c r="N4" s="141" t="s">
        <v>302</v>
      </c>
      <c r="O4" s="141" t="s">
        <v>303</v>
      </c>
    </row>
    <row r="5" spans="3:16">
      <c r="C5" s="141" t="s">
        <v>435</v>
      </c>
      <c r="D5" s="142">
        <v>62425293.156965584</v>
      </c>
      <c r="E5" s="142">
        <v>79762187.59852089</v>
      </c>
      <c r="F5" s="142">
        <v>89318688.151918903</v>
      </c>
      <c r="G5" s="142">
        <v>106294081.27535464</v>
      </c>
      <c r="H5" s="142">
        <v>97189661.825924918</v>
      </c>
      <c r="I5" s="142">
        <v>105191801.34506513</v>
      </c>
      <c r="J5" s="142">
        <v>123272889.17858437</v>
      </c>
      <c r="K5" s="142">
        <v>125579133.65326507</v>
      </c>
      <c r="L5" s="142">
        <v>121047897.33843082</v>
      </c>
      <c r="M5" s="142">
        <v>114789505.85515907</v>
      </c>
      <c r="N5" s="142">
        <v>97406301.479715049</v>
      </c>
      <c r="O5" s="142">
        <v>145778958.57826602</v>
      </c>
      <c r="P5" s="142">
        <f>+SUM(D5:O5)</f>
        <v>1268056399.4371705</v>
      </c>
    </row>
    <row r="6" spans="3:16">
      <c r="C6" s="141" t="s">
        <v>436</v>
      </c>
      <c r="D6" s="142">
        <v>70632268.589999989</v>
      </c>
      <c r="E6" s="142">
        <v>81381758.450000018</v>
      </c>
      <c r="F6" s="142">
        <v>100495765.61000001</v>
      </c>
      <c r="G6" s="142">
        <v>107356417.33534782</v>
      </c>
      <c r="H6" s="142">
        <v>98816734.644163221</v>
      </c>
      <c r="I6" s="142">
        <v>107147051.5707173</v>
      </c>
      <c r="J6" s="142">
        <v>125666748.8575906</v>
      </c>
      <c r="K6" s="142">
        <v>127890096.38694921</v>
      </c>
      <c r="L6" s="142">
        <v>123465322.33433203</v>
      </c>
      <c r="M6" s="142">
        <v>117130344.73943919</v>
      </c>
      <c r="N6" s="142">
        <v>99294843.070796907</v>
      </c>
      <c r="O6" s="142">
        <v>149056317.49743444</v>
      </c>
      <c r="P6" s="142">
        <f>+SUM(D6:O6)</f>
        <v>1308333669.0867708</v>
      </c>
    </row>
    <row r="7" spans="3:16">
      <c r="C7" s="141" t="s">
        <v>437</v>
      </c>
      <c r="D7" s="142">
        <v>54757461.979999989</v>
      </c>
      <c r="E7" s="142">
        <v>75673443.909999996</v>
      </c>
      <c r="F7" s="142">
        <v>88296245.580000013</v>
      </c>
      <c r="G7" s="142">
        <v>103948239.19999999</v>
      </c>
      <c r="H7" s="142">
        <v>93997829.679999992</v>
      </c>
      <c r="I7" s="142">
        <v>99561632.659999996</v>
      </c>
      <c r="J7" s="142">
        <v>122021331.04999998</v>
      </c>
      <c r="K7" s="142">
        <v>125053427.64999999</v>
      </c>
      <c r="L7" s="142">
        <v>116342017.78000002</v>
      </c>
      <c r="M7" s="142">
        <v>117283627.60000001</v>
      </c>
      <c r="N7" s="142">
        <v>95781753.159999996</v>
      </c>
      <c r="O7" s="142">
        <v>142429369.22999999</v>
      </c>
      <c r="P7" s="142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320">
        <v>3335894492.1291356</v>
      </c>
      <c r="D3" s="320"/>
      <c r="E3" s="313">
        <v>3516156889.9792166</v>
      </c>
      <c r="F3" s="314"/>
      <c r="G3" s="314"/>
      <c r="H3" s="315"/>
    </row>
    <row r="4" spans="2:13" ht="13.5" thickTop="1">
      <c r="E4" s="83"/>
      <c r="F4" s="83"/>
      <c r="G4" s="82"/>
      <c r="H4" s="82"/>
    </row>
    <row r="5" spans="2:13" ht="13.5" thickBot="1">
      <c r="E5" s="133"/>
      <c r="F5" s="133"/>
      <c r="G5" s="133"/>
      <c r="H5" s="133"/>
    </row>
    <row r="6" spans="2:13" ht="13.5" thickTop="1">
      <c r="B6" t="s">
        <v>126</v>
      </c>
      <c r="C6" s="311">
        <v>2013</v>
      </c>
      <c r="D6" s="312"/>
      <c r="E6" s="311" t="s">
        <v>392</v>
      </c>
      <c r="F6" s="312"/>
      <c r="G6" s="311" t="s">
        <v>426</v>
      </c>
      <c r="H6" s="312"/>
      <c r="I6" s="311" t="s">
        <v>438</v>
      </c>
      <c r="J6" s="312"/>
    </row>
    <row r="7" spans="2:13" ht="13.5" thickBot="1">
      <c r="C7" s="88" t="str">
        <f>+E7</f>
        <v>mil. €</v>
      </c>
      <c r="D7" s="89" t="str">
        <f>+F7</f>
        <v>% BDP</v>
      </c>
      <c r="E7" s="88" t="s">
        <v>262</v>
      </c>
      <c r="F7" s="89" t="s">
        <v>149</v>
      </c>
      <c r="G7" s="88" t="s">
        <v>262</v>
      </c>
      <c r="H7" s="89" t="s">
        <v>149</v>
      </c>
      <c r="I7" s="144" t="s">
        <v>262</v>
      </c>
      <c r="J7" s="144" t="s">
        <v>439</v>
      </c>
    </row>
    <row r="8" spans="2:13" ht="14.25" thickTop="1" thickBot="1">
      <c r="B8" s="90" t="s">
        <v>127</v>
      </c>
      <c r="C8" s="134">
        <f>C9+C17+C22+C27+C34+C39</f>
        <v>1235146379.48</v>
      </c>
      <c r="D8" s="92">
        <f>C8/C$3*100</f>
        <v>37.025942588839719</v>
      </c>
      <c r="E8" s="134">
        <f>+E9+E17+E22+E27+E34+E39+E40</f>
        <v>1276056399.4371703</v>
      </c>
      <c r="F8" s="92">
        <f>E8/E$3*100</f>
        <v>36.291224748071834</v>
      </c>
      <c r="G8" s="131">
        <f>+G9+G17+G22+G27+G34+G39+G40</f>
        <v>1316333669.0867703</v>
      </c>
      <c r="H8" s="92">
        <f>G8/E$3*100</f>
        <v>37.436716002014087</v>
      </c>
      <c r="I8" s="131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25">
        <f>SUM(C10:C16)</f>
        <v>755696459.51000011</v>
      </c>
      <c r="D9" s="95">
        <f t="shared" ref="D9:D72" si="0">C9/C$3*100</f>
        <v>22.653488031261944</v>
      </c>
      <c r="E9" s="125">
        <f>+SUM(E10:E16)</f>
        <v>797828901.35953081</v>
      </c>
      <c r="F9" s="96">
        <f t="shared" ref="F9:F73" si="1">E9/E$3*100</f>
        <v>22.690366963808792</v>
      </c>
      <c r="G9" s="125">
        <f>+SUM(G10:G16)</f>
        <v>819077478.06873</v>
      </c>
      <c r="H9" s="96">
        <f t="shared" ref="H9:H72" si="2">G9/E$3*100</f>
        <v>23.294679495190881</v>
      </c>
      <c r="I9" s="125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26">
        <v>95618433.909999996</v>
      </c>
      <c r="D10" s="98">
        <f t="shared" si="0"/>
        <v>2.8663506635358695</v>
      </c>
      <c r="E10" s="126">
        <v>96011654.614494905</v>
      </c>
      <c r="F10" s="98">
        <f t="shared" si="1"/>
        <v>2.7305850568875618</v>
      </c>
      <c r="G10" s="127">
        <v>96781150.729929999</v>
      </c>
      <c r="H10" s="98">
        <f t="shared" si="2"/>
        <v>2.7524696354064582</v>
      </c>
      <c r="I10" s="127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27">
        <v>40638726.390000008</v>
      </c>
      <c r="D11" s="98">
        <f t="shared" si="0"/>
        <v>1.2182257708055488</v>
      </c>
      <c r="E11" s="127">
        <v>44395641.531501003</v>
      </c>
      <c r="F11" s="98">
        <f t="shared" si="1"/>
        <v>1.2626183336137604</v>
      </c>
      <c r="G11" s="127">
        <v>50018934.706970006</v>
      </c>
      <c r="H11" s="98">
        <f t="shared" si="2"/>
        <v>1.4225455880401758</v>
      </c>
      <c r="I11" s="127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27">
        <v>1440565.3199999998</v>
      </c>
      <c r="D12" s="98">
        <f t="shared" si="0"/>
        <v>4.318377944503151E-2</v>
      </c>
      <c r="E12" s="127">
        <v>1544536.6728920399</v>
      </c>
      <c r="F12" s="98">
        <f t="shared" si="1"/>
        <v>4.3926841754241781E-2</v>
      </c>
      <c r="G12" s="127">
        <v>1489198.0023599996</v>
      </c>
      <c r="H12" s="98">
        <f t="shared" si="2"/>
        <v>4.2353002125818169E-2</v>
      </c>
      <c r="I12" s="127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26">
        <v>429195069.32999998</v>
      </c>
      <c r="D13" s="98">
        <f t="shared" si="0"/>
        <v>12.865966544885122</v>
      </c>
      <c r="E13" s="126">
        <v>455945630.52919102</v>
      </c>
      <c r="F13" s="98">
        <f t="shared" si="1"/>
        <v>12.967158315051353</v>
      </c>
      <c r="G13" s="127">
        <v>473642045.78458995</v>
      </c>
      <c r="H13" s="98">
        <f t="shared" si="2"/>
        <v>13.470446871538474</v>
      </c>
      <c r="I13" s="127">
        <f t="shared" si="3"/>
        <v>17696415.255398929</v>
      </c>
      <c r="J13" s="98">
        <f t="shared" si="4"/>
        <v>3.8812555862986784</v>
      </c>
      <c r="L13" s="127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27">
        <v>161445470.17000002</v>
      </c>
      <c r="D14" s="98">
        <f t="shared" si="0"/>
        <v>4.8396455748502225</v>
      </c>
      <c r="E14" s="127">
        <v>171111988.52539012</v>
      </c>
      <c r="F14" s="98">
        <f t="shared" si="1"/>
        <v>4.8664491909631922</v>
      </c>
      <c r="G14" s="127">
        <v>169158715.98390999</v>
      </c>
      <c r="H14" s="98">
        <f t="shared" si="2"/>
        <v>4.8108978432105705</v>
      </c>
      <c r="I14" s="127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27">
        <v>22269382.640000001</v>
      </c>
      <c r="D15" s="98">
        <f t="shared" si="0"/>
        <v>0.66756855447746977</v>
      </c>
      <c r="E15" s="127">
        <v>23735353.696558259</v>
      </c>
      <c r="F15" s="98">
        <f t="shared" si="1"/>
        <v>0.67503682114419394</v>
      </c>
      <c r="G15" s="127">
        <v>22781578.440719999</v>
      </c>
      <c r="H15" s="98">
        <f t="shared" si="2"/>
        <v>0.64791131776985811</v>
      </c>
      <c r="I15" s="127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27">
        <v>5088811.75</v>
      </c>
      <c r="D16" s="98">
        <f t="shared" si="0"/>
        <v>0.15254714326267749</v>
      </c>
      <c r="E16" s="127">
        <v>5084095.7895035082</v>
      </c>
      <c r="F16" s="98">
        <f t="shared" si="1"/>
        <v>0.14459240439449103</v>
      </c>
      <c r="G16" s="127">
        <v>5205854.4202499995</v>
      </c>
      <c r="H16" s="98">
        <f t="shared" si="2"/>
        <v>0.14805523709952459</v>
      </c>
      <c r="I16" s="127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35">
        <f>SUM(C18:C21)</f>
        <v>398494284.19</v>
      </c>
      <c r="D17" s="96">
        <f t="shared" si="0"/>
        <v>11.94565011364196</v>
      </c>
      <c r="E17" s="125">
        <f>+SUM(E18:E21)</f>
        <v>397823173.70918262</v>
      </c>
      <c r="F17" s="96">
        <f t="shared" si="1"/>
        <v>11.314147410286179</v>
      </c>
      <c r="G17" s="125">
        <f>+SUM(G18:G21)</f>
        <v>417559652.73636997</v>
      </c>
      <c r="H17" s="96">
        <f t="shared" si="2"/>
        <v>11.87545566940951</v>
      </c>
      <c r="I17" s="125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27">
        <v>241949355.72999999</v>
      </c>
      <c r="D18" s="98">
        <f t="shared" si="0"/>
        <v>7.2529079172277937</v>
      </c>
      <c r="E18" s="127">
        <v>234882396.70208701</v>
      </c>
      <c r="F18" s="98">
        <f t="shared" si="1"/>
        <v>6.6800886323213922</v>
      </c>
      <c r="G18" s="127">
        <v>254875867.28178996</v>
      </c>
      <c r="H18" s="98">
        <f t="shared" si="2"/>
        <v>7.2487057676000486</v>
      </c>
      <c r="I18" s="127">
        <f t="shared" si="3"/>
        <v>19993470.579702944</v>
      </c>
      <c r="J18" s="98">
        <f t="shared" si="4"/>
        <v>8.5121196225963445</v>
      </c>
      <c r="L18" s="127">
        <f>+G18-C18</f>
        <v>12926511.551789969</v>
      </c>
    </row>
    <row r="19" spans="2:12">
      <c r="B19" s="97" t="s">
        <v>23</v>
      </c>
      <c r="C19" s="127">
        <v>134703897.09</v>
      </c>
      <c r="D19" s="98">
        <f t="shared" si="0"/>
        <v>4.038014313936686</v>
      </c>
      <c r="E19" s="127">
        <v>138667298.82084399</v>
      </c>
      <c r="F19" s="98">
        <f t="shared" si="1"/>
        <v>3.9437176201106214</v>
      </c>
      <c r="G19" s="127">
        <v>139196347.37307</v>
      </c>
      <c r="H19" s="98">
        <f t="shared" si="2"/>
        <v>3.9587638358734543</v>
      </c>
      <c r="I19" s="127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27">
        <v>10770190.189999999</v>
      </c>
      <c r="D20" s="98">
        <f t="shared" si="0"/>
        <v>0.32285763879558199</v>
      </c>
      <c r="E20" s="127">
        <v>11617385.520490499</v>
      </c>
      <c r="F20" s="98">
        <f t="shared" si="1"/>
        <v>0.33040008975706336</v>
      </c>
      <c r="G20" s="127">
        <v>11434714.104369998</v>
      </c>
      <c r="H20" s="98">
        <f t="shared" si="2"/>
        <v>0.3252048888079504</v>
      </c>
      <c r="I20" s="127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27">
        <v>11070841.180000002</v>
      </c>
      <c r="D21" s="98">
        <f t="shared" si="0"/>
        <v>0.33187024368189877</v>
      </c>
      <c r="E21" s="126">
        <v>12656092.6657611</v>
      </c>
      <c r="F21" s="98">
        <f t="shared" si="1"/>
        <v>0.3599410680971038</v>
      </c>
      <c r="G21" s="127">
        <v>12052723.97714</v>
      </c>
      <c r="H21" s="98">
        <f t="shared" si="2"/>
        <v>0.34278117712805589</v>
      </c>
      <c r="I21" s="127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25">
        <f>SUM(C23:C26)</f>
        <v>27069458</v>
      </c>
      <c r="D22" s="96">
        <f t="shared" si="0"/>
        <v>0.81146025642804165</v>
      </c>
      <c r="E22" s="125">
        <f>+SUM(E23:E26)</f>
        <v>20923047.198280636</v>
      </c>
      <c r="F22" s="96">
        <f t="shared" si="1"/>
        <v>0.59505442598166625</v>
      </c>
      <c r="G22" s="125">
        <f>+SUM(G23:G26)</f>
        <v>19923047.198280636</v>
      </c>
      <c r="H22" s="96">
        <f t="shared" si="2"/>
        <v>0.56661428433582772</v>
      </c>
      <c r="I22" s="125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27">
        <v>7881462.9399999995</v>
      </c>
      <c r="D23" s="98">
        <f t="shared" si="0"/>
        <v>0.23626235657620134</v>
      </c>
      <c r="E23" s="127">
        <v>8144616.5029747505</v>
      </c>
      <c r="F23" s="98">
        <f t="shared" si="1"/>
        <v>0.23163404699563594</v>
      </c>
      <c r="G23" s="127">
        <v>8144616.5029747505</v>
      </c>
      <c r="H23" s="98">
        <f t="shared" si="2"/>
        <v>0.23163404699563594</v>
      </c>
      <c r="I23" s="127">
        <f t="shared" si="3"/>
        <v>0</v>
      </c>
      <c r="J23" s="98">
        <f t="shared" si="4"/>
        <v>0</v>
      </c>
    </row>
    <row r="24" spans="2:12">
      <c r="B24" s="97" t="s">
        <v>32</v>
      </c>
      <c r="C24" s="127">
        <v>4557791.26</v>
      </c>
      <c r="D24" s="98">
        <f t="shared" si="0"/>
        <v>0.13662875941531916</v>
      </c>
      <c r="E24" s="127">
        <v>3676083.5729169641</v>
      </c>
      <c r="F24" s="98">
        <f t="shared" si="1"/>
        <v>0.10454833751569864</v>
      </c>
      <c r="G24" s="127">
        <v>5176083.5729169641</v>
      </c>
      <c r="H24" s="98">
        <f t="shared" si="2"/>
        <v>0.14720854998445643</v>
      </c>
      <c r="I24" s="127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27">
        <v>767936.98999999987</v>
      </c>
      <c r="D25" s="98">
        <f t="shared" si="0"/>
        <v>2.3020422013103413E-2</v>
      </c>
      <c r="E25" s="127">
        <v>762511.44191594806</v>
      </c>
      <c r="F25" s="98">
        <f t="shared" si="1"/>
        <v>2.1685933414662142E-2</v>
      </c>
      <c r="G25" s="127">
        <v>762511.44191594806</v>
      </c>
      <c r="H25" s="98">
        <f t="shared" si="2"/>
        <v>2.1685933414662142E-2</v>
      </c>
      <c r="I25" s="127">
        <f t="shared" si="3"/>
        <v>0</v>
      </c>
      <c r="J25" s="98">
        <f t="shared" si="4"/>
        <v>0</v>
      </c>
    </row>
    <row r="26" spans="2:12">
      <c r="B26" s="97" t="s">
        <v>37</v>
      </c>
      <c r="C26" s="126">
        <v>13862266.809999999</v>
      </c>
      <c r="D26" s="98">
        <f t="shared" si="0"/>
        <v>0.41554871842341756</v>
      </c>
      <c r="E26" s="126">
        <v>8339835.6804729737</v>
      </c>
      <c r="F26" s="98">
        <f t="shared" si="1"/>
        <v>0.23718610805566953</v>
      </c>
      <c r="G26" s="126">
        <v>5839835.6804729737</v>
      </c>
      <c r="H26" s="98">
        <f t="shared" si="2"/>
        <v>0.16608575394107319</v>
      </c>
      <c r="I26" s="126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25">
        <f>SUM(C28:C33)</f>
        <v>13233490.18</v>
      </c>
      <c r="D27" s="96">
        <f t="shared" si="0"/>
        <v>0.39669990196703492</v>
      </c>
      <c r="E27" s="125">
        <f>+SUM(E28:E33)</f>
        <v>13024243.76827177</v>
      </c>
      <c r="F27" s="96">
        <f t="shared" si="1"/>
        <v>0.37041133759957889</v>
      </c>
      <c r="G27" s="125">
        <f>+SUM(G28:G33)</f>
        <v>12724243.76827177</v>
      </c>
      <c r="H27" s="96">
        <f t="shared" si="2"/>
        <v>0.36187929510582734</v>
      </c>
      <c r="I27" s="125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27">
        <v>647266.8600000001</v>
      </c>
      <c r="D28" s="98">
        <f t="shared" si="0"/>
        <v>1.9403097475870164E-2</v>
      </c>
      <c r="E28" s="127">
        <v>698651.48499726248</v>
      </c>
      <c r="F28" s="98">
        <f t="shared" si="1"/>
        <v>1.9869747194397578E-2</v>
      </c>
      <c r="G28" s="127">
        <v>698651.48499726248</v>
      </c>
      <c r="H28" s="98">
        <f t="shared" si="2"/>
        <v>1.9869747194397578E-2</v>
      </c>
      <c r="I28" s="127">
        <f t="shared" si="3"/>
        <v>0</v>
      </c>
      <c r="J28" s="98">
        <f t="shared" si="4"/>
        <v>0</v>
      </c>
    </row>
    <row r="29" spans="2:12">
      <c r="B29" s="97" t="s">
        <v>42</v>
      </c>
      <c r="C29" s="127">
        <v>1995183.6300000001</v>
      </c>
      <c r="D29" s="98">
        <f t="shared" si="0"/>
        <v>5.9809554370125591E-2</v>
      </c>
      <c r="E29" s="127">
        <v>1997965.7673730874</v>
      </c>
      <c r="F29" s="98">
        <f t="shared" si="1"/>
        <v>5.6822429427627073E-2</v>
      </c>
      <c r="G29" s="127">
        <v>1997965.7673730874</v>
      </c>
      <c r="H29" s="98">
        <f t="shared" si="2"/>
        <v>5.6822429427627073E-2</v>
      </c>
      <c r="I29" s="127">
        <f t="shared" si="3"/>
        <v>0</v>
      </c>
      <c r="J29" s="98">
        <f t="shared" si="4"/>
        <v>0</v>
      </c>
    </row>
    <row r="30" spans="2:12">
      <c r="B30" s="97" t="s">
        <v>45</v>
      </c>
      <c r="C30" s="127">
        <v>309851.25</v>
      </c>
      <c r="D30" s="98">
        <f t="shared" si="0"/>
        <v>9.2884007791936302E-3</v>
      </c>
      <c r="E30" s="127">
        <v>424373.88097611902</v>
      </c>
      <c r="F30" s="98">
        <f t="shared" si="1"/>
        <v>1.2069253285755047E-2</v>
      </c>
      <c r="G30" s="127">
        <v>424373.88097611902</v>
      </c>
      <c r="H30" s="98">
        <f t="shared" si="2"/>
        <v>1.2069253285755047E-2</v>
      </c>
      <c r="I30" s="127">
        <f t="shared" si="3"/>
        <v>0</v>
      </c>
      <c r="J30" s="98">
        <f t="shared" si="4"/>
        <v>0</v>
      </c>
    </row>
    <row r="31" spans="2:12">
      <c r="B31" s="97" t="s">
        <v>47</v>
      </c>
      <c r="C31" s="127">
        <v>3324177.16</v>
      </c>
      <c r="D31" s="98">
        <f t="shared" si="0"/>
        <v>9.9648749918296836E-2</v>
      </c>
      <c r="E31" s="127">
        <v>3266343.0516235088</v>
      </c>
      <c r="F31" s="98">
        <f t="shared" si="1"/>
        <v>9.2895259052073062E-2</v>
      </c>
      <c r="G31" s="127">
        <v>3666343.0516235088</v>
      </c>
      <c r="H31" s="98">
        <f t="shared" si="2"/>
        <v>0.10427131571040847</v>
      </c>
      <c r="I31" s="127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27">
        <v>3659024.1899999995</v>
      </c>
      <c r="D32" s="98">
        <f t="shared" si="0"/>
        <v>0.10968644837638813</v>
      </c>
      <c r="E32" s="127">
        <v>3355752.0175728933</v>
      </c>
      <c r="F32" s="98">
        <f t="shared" si="1"/>
        <v>9.5438062708081514E-2</v>
      </c>
      <c r="G32" s="127">
        <v>3355752.0175728933</v>
      </c>
      <c r="H32" s="98">
        <f t="shared" si="2"/>
        <v>9.5438062708081514E-2</v>
      </c>
      <c r="I32" s="127">
        <f t="shared" si="3"/>
        <v>0</v>
      </c>
      <c r="J32" s="98">
        <f t="shared" si="4"/>
        <v>0</v>
      </c>
    </row>
    <row r="33" spans="2:10">
      <c r="B33" s="97" t="s">
        <v>51</v>
      </c>
      <c r="C33" s="127">
        <v>3297987.09</v>
      </c>
      <c r="D33" s="98">
        <f t="shared" si="0"/>
        <v>9.8863651047160633E-2</v>
      </c>
      <c r="E33" s="127">
        <v>3281157.5657288986</v>
      </c>
      <c r="F33" s="98">
        <f t="shared" si="1"/>
        <v>9.331658593164463E-2</v>
      </c>
      <c r="G33" s="127">
        <v>2581157.5657288986</v>
      </c>
      <c r="H33" s="98">
        <f t="shared" si="2"/>
        <v>7.340848677955765E-2</v>
      </c>
      <c r="I33" s="127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25">
        <f>SUM(C35:C38)</f>
        <v>33088194.540000003</v>
      </c>
      <c r="D34" s="96">
        <f t="shared" si="0"/>
        <v>0.99188372468223518</v>
      </c>
      <c r="E34" s="125">
        <f>+SUM(E35:E38)</f>
        <v>31410770.914738216</v>
      </c>
      <c r="F34" s="96">
        <f t="shared" si="1"/>
        <v>0.89332677402013982</v>
      </c>
      <c r="G34" s="125">
        <f>+SUM(G35:G38)</f>
        <v>31310770.914738216</v>
      </c>
      <c r="H34" s="96">
        <f t="shared" si="2"/>
        <v>0.89048275985555603</v>
      </c>
      <c r="I34" s="125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27">
        <v>6034873.3200000003</v>
      </c>
      <c r="D35" s="98">
        <f t="shared" si="0"/>
        <v>0.18090719998006413</v>
      </c>
      <c r="E35" s="127">
        <v>5533606.7424404304</v>
      </c>
      <c r="F35" s="98">
        <f t="shared" si="1"/>
        <v>0.15737655956737298</v>
      </c>
      <c r="G35" s="127">
        <v>6533606.7424404304</v>
      </c>
      <c r="H35" s="98">
        <f t="shared" si="2"/>
        <v>0.1858167012132115</v>
      </c>
      <c r="I35" s="127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27">
        <v>12316700.43</v>
      </c>
      <c r="D36" s="98">
        <f t="shared" si="0"/>
        <v>0.36921732563966259</v>
      </c>
      <c r="E36" s="127">
        <v>11824073.889814863</v>
      </c>
      <c r="F36" s="98">
        <f t="shared" si="1"/>
        <v>0.33627833625719566</v>
      </c>
      <c r="G36" s="127">
        <v>12424073.889814863</v>
      </c>
      <c r="H36" s="98">
        <f t="shared" si="2"/>
        <v>0.35334242124469878</v>
      </c>
      <c r="I36" s="127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27">
        <v>2179410.2600000002</v>
      </c>
      <c r="D37" s="98">
        <f t="shared" si="0"/>
        <v>6.5332110027526411E-2</v>
      </c>
      <c r="E37" s="127">
        <v>2220205.3434794326</v>
      </c>
      <c r="F37" s="98">
        <f t="shared" si="1"/>
        <v>6.3142954451402653E-2</v>
      </c>
      <c r="G37" s="127">
        <v>2220205.3434794326</v>
      </c>
      <c r="H37" s="98">
        <f t="shared" si="2"/>
        <v>6.3142954451402653E-2</v>
      </c>
      <c r="I37" s="127">
        <f t="shared" si="3"/>
        <v>0</v>
      </c>
      <c r="J37" s="98">
        <f t="shared" si="4"/>
        <v>0</v>
      </c>
    </row>
    <row r="38" spans="2:10">
      <c r="B38" s="97" t="s">
        <v>53</v>
      </c>
      <c r="C38" s="127">
        <v>12557210.530000001</v>
      </c>
      <c r="D38" s="98">
        <f t="shared" si="0"/>
        <v>0.37642708903498195</v>
      </c>
      <c r="E38" s="127">
        <v>11832884.939003492</v>
      </c>
      <c r="F38" s="98">
        <f t="shared" si="1"/>
        <v>0.33652892374416871</v>
      </c>
      <c r="G38" s="127">
        <v>10132884.939003492</v>
      </c>
      <c r="H38" s="98">
        <f t="shared" si="2"/>
        <v>0.28818068294624322</v>
      </c>
      <c r="I38" s="127">
        <f t="shared" si="3"/>
        <v>-1700000</v>
      </c>
      <c r="J38" s="98">
        <f t="shared" si="4"/>
        <v>-14.366741574545941</v>
      </c>
    </row>
    <row r="39" spans="2:10">
      <c r="B39" s="93" t="s">
        <v>254</v>
      </c>
      <c r="C39" s="125">
        <v>7564493.0600000005</v>
      </c>
      <c r="D39" s="96">
        <f t="shared" si="0"/>
        <v>0.22676056085850488</v>
      </c>
      <c r="E39" s="125">
        <v>7046262.4871663069</v>
      </c>
      <c r="F39" s="96">
        <f t="shared" si="1"/>
        <v>0.20039670320876826</v>
      </c>
      <c r="G39" s="125">
        <v>7738476.4003799995</v>
      </c>
      <c r="H39" s="96">
        <f t="shared" si="2"/>
        <v>0.22008336494978584</v>
      </c>
      <c r="I39" s="125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122</v>
      </c>
      <c r="C40" s="127">
        <v>6615451.54</v>
      </c>
      <c r="D40" s="98">
        <f t="shared" si="0"/>
        <v>0.19831117427750797</v>
      </c>
      <c r="E40" s="125">
        <v>8000000</v>
      </c>
      <c r="F40" s="96">
        <f t="shared" si="1"/>
        <v>0.22752113316670824</v>
      </c>
      <c r="G40" s="125">
        <v>8000000</v>
      </c>
      <c r="H40" s="96">
        <f t="shared" si="2"/>
        <v>0.22752113316670824</v>
      </c>
      <c r="I40" s="125">
        <f t="shared" si="3"/>
        <v>0</v>
      </c>
      <c r="J40" s="96">
        <f t="shared" si="4"/>
        <v>0</v>
      </c>
    </row>
    <row r="41" spans="2:10" ht="14.25" thickTop="1" thickBot="1">
      <c r="B41" s="90" t="s">
        <v>61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125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62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63</v>
      </c>
      <c r="C44" s="125">
        <v>366128508.17291778</v>
      </c>
      <c r="D44" s="96">
        <f t="shared" si="0"/>
        <v>10.975422305375018</v>
      </c>
      <c r="E44" s="125">
        <v>386488693.71999997</v>
      </c>
      <c r="F44" s="96">
        <f t="shared" si="1"/>
        <v>10.991793193911903</v>
      </c>
      <c r="G44" s="125">
        <v>386488693.71999997</v>
      </c>
      <c r="H44" s="96">
        <f t="shared" si="2"/>
        <v>10.991793193911903</v>
      </c>
      <c r="I44" s="125">
        <f t="shared" si="5"/>
        <v>0</v>
      </c>
      <c r="J44" s="96">
        <f t="shared" si="4"/>
        <v>0</v>
      </c>
    </row>
    <row r="45" spans="2:10">
      <c r="B45" s="93" t="s">
        <v>74</v>
      </c>
      <c r="C45" s="125">
        <v>12022159.040000001</v>
      </c>
      <c r="D45" s="96">
        <f t="shared" si="0"/>
        <v>0.36038786803256645</v>
      </c>
      <c r="E45" s="125">
        <v>11478163.960000001</v>
      </c>
      <c r="F45" s="96">
        <f t="shared" si="1"/>
        <v>0.3264406088565589</v>
      </c>
      <c r="G45" s="125">
        <v>11478163.960000001</v>
      </c>
      <c r="H45" s="96">
        <f t="shared" si="2"/>
        <v>0.3264406088565589</v>
      </c>
      <c r="I45" s="125">
        <f t="shared" si="5"/>
        <v>0</v>
      </c>
      <c r="J45" s="96">
        <f t="shared" si="4"/>
        <v>0</v>
      </c>
    </row>
    <row r="46" spans="2:10">
      <c r="B46" s="93" t="s">
        <v>428</v>
      </c>
      <c r="C46" s="125">
        <v>90442340.840000004</v>
      </c>
      <c r="D46" s="96">
        <f t="shared" si="0"/>
        <v>2.7111870910004456</v>
      </c>
      <c r="E46" s="125">
        <v>89210330.25999999</v>
      </c>
      <c r="F46" s="96">
        <f t="shared" si="1"/>
        <v>2.5371544288664349</v>
      </c>
      <c r="G46" s="125">
        <v>29295302.830000002</v>
      </c>
      <c r="H46" s="96">
        <f t="shared" si="2"/>
        <v>0.83316256204293437</v>
      </c>
      <c r="I46" s="125">
        <f t="shared" si="5"/>
        <v>-59915027.429999992</v>
      </c>
      <c r="J46" s="96">
        <f t="shared" si="4"/>
        <v>-67.161535278907735</v>
      </c>
    </row>
    <row r="47" spans="2:10">
      <c r="B47" s="93" t="s">
        <v>429</v>
      </c>
      <c r="C47" s="125"/>
      <c r="D47" s="96">
        <f t="shared" si="0"/>
        <v>0</v>
      </c>
      <c r="E47" s="125"/>
      <c r="F47" s="96">
        <f t="shared" si="1"/>
        <v>0</v>
      </c>
      <c r="G47" s="125">
        <v>40692845.799999997</v>
      </c>
      <c r="H47" s="96">
        <f t="shared" si="2"/>
        <v>1.1573102985242654</v>
      </c>
      <c r="I47" s="125">
        <f t="shared" si="5"/>
        <v>40692845.799999997</v>
      </c>
      <c r="J47" s="96" t="e">
        <f t="shared" si="4"/>
        <v>#DIV/0!</v>
      </c>
    </row>
    <row r="48" spans="2:10">
      <c r="B48" s="93" t="s">
        <v>430</v>
      </c>
      <c r="C48" s="125">
        <v>20416485.639999997</v>
      </c>
      <c r="D48" s="96">
        <f t="shared" si="0"/>
        <v>0.61202432175752564</v>
      </c>
      <c r="E48" s="125">
        <v>21655403.200000003</v>
      </c>
      <c r="F48" s="96">
        <f t="shared" si="1"/>
        <v>0.61588273440574504</v>
      </c>
      <c r="G48" s="125">
        <v>21655403.200000003</v>
      </c>
      <c r="H48" s="96">
        <f t="shared" si="2"/>
        <v>0.61588273440574504</v>
      </c>
      <c r="I48" s="125">
        <f t="shared" si="5"/>
        <v>0</v>
      </c>
      <c r="J48" s="96">
        <f t="shared" si="4"/>
        <v>0</v>
      </c>
    </row>
    <row r="49" spans="2:10">
      <c r="B49" s="93" t="s">
        <v>79</v>
      </c>
      <c r="C49" s="125">
        <v>67427730.789999992</v>
      </c>
      <c r="D49" s="96">
        <f t="shared" si="0"/>
        <v>2.0212788788462022</v>
      </c>
      <c r="E49" s="125">
        <v>73316123.120000005</v>
      </c>
      <c r="F49" s="96">
        <f t="shared" si="1"/>
        <v>2.0851209264565371</v>
      </c>
      <c r="G49" s="125">
        <v>73316123.120000005</v>
      </c>
      <c r="H49" s="96">
        <f t="shared" si="2"/>
        <v>2.0851209264565371</v>
      </c>
      <c r="I49" s="125">
        <f t="shared" si="5"/>
        <v>0</v>
      </c>
      <c r="J49" s="96">
        <f t="shared" si="4"/>
        <v>0</v>
      </c>
    </row>
    <row r="50" spans="2:10">
      <c r="B50" s="93" t="s">
        <v>81</v>
      </c>
      <c r="C50" s="125">
        <v>7928041.8100000005</v>
      </c>
      <c r="D50" s="96">
        <f t="shared" si="0"/>
        <v>0.23765864983757101</v>
      </c>
      <c r="E50" s="125">
        <v>8172802.1399999997</v>
      </c>
      <c r="F50" s="96">
        <f t="shared" si="1"/>
        <v>0.23243565050501225</v>
      </c>
      <c r="G50" s="125">
        <v>8172802.1399999997</v>
      </c>
      <c r="H50" s="96">
        <f t="shared" si="2"/>
        <v>0.23243565050501225</v>
      </c>
      <c r="I50" s="125">
        <f t="shared" si="5"/>
        <v>0</v>
      </c>
      <c r="J50" s="96">
        <f t="shared" si="4"/>
        <v>0</v>
      </c>
    </row>
    <row r="51" spans="2:10">
      <c r="B51" s="93" t="s">
        <v>83</v>
      </c>
      <c r="C51" s="125">
        <v>17426749.959999997</v>
      </c>
      <c r="D51" s="96">
        <f t="shared" si="0"/>
        <v>0.52240111313824467</v>
      </c>
      <c r="E51" s="125">
        <v>18874600</v>
      </c>
      <c r="F51" s="96">
        <f t="shared" si="1"/>
        <v>0.53679629750854385</v>
      </c>
      <c r="G51" s="125">
        <v>18874600</v>
      </c>
      <c r="H51" s="96">
        <f t="shared" si="2"/>
        <v>0.53679629750854385</v>
      </c>
      <c r="I51" s="125">
        <f t="shared" si="5"/>
        <v>0</v>
      </c>
      <c r="J51" s="96">
        <f t="shared" si="4"/>
        <v>0</v>
      </c>
    </row>
    <row r="52" spans="2:10">
      <c r="B52" s="93" t="s">
        <v>85</v>
      </c>
      <c r="C52" s="125">
        <v>6279093.0100000007</v>
      </c>
      <c r="D52" s="96">
        <f t="shared" si="0"/>
        <v>0.18822816563339112</v>
      </c>
      <c r="E52" s="125">
        <v>5827393.7300000023</v>
      </c>
      <c r="F52" s="96">
        <f t="shared" si="1"/>
        <v>0.16573190310727137</v>
      </c>
      <c r="G52" s="125">
        <v>25049575.370000001</v>
      </c>
      <c r="H52" s="96">
        <f t="shared" si="2"/>
        <v>0.71241347169090818</v>
      </c>
      <c r="I52" s="125">
        <f t="shared" si="5"/>
        <v>19222181.640000001</v>
      </c>
      <c r="J52" s="96">
        <f>+G52/E52*100-100</f>
        <v>329.85898208734892</v>
      </c>
    </row>
    <row r="53" spans="2:10">
      <c r="B53" s="93" t="s">
        <v>129</v>
      </c>
      <c r="C53" s="125">
        <v>12216538.75</v>
      </c>
      <c r="D53" s="129">
        <f t="shared" si="0"/>
        <v>0.36621478223679643</v>
      </c>
      <c r="E53" s="125"/>
      <c r="F53" s="129">
        <f t="shared" si="1"/>
        <v>0</v>
      </c>
      <c r="G53" s="125">
        <v>10502963.32</v>
      </c>
      <c r="H53" s="129">
        <f t="shared" si="2"/>
        <v>0.2987057645218465</v>
      </c>
      <c r="I53" s="125">
        <f t="shared" si="5"/>
        <v>10502963.32</v>
      </c>
      <c r="J53" s="129" t="e">
        <f t="shared" si="4"/>
        <v>#DIV/0!</v>
      </c>
    </row>
    <row r="54" spans="2:10">
      <c r="B54" s="93" t="s">
        <v>86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88</v>
      </c>
      <c r="C55" s="127">
        <v>64036543.990000002</v>
      </c>
      <c r="D55" s="98">
        <f t="shared" si="0"/>
        <v>1.919621383142986</v>
      </c>
      <c r="E55" s="127">
        <v>58645000</v>
      </c>
      <c r="F55" s="98">
        <f t="shared" si="1"/>
        <v>1.6678721068202007</v>
      </c>
      <c r="G55" s="127">
        <v>58645000</v>
      </c>
      <c r="H55" s="98">
        <f t="shared" si="2"/>
        <v>1.6678721068202007</v>
      </c>
      <c r="I55" s="127">
        <f t="shared" si="5"/>
        <v>0</v>
      </c>
      <c r="J55" s="98">
        <f t="shared" si="4"/>
        <v>0</v>
      </c>
    </row>
    <row r="56" spans="2:10">
      <c r="B56" s="97" t="s">
        <v>90</v>
      </c>
      <c r="C56" s="127">
        <v>13086355.520000001</v>
      </c>
      <c r="D56" s="98">
        <f t="shared" si="0"/>
        <v>0.39228925108022916</v>
      </c>
      <c r="E56" s="127">
        <v>20758124</v>
      </c>
      <c r="F56" s="98">
        <f t="shared" si="1"/>
        <v>0.59036398686188019</v>
      </c>
      <c r="G56" s="127">
        <v>20758124</v>
      </c>
      <c r="H56" s="98">
        <f t="shared" si="2"/>
        <v>0.59036398686188019</v>
      </c>
      <c r="I56" s="127">
        <f t="shared" si="5"/>
        <v>0</v>
      </c>
      <c r="J56" s="98">
        <f t="shared" si="4"/>
        <v>0</v>
      </c>
    </row>
    <row r="57" spans="2:10">
      <c r="B57" s="97" t="s">
        <v>92</v>
      </c>
      <c r="C57" s="127">
        <v>383190248.31999987</v>
      </c>
      <c r="D57" s="98">
        <f t="shared" si="0"/>
        <v>11.486881531298929</v>
      </c>
      <c r="E57" s="127">
        <v>397320274.96999997</v>
      </c>
      <c r="F57" s="98">
        <f t="shared" si="1"/>
        <v>11.299844898910312</v>
      </c>
      <c r="G57" s="127">
        <v>397320274.96999997</v>
      </c>
      <c r="H57" s="98">
        <f t="shared" si="2"/>
        <v>11.299844898910312</v>
      </c>
      <c r="I57" s="127">
        <f t="shared" si="5"/>
        <v>0</v>
      </c>
      <c r="J57" s="98">
        <f t="shared" si="4"/>
        <v>0</v>
      </c>
    </row>
    <row r="58" spans="2:10">
      <c r="B58" s="97" t="s">
        <v>94</v>
      </c>
      <c r="C58" s="127">
        <v>14792096.089999998</v>
      </c>
      <c r="D58" s="98">
        <f t="shared" si="0"/>
        <v>0.44342218031478986</v>
      </c>
      <c r="E58" s="127">
        <v>14500000</v>
      </c>
      <c r="F58" s="98">
        <f t="shared" si="1"/>
        <v>0.4123820538646587</v>
      </c>
      <c r="G58" s="127">
        <v>14500000</v>
      </c>
      <c r="H58" s="98">
        <f t="shared" si="2"/>
        <v>0.4123820538646587</v>
      </c>
      <c r="I58" s="127">
        <f t="shared" si="5"/>
        <v>0</v>
      </c>
      <c r="J58" s="98">
        <f t="shared" si="4"/>
        <v>0</v>
      </c>
    </row>
    <row r="59" spans="2:10">
      <c r="B59" s="97" t="s">
        <v>431</v>
      </c>
      <c r="C59" s="127">
        <v>7862525.3600000013</v>
      </c>
      <c r="D59" s="98">
        <f t="shared" si="0"/>
        <v>0.23569466536040659</v>
      </c>
      <c r="E59" s="127">
        <v>7000000</v>
      </c>
      <c r="F59" s="98">
        <f t="shared" si="1"/>
        <v>0.19908099152086972</v>
      </c>
      <c r="G59" s="127">
        <v>7000000</v>
      </c>
      <c r="H59" s="98">
        <f t="shared" si="2"/>
        <v>0.19908099152086972</v>
      </c>
      <c r="I59" s="127">
        <f t="shared" si="5"/>
        <v>0</v>
      </c>
      <c r="J59" s="98">
        <f t="shared" si="4"/>
        <v>0</v>
      </c>
    </row>
    <row r="60" spans="2:10">
      <c r="B60" s="93" t="s">
        <v>432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432</v>
      </c>
      <c r="C61" s="127">
        <v>94307106.209999993</v>
      </c>
      <c r="D61" s="98">
        <f t="shared" si="0"/>
        <v>2.8270410359953697</v>
      </c>
      <c r="E61" s="127">
        <v>101040047.61999999</v>
      </c>
      <c r="F61" s="98">
        <f t="shared" si="1"/>
        <v>2.8735932662150696</v>
      </c>
      <c r="G61" s="127">
        <v>101040047.61999999</v>
      </c>
      <c r="H61" s="98">
        <f t="shared" si="2"/>
        <v>2.8735932662150696</v>
      </c>
      <c r="I61" s="127">
        <f t="shared" si="5"/>
        <v>0</v>
      </c>
      <c r="J61" s="98">
        <f t="shared" si="4"/>
        <v>0</v>
      </c>
    </row>
    <row r="62" spans="2:10" ht="13.5" thickBot="1">
      <c r="B62" s="97" t="s">
        <v>433</v>
      </c>
      <c r="C62" s="127"/>
      <c r="D62" s="98">
        <f t="shared" si="0"/>
        <v>0</v>
      </c>
      <c r="E62" s="127"/>
      <c r="F62" s="98">
        <f t="shared" si="1"/>
        <v>0</v>
      </c>
      <c r="G62" s="127"/>
      <c r="H62" s="98">
        <f t="shared" si="2"/>
        <v>0</v>
      </c>
      <c r="I62" s="127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130</v>
      </c>
      <c r="C63" s="131">
        <v>61785502.860000007</v>
      </c>
      <c r="D63" s="92">
        <f t="shared" si="0"/>
        <v>1.8521419968700925</v>
      </c>
      <c r="E63" s="131">
        <v>101820500</v>
      </c>
      <c r="F63" s="92">
        <f t="shared" si="1"/>
        <v>2.8957894424501021</v>
      </c>
      <c r="G63" s="131">
        <v>101820500</v>
      </c>
      <c r="H63" s="92">
        <f t="shared" si="2"/>
        <v>2.8957894424501021</v>
      </c>
      <c r="I63" s="131">
        <f t="shared" si="5"/>
        <v>0</v>
      </c>
      <c r="J63" s="92">
        <f t="shared" si="4"/>
        <v>0</v>
      </c>
    </row>
    <row r="64" spans="2:10" ht="13.5" thickTop="1">
      <c r="B64" s="93" t="s">
        <v>110</v>
      </c>
      <c r="C64" s="125">
        <v>2752781.9799999995</v>
      </c>
      <c r="D64" s="96">
        <f t="shared" si="0"/>
        <v>8.2520055310353516E-2</v>
      </c>
      <c r="E64" s="125">
        <v>2140000</v>
      </c>
      <c r="F64" s="96">
        <f t="shared" si="1"/>
        <v>6.0861903122094448E-2</v>
      </c>
      <c r="G64" s="125">
        <v>2140000</v>
      </c>
      <c r="H64" s="96">
        <f t="shared" si="2"/>
        <v>6.0861903122094448E-2</v>
      </c>
      <c r="I64" s="125">
        <f t="shared" si="5"/>
        <v>0</v>
      </c>
      <c r="J64" s="96">
        <f t="shared" si="4"/>
        <v>0</v>
      </c>
    </row>
    <row r="65" spans="2:10" ht="13.5" thickBot="1">
      <c r="B65" s="93" t="s">
        <v>117</v>
      </c>
      <c r="C65" s="125">
        <v>14126844.789999999</v>
      </c>
      <c r="D65" s="96">
        <f t="shared" si="0"/>
        <v>0.42347996386970665</v>
      </c>
      <c r="E65" s="125">
        <v>8854649.7699999996</v>
      </c>
      <c r="F65" s="96">
        <f t="shared" si="1"/>
        <v>0.25182749368309154</v>
      </c>
      <c r="G65" s="125">
        <v>8854649.7699999996</v>
      </c>
      <c r="H65" s="96">
        <f t="shared" si="2"/>
        <v>0.25182749368309154</v>
      </c>
      <c r="I65" s="125">
        <f t="shared" si="5"/>
        <v>0</v>
      </c>
      <c r="J65" s="96">
        <f t="shared" si="4"/>
        <v>0</v>
      </c>
    </row>
    <row r="66" spans="2:10" ht="14.25" thickTop="1" thickBot="1">
      <c r="B66" s="119" t="s">
        <v>112</v>
      </c>
      <c r="C66" s="132">
        <v>107239350.92999999</v>
      </c>
      <c r="D66" s="121">
        <f t="shared" si="0"/>
        <v>3.2147105126683559</v>
      </c>
      <c r="E66" s="132">
        <v>0</v>
      </c>
      <c r="F66" s="121">
        <f t="shared" si="1"/>
        <v>0</v>
      </c>
      <c r="G66" s="132">
        <v>5153201.26</v>
      </c>
      <c r="H66" s="121">
        <f t="shared" si="2"/>
        <v>0.14655777376391357</v>
      </c>
      <c r="I66" s="132">
        <f t="shared" si="5"/>
        <v>5153201.26</v>
      </c>
      <c r="J66" s="121" t="e">
        <f t="shared" si="4"/>
        <v>#DIV/0!</v>
      </c>
    </row>
    <row r="67" spans="2:10" ht="14.25" thickTop="1" thickBot="1">
      <c r="B67" s="143" t="s">
        <v>151</v>
      </c>
      <c r="C67" s="125">
        <v>0</v>
      </c>
      <c r="D67" s="96">
        <f t="shared" si="0"/>
        <v>0</v>
      </c>
      <c r="E67" s="125">
        <v>0</v>
      </c>
      <c r="F67" s="96">
        <f t="shared" si="1"/>
        <v>0</v>
      </c>
      <c r="G67" s="125">
        <v>0</v>
      </c>
      <c r="H67" s="96">
        <f t="shared" si="2"/>
        <v>0</v>
      </c>
      <c r="I67" s="125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131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132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134</v>
      </c>
      <c r="C71" s="127">
        <v>112695950.91</v>
      </c>
      <c r="D71" s="98">
        <f t="shared" si="0"/>
        <v>3.3782828316632929</v>
      </c>
      <c r="E71" s="127">
        <v>30008345.27</v>
      </c>
      <c r="F71" s="98">
        <f t="shared" si="1"/>
        <v>0.8534415900360286</v>
      </c>
      <c r="G71" s="127">
        <v>30008345.27</v>
      </c>
      <c r="H71" s="98">
        <f t="shared" si="2"/>
        <v>0.8534415900360286</v>
      </c>
      <c r="I71" s="127">
        <f t="shared" si="5"/>
        <v>0</v>
      </c>
      <c r="J71" s="98">
        <f t="shared" si="4"/>
        <v>0</v>
      </c>
    </row>
    <row r="72" spans="2:10">
      <c r="B72" s="97" t="s">
        <v>136</v>
      </c>
      <c r="C72" s="127">
        <v>68802905.489999995</v>
      </c>
      <c r="D72" s="98">
        <f t="shared" si="0"/>
        <v>2.0625024458158605</v>
      </c>
      <c r="E72" s="127">
        <v>108080400.25</v>
      </c>
      <c r="F72" s="98">
        <f t="shared" si="1"/>
        <v>3.073821892248922</v>
      </c>
      <c r="G72" s="127">
        <v>108080400.25</v>
      </c>
      <c r="H72" s="98">
        <f t="shared" si="2"/>
        <v>3.073821892248922</v>
      </c>
      <c r="I72" s="127">
        <f t="shared" si="5"/>
        <v>0</v>
      </c>
      <c r="J72" s="98">
        <f t="shared" si="4"/>
        <v>0</v>
      </c>
    </row>
    <row r="73" spans="2:10" ht="13.5" thickBot="1">
      <c r="B73" s="97" t="s">
        <v>115</v>
      </c>
      <c r="C73" s="127">
        <v>60278571.609999992</v>
      </c>
      <c r="D73" s="98">
        <f t="shared" ref="D73:D79" si="6">C73/C$3*100</f>
        <v>1.8069687681137414</v>
      </c>
      <c r="E73" s="127">
        <v>33338159.969999999</v>
      </c>
      <c r="F73" s="98">
        <f t="shared" si="1"/>
        <v>0.94814199175842395</v>
      </c>
      <c r="G73" s="127">
        <v>33338159.969999999</v>
      </c>
      <c r="H73" s="98">
        <f t="shared" ref="H73:H79" si="7">G73/E$3*100</f>
        <v>0.94814199175842395</v>
      </c>
      <c r="I73" s="127">
        <f t="shared" si="5"/>
        <v>0</v>
      </c>
      <c r="J73" s="98">
        <f t="shared" si="4"/>
        <v>0</v>
      </c>
    </row>
    <row r="74" spans="2:10" ht="14.25" thickTop="1" thickBot="1">
      <c r="B74" s="90" t="s">
        <v>140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120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143</v>
      </c>
      <c r="C76" s="127">
        <v>102834751.84999999</v>
      </c>
      <c r="D76" s="98">
        <f t="shared" si="6"/>
        <v>3.0826739902186082</v>
      </c>
      <c r="E76" s="127">
        <v>0</v>
      </c>
      <c r="F76" s="98">
        <f t="shared" si="8"/>
        <v>0</v>
      </c>
      <c r="G76" s="145">
        <v>0</v>
      </c>
      <c r="H76" s="146">
        <f t="shared" si="7"/>
        <v>0</v>
      </c>
      <c r="I76" s="127">
        <f t="shared" si="9"/>
        <v>0</v>
      </c>
      <c r="J76" s="98" t="e">
        <f t="shared" si="10"/>
        <v>#DIV/0!</v>
      </c>
    </row>
    <row r="77" spans="2:10">
      <c r="B77" s="97" t="s">
        <v>121</v>
      </c>
      <c r="C77" s="127">
        <v>230537476.81999999</v>
      </c>
      <c r="D77" s="98">
        <f t="shared" si="6"/>
        <v>6.910814396676539</v>
      </c>
      <c r="E77" s="127">
        <v>227975575.86282945</v>
      </c>
      <c r="F77" s="98">
        <f t="shared" si="8"/>
        <v>6.4836576693304764</v>
      </c>
      <c r="G77" s="145">
        <v>227975575.86282945</v>
      </c>
      <c r="H77" s="146">
        <f t="shared" si="7"/>
        <v>6.4836576693304764</v>
      </c>
      <c r="I77" s="127">
        <f t="shared" si="9"/>
        <v>0</v>
      </c>
      <c r="J77" s="98">
        <f t="shared" si="10"/>
        <v>0</v>
      </c>
    </row>
    <row r="78" spans="2:10" ht="13.5" thickBot="1">
      <c r="B78" s="103" t="s">
        <v>328</v>
      </c>
      <c r="C78" s="127">
        <v>11948846.35</v>
      </c>
      <c r="D78" s="104">
        <f t="shared" si="6"/>
        <v>0.35819017592410862</v>
      </c>
      <c r="E78" s="127">
        <v>5000000</v>
      </c>
      <c r="F78" s="104">
        <f t="shared" si="8"/>
        <v>0.14220070822919265</v>
      </c>
      <c r="G78" s="145">
        <v>5000000</v>
      </c>
      <c r="H78" s="146">
        <f t="shared" si="7"/>
        <v>0.14220070822919265</v>
      </c>
      <c r="I78" s="127">
        <f t="shared" si="9"/>
        <v>0</v>
      </c>
      <c r="J78" s="104">
        <f t="shared" si="10"/>
        <v>0</v>
      </c>
    </row>
    <row r="79" spans="2:10" ht="14.25" thickTop="1" thickBot="1">
      <c r="B79" s="119" t="s">
        <v>124</v>
      </c>
      <c r="C79" s="120">
        <f>-C74-SUM(C76:C78)</f>
        <v>24776977.5729177</v>
      </c>
      <c r="D79" s="121">
        <f t="shared" si="6"/>
        <v>0.74273864570290371</v>
      </c>
      <c r="E79" s="120">
        <f>-E74-SUM(E76:E78)</f>
        <v>-10502963.319999933</v>
      </c>
      <c r="F79" s="121">
        <f t="shared" si="8"/>
        <v>-0.29870576452184461</v>
      </c>
      <c r="G79" s="147">
        <f>-G74-SUM(G76:G78)</f>
        <v>-27124068.379600048</v>
      </c>
      <c r="H79" s="148">
        <f t="shared" si="7"/>
        <v>-0.77141234672723535</v>
      </c>
      <c r="I79" s="120">
        <f t="shared" si="9"/>
        <v>-16621105.059600115</v>
      </c>
      <c r="J79" s="121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442</v>
      </c>
      <c r="E4">
        <v>2015</v>
      </c>
      <c r="F4">
        <v>2016</v>
      </c>
      <c r="G4">
        <v>2017</v>
      </c>
    </row>
    <row r="5" spans="3:7">
      <c r="C5" t="s">
        <v>440</v>
      </c>
      <c r="D5" s="142">
        <v>-26424601.993229389</v>
      </c>
      <c r="E5" s="142">
        <v>-24569497.372829676</v>
      </c>
      <c r="F5" s="142">
        <v>33498994.005818129</v>
      </c>
      <c r="G5" s="142">
        <v>103834080.12588143</v>
      </c>
    </row>
    <row r="6" spans="3:7">
      <c r="C6" t="s">
        <v>441</v>
      </c>
      <c r="D6" s="142">
        <v>-51424601.993229389</v>
      </c>
      <c r="E6" s="142">
        <v>-149569497.37282968</v>
      </c>
      <c r="F6" s="142">
        <v>-191501005.99418187</v>
      </c>
      <c r="G6" s="142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Nevena Cobeljic</cp:lastModifiedBy>
  <cp:lastPrinted>2016-06-30T08:34:04Z</cp:lastPrinted>
  <dcterms:created xsi:type="dcterms:W3CDTF">2008-03-17T08:49:23Z</dcterms:created>
  <dcterms:modified xsi:type="dcterms:W3CDTF">2019-12-16T13:03:19Z</dcterms:modified>
</cp:coreProperties>
</file>