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.milovic\Desktop\GDDS JUL\"/>
    </mc:Choice>
  </mc:AlternateContent>
  <xr:revisionPtr revIDLastSave="0" documentId="13_ncr:1_{0B23B161-7835-4CD8-9BA8-1027E55C8433}" xr6:coauthVersionLast="36" xr6:coauthVersionMax="36" xr10:uidLastSave="{00000000-0000-0000-0000-000000000000}"/>
  <workbookProtection workbookAlgorithmName="SHA-512" workbookHashValue="atyMOp5nANhIB7EbFIqVjYsJtTNmNnPMGOJ/i1uJKbHiIPdiIAALAXw142tQ2Vk8PVT27jbeVLFZTqWEdtfrjA==" workbookSaltValue="CXNfgRUYb7qq/YPPgXl9tw==" workbookSpinCount="100000" lockStructure="1"/>
  <bookViews>
    <workbookView xWindow="0" yWindow="0" windowWidth="19200" windowHeight="7050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</workbook>
</file>

<file path=xl/calcChain.xml><?xml version="1.0" encoding="utf-8"?>
<calcChain xmlns="http://schemas.openxmlformats.org/spreadsheetml/2006/main">
  <c r="R59" i="11" l="1"/>
  <c r="Q59" i="11"/>
  <c r="O59" i="11"/>
  <c r="N59" i="11"/>
  <c r="T59" i="11" s="1"/>
  <c r="K59" i="11"/>
  <c r="H59" i="11"/>
  <c r="S135" i="26"/>
  <c r="T135" i="26" s="1"/>
  <c r="S59" i="11" l="1"/>
  <c r="P59" i="11"/>
  <c r="H65" i="11"/>
  <c r="R65" i="11" l="1"/>
  <c r="R64" i="11"/>
  <c r="R63" i="11"/>
  <c r="R62" i="11"/>
  <c r="O65" i="11"/>
  <c r="S141" i="26"/>
  <c r="T141" i="26" s="1"/>
  <c r="N65" i="11"/>
  <c r="N64" i="11"/>
  <c r="N63" i="11"/>
  <c r="N62" i="11"/>
  <c r="K65" i="11"/>
  <c r="K64" i="11"/>
  <c r="K63" i="11"/>
  <c r="K62" i="11"/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62" i="11"/>
  <c r="O63" i="11"/>
  <c r="O64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8" i="11"/>
  <c r="H49" i="11"/>
  <c r="H50" i="11"/>
  <c r="H51" i="11"/>
  <c r="H52" i="11"/>
  <c r="H56" i="11"/>
  <c r="H57" i="11"/>
  <c r="H58" i="11"/>
  <c r="H62" i="11"/>
  <c r="H63" i="11"/>
  <c r="H64" i="11"/>
  <c r="L131" i="26" l="1"/>
  <c r="L123" i="26"/>
  <c r="L116" i="26"/>
  <c r="L106" i="26"/>
  <c r="L95" i="26"/>
  <c r="L87" i="26"/>
  <c r="L86" i="26" s="1"/>
  <c r="L82" i="26"/>
  <c r="L55" i="26"/>
  <c r="L40" i="26"/>
  <c r="L30" i="26"/>
  <c r="L29" i="26" s="1"/>
  <c r="L19" i="26"/>
  <c r="L11" i="26"/>
  <c r="L8" i="26"/>
  <c r="L84" i="26" s="1"/>
  <c r="L5" i="26"/>
  <c r="K131" i="26"/>
  <c r="K123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23" i="26"/>
  <c r="J116" i="26"/>
  <c r="J106" i="26"/>
  <c r="J95" i="26"/>
  <c r="J87" i="26"/>
  <c r="J86" i="26" s="1"/>
  <c r="J82" i="26"/>
  <c r="J55" i="26"/>
  <c r="J40" i="26"/>
  <c r="J30" i="26"/>
  <c r="J29" i="26" s="1"/>
  <c r="J19" i="26"/>
  <c r="J11" i="26"/>
  <c r="J10" i="26" s="1"/>
  <c r="J8" i="26"/>
  <c r="J84" i="26" s="1"/>
  <c r="J5" i="26"/>
  <c r="I131" i="26"/>
  <c r="I123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23" i="26"/>
  <c r="H116" i="26"/>
  <c r="H106" i="26"/>
  <c r="H95" i="26"/>
  <c r="H87" i="26"/>
  <c r="H82" i="26"/>
  <c r="H55" i="26"/>
  <c r="H40" i="26"/>
  <c r="H29" i="26" s="1"/>
  <c r="H30" i="26"/>
  <c r="H11" i="26"/>
  <c r="H10" i="26" s="1"/>
  <c r="H8" i="26"/>
  <c r="H84" i="26" s="1"/>
  <c r="H5" i="26"/>
  <c r="G131" i="26"/>
  <c r="G123" i="26"/>
  <c r="G116" i="26"/>
  <c r="G106" i="26"/>
  <c r="G95" i="26"/>
  <c r="G87" i="26"/>
  <c r="G82" i="26"/>
  <c r="G55" i="26"/>
  <c r="G40" i="26"/>
  <c r="G30" i="26"/>
  <c r="G29" i="26" s="1"/>
  <c r="G11" i="26"/>
  <c r="G10" i="26" s="1"/>
  <c r="G8" i="26"/>
  <c r="G84" i="26" s="1"/>
  <c r="G5" i="26"/>
  <c r="H86" i="26" l="1"/>
  <c r="K29" i="26"/>
  <c r="L10" i="26"/>
  <c r="L53" i="26" s="1"/>
  <c r="L105" i="26"/>
  <c r="L129" i="26" s="1"/>
  <c r="I29" i="26"/>
  <c r="I86" i="26"/>
  <c r="G105" i="26"/>
  <c r="H105" i="26"/>
  <c r="H129" i="26" s="1"/>
  <c r="K10" i="26"/>
  <c r="I105" i="26"/>
  <c r="K86" i="26"/>
  <c r="G86" i="26"/>
  <c r="J105" i="26"/>
  <c r="J129" i="26" s="1"/>
  <c r="K105" i="26"/>
  <c r="J53" i="26"/>
  <c r="J54" i="26" s="1"/>
  <c r="I53" i="26"/>
  <c r="I60" i="26" s="1"/>
  <c r="I66" i="26" s="1"/>
  <c r="I61" i="26" s="1"/>
  <c r="H53" i="26"/>
  <c r="H60" i="26" s="1"/>
  <c r="H66" i="26" s="1"/>
  <c r="H61" i="26" s="1"/>
  <c r="G53" i="26"/>
  <c r="G60" i="26" s="1"/>
  <c r="G66" i="26" s="1"/>
  <c r="G61" i="26" s="1"/>
  <c r="I129" i="26"/>
  <c r="G54" i="26" l="1"/>
  <c r="K53" i="26"/>
  <c r="K54" i="26" s="1"/>
  <c r="I54" i="26"/>
  <c r="L54" i="26"/>
  <c r="L60" i="26"/>
  <c r="L66" i="26" s="1"/>
  <c r="L61" i="26" s="1"/>
  <c r="K60" i="26"/>
  <c r="K66" i="26" s="1"/>
  <c r="K61" i="26" s="1"/>
  <c r="G129" i="26"/>
  <c r="H54" i="26"/>
  <c r="K129" i="26"/>
  <c r="J60" i="26"/>
  <c r="J66" i="26" s="1"/>
  <c r="J61" i="26" s="1"/>
  <c r="L130" i="26"/>
  <c r="L136" i="26"/>
  <c r="L142" i="26" s="1"/>
  <c r="L137" i="26" s="1"/>
  <c r="J130" i="26"/>
  <c r="J136" i="26"/>
  <c r="J142" i="26" s="1"/>
  <c r="J137" i="26" s="1"/>
  <c r="I130" i="26"/>
  <c r="I136" i="26"/>
  <c r="I142" i="26" s="1"/>
  <c r="I137" i="26" s="1"/>
  <c r="H130" i="26"/>
  <c r="H136" i="26"/>
  <c r="H142" i="26" s="1"/>
  <c r="H137" i="26" s="1"/>
  <c r="G136" i="26" l="1"/>
  <c r="G142" i="26" s="1"/>
  <c r="G130" i="26"/>
  <c r="K136" i="26"/>
  <c r="K142" i="26" s="1"/>
  <c r="K130" i="26"/>
  <c r="T65" i="11"/>
  <c r="S65" i="11"/>
  <c r="G137" i="26" l="1"/>
  <c r="K137" i="26"/>
  <c r="S59" i="26"/>
  <c r="S65" i="26"/>
  <c r="S59" i="25"/>
  <c r="S65" i="25"/>
  <c r="T59" i="26" l="1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123" i="26" l="1"/>
  <c r="Q123" i="26"/>
  <c r="P123" i="26"/>
  <c r="O123" i="26"/>
  <c r="N123" i="26"/>
  <c r="M123" i="26"/>
  <c r="R125" i="26"/>
  <c r="R122" i="26"/>
  <c r="R113" i="26"/>
  <c r="R115" i="26"/>
  <c r="R110" i="26"/>
  <c r="R109" i="26"/>
  <c r="R107" i="26"/>
  <c r="O47" i="11" l="1"/>
  <c r="H47" i="11"/>
  <c r="R40" i="26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N55" i="11" s="1"/>
  <c r="S52" i="26"/>
  <c r="S51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N40" i="11" s="1"/>
  <c r="S39" i="26"/>
  <c r="S38" i="26"/>
  <c r="S37" i="26"/>
  <c r="S36" i="26"/>
  <c r="S35" i="26"/>
  <c r="S34" i="26"/>
  <c r="S33" i="26"/>
  <c r="S32" i="26"/>
  <c r="S31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N19" i="11" s="1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N11" i="11" s="1"/>
  <c r="R5" i="26"/>
  <c r="Q5" i="26"/>
  <c r="P5" i="26"/>
  <c r="O5" i="26"/>
  <c r="N5" i="26"/>
  <c r="M5" i="26"/>
  <c r="Q29" i="26" l="1"/>
  <c r="O55" i="11"/>
  <c r="H55" i="11"/>
  <c r="O30" i="11"/>
  <c r="H30" i="11"/>
  <c r="O19" i="11"/>
  <c r="H19" i="11"/>
  <c r="N29" i="26"/>
  <c r="O11" i="11"/>
  <c r="H11" i="11"/>
  <c r="O40" i="11"/>
  <c r="H40" i="11"/>
  <c r="M29" i="26"/>
  <c r="N29" i="11" s="1"/>
  <c r="N30" i="11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R105" i="26"/>
  <c r="N10" i="26"/>
  <c r="N53" i="26" s="1"/>
  <c r="N60" i="26" s="1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S40" i="26"/>
  <c r="O10" i="26"/>
  <c r="P10" i="26"/>
  <c r="M10" i="26"/>
  <c r="N10" i="11" s="1"/>
  <c r="S11" i="26"/>
  <c r="S30" i="26"/>
  <c r="S87" i="26"/>
  <c r="T87" i="26" s="1"/>
  <c r="Q53" i="26" l="1"/>
  <c r="Q60" i="26" s="1"/>
  <c r="O129" i="26"/>
  <c r="O130" i="26" s="1"/>
  <c r="O10" i="11"/>
  <c r="H10" i="11"/>
  <c r="O29" i="11"/>
  <c r="H29" i="11"/>
  <c r="M53" i="26"/>
  <c r="M60" i="26" s="1"/>
  <c r="N60" i="11" s="1"/>
  <c r="N129" i="26"/>
  <c r="N130" i="26" s="1"/>
  <c r="R53" i="26"/>
  <c r="R129" i="26"/>
  <c r="R130" i="26" s="1"/>
  <c r="P53" i="26"/>
  <c r="P60" i="26" s="1"/>
  <c r="T55" i="26"/>
  <c r="G55" i="11"/>
  <c r="T40" i="26"/>
  <c r="G40" i="11"/>
  <c r="D16" i="1"/>
  <c r="E16" i="1" s="1"/>
  <c r="D12" i="1"/>
  <c r="E12" i="1" s="1"/>
  <c r="T19" i="26"/>
  <c r="G19" i="11"/>
  <c r="T11" i="26"/>
  <c r="G11" i="11"/>
  <c r="T30" i="26"/>
  <c r="G30" i="11"/>
  <c r="O53" i="26"/>
  <c r="O60" i="26" s="1"/>
  <c r="P129" i="26"/>
  <c r="P130" i="26" s="1"/>
  <c r="S29" i="26"/>
  <c r="T106" i="26"/>
  <c r="Q129" i="26"/>
  <c r="Q136" i="26" s="1"/>
  <c r="Q142" i="26" s="1"/>
  <c r="Q137" i="26" s="1"/>
  <c r="M129" i="26"/>
  <c r="S105" i="26"/>
  <c r="S86" i="26"/>
  <c r="T86" i="26" s="1"/>
  <c r="Q54" i="26"/>
  <c r="S10" i="26"/>
  <c r="N54" i="26"/>
  <c r="N136" i="26" l="1"/>
  <c r="N142" i="26" s="1"/>
  <c r="N137" i="26" s="1"/>
  <c r="O136" i="26"/>
  <c r="O142" i="26" s="1"/>
  <c r="O137" i="26" s="1"/>
  <c r="M136" i="26"/>
  <c r="O53" i="11"/>
  <c r="H53" i="11"/>
  <c r="M54" i="26"/>
  <c r="N54" i="11" s="1"/>
  <c r="N53" i="11"/>
  <c r="D20" i="1" s="1"/>
  <c r="E20" i="1" s="1"/>
  <c r="R136" i="26"/>
  <c r="R142" i="26" s="1"/>
  <c r="R137" i="26" s="1"/>
  <c r="R54" i="26"/>
  <c r="R60" i="26"/>
  <c r="R66" i="26" s="1"/>
  <c r="R61" i="26" s="1"/>
  <c r="P54" i="26"/>
  <c r="M66" i="26"/>
  <c r="O54" i="26"/>
  <c r="P66" i="26"/>
  <c r="P61" i="26" s="1"/>
  <c r="N66" i="26"/>
  <c r="N61" i="26" s="1"/>
  <c r="Q66" i="26"/>
  <c r="Q61" i="26" s="1"/>
  <c r="O66" i="26"/>
  <c r="O61" i="26" s="1"/>
  <c r="T29" i="26"/>
  <c r="G29" i="11"/>
  <c r="G16" i="1" s="1"/>
  <c r="H16" i="1" s="1"/>
  <c r="P136" i="26"/>
  <c r="P142" i="26" s="1"/>
  <c r="P137" i="26" s="1"/>
  <c r="T10" i="26"/>
  <c r="G10" i="11"/>
  <c r="T105" i="26"/>
  <c r="Q130" i="26"/>
  <c r="M130" i="26"/>
  <c r="S129" i="26"/>
  <c r="T129" i="26" s="1"/>
  <c r="S53" i="26"/>
  <c r="S60" i="26" s="1"/>
  <c r="G11" i="2"/>
  <c r="M61" i="26" l="1"/>
  <c r="N61" i="11" s="1"/>
  <c r="N66" i="11"/>
  <c r="O54" i="11"/>
  <c r="H54" i="11"/>
  <c r="M142" i="26"/>
  <c r="O60" i="11"/>
  <c r="P60" i="11" s="1"/>
  <c r="H60" i="11"/>
  <c r="G12" i="1"/>
  <c r="H12" i="1" s="1"/>
  <c r="I10" i="11"/>
  <c r="T53" i="26"/>
  <c r="G53" i="11"/>
  <c r="G20" i="1" s="1"/>
  <c r="H20" i="1" s="1"/>
  <c r="S54" i="26"/>
  <c r="S130" i="26"/>
  <c r="T130" i="26" s="1"/>
  <c r="S136" i="26"/>
  <c r="T136" i="26" s="1"/>
  <c r="S66" i="26"/>
  <c r="O66" i="11" l="1"/>
  <c r="H66" i="11"/>
  <c r="M137" i="26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O61" i="11" l="1"/>
  <c r="P61" i="11" s="1"/>
  <c r="H61" i="1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R55" i="11" s="1"/>
  <c r="L55" i="25"/>
  <c r="K55" i="25"/>
  <c r="J55" i="25"/>
  <c r="I55" i="25"/>
  <c r="H55" i="25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R40" i="11" s="1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R30" i="11" s="1"/>
  <c r="L30" i="25"/>
  <c r="K30" i="25"/>
  <c r="J30" i="25"/>
  <c r="I30" i="25"/>
  <c r="H30" i="25"/>
  <c r="G30" i="25"/>
  <c r="K30" i="11" s="1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R19" i="11" s="1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R11" i="11" s="1"/>
  <c r="K11" i="25"/>
  <c r="I11" i="25"/>
  <c r="H11" i="25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K40" i="11" l="1"/>
  <c r="K19" i="11"/>
  <c r="L86" i="25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R29" i="11" s="1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R10" i="11" s="1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K29" i="11" l="1"/>
  <c r="K10" i="11"/>
  <c r="J53" i="25"/>
  <c r="N53" i="25"/>
  <c r="I53" i="25"/>
  <c r="R53" i="25"/>
  <c r="R60" i="25" s="1"/>
  <c r="O53" i="25"/>
  <c r="O60" i="25" s="1"/>
  <c r="Q53" i="25"/>
  <c r="Q60" i="25" s="1"/>
  <c r="T87" i="25"/>
  <c r="T95" i="25"/>
  <c r="I129" i="25"/>
  <c r="I135" i="25" s="1"/>
  <c r="I140" i="25" s="1"/>
  <c r="P53" i="25"/>
  <c r="P60" i="25" s="1"/>
  <c r="M53" i="25"/>
  <c r="R53" i="11" s="1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K53" i="11" l="1"/>
  <c r="G60" i="25"/>
  <c r="M54" i="25"/>
  <c r="R54" i="11" s="1"/>
  <c r="M60" i="25"/>
  <c r="R60" i="11" s="1"/>
  <c r="J60" i="25"/>
  <c r="J66" i="25" s="1"/>
  <c r="N54" i="25"/>
  <c r="N60" i="25"/>
  <c r="L54" i="25"/>
  <c r="L60" i="25"/>
  <c r="I54" i="25"/>
  <c r="I60" i="25"/>
  <c r="I66" i="25" s="1"/>
  <c r="O66" i="25"/>
  <c r="O61" i="25" s="1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K60" i="11" l="1"/>
  <c r="L60" i="11" s="1"/>
  <c r="M66" i="25"/>
  <c r="R66" i="11" s="1"/>
  <c r="K54" i="11"/>
  <c r="N66" i="25"/>
  <c r="N61" i="25" s="1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R61" i="11" s="1"/>
  <c r="P61" i="25"/>
  <c r="I136" i="25"/>
  <c r="I61" i="25"/>
  <c r="T53" i="25"/>
  <c r="S54" i="25"/>
  <c r="S66" i="25"/>
  <c r="G61" i="25"/>
  <c r="P19" i="22"/>
  <c r="K66" i="11" l="1"/>
  <c r="R61" i="25"/>
  <c r="Q61" i="25"/>
  <c r="T54" i="25"/>
  <c r="T60" i="25"/>
  <c r="H61" i="25"/>
  <c r="K61" i="11" s="1"/>
  <c r="L61" i="11" s="1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L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S18" i="20" l="1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V320" i="6" s="1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CZ385" i="6"/>
  <c r="DP385" i="6"/>
  <c r="CS350" i="6"/>
  <c r="DA350" i="6"/>
  <c r="CU385" i="6" l="1"/>
  <c r="CY385" i="6"/>
  <c r="DC385" i="6"/>
  <c r="DG385" i="6"/>
  <c r="DK385" i="6"/>
  <c r="DO385" i="6"/>
  <c r="DS385" i="6"/>
  <c r="EB217" i="6"/>
  <c r="DX217" i="6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Q136" i="25"/>
  <c r="R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<sst xmlns="http://schemas.openxmlformats.org/spreadsheetml/2006/main" count="1820" uniqueCount="857">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</sst>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4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166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1.443,9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23,4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256,7 mil. € ili 21,6%.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363,9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33,7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1.292,4 mil. € ili 20,9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128,6 mil. € ili 9,1% dok su u odnosu na isti period 2022. godine veći za 139,0 mil. € ili 12%.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januar-jul 2023. godine zabilježen je suficit budžeta u iznosu od 151,5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2,5% 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450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aktlvnostima finansiranja i ne ulaze u obračun finansijskog rezultata. Iplikacija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2023-07</v>
      </c>
      <c r="O6" s="143" t="str">
        <f>+CONCATENATE(N6,"p")</f>
        <v>2023-07p</v>
      </c>
      <c r="P6" s="130"/>
      <c r="Q6" s="130"/>
      <c r="R6" s="143" t="str">
        <f>+IF(Master!B3-10&gt;=0,CONCATENATE(Master!B4-1,"-",Master!B3),CONCATENATE(Master!B4-1,"-0",Master!B3))</f>
        <v>2022-07</v>
      </c>
      <c r="S6" s="130"/>
      <c r="T6" s="130"/>
    </row>
    <row r="7" spans="1:20">
      <c r="A7" s="144"/>
      <c r="B7" s="525" t="s">
        <v>691</v>
      </c>
      <c r="C7" s="526"/>
      <c r="D7" s="526"/>
      <c r="E7" s="526"/>
      <c r="F7" s="526"/>
      <c r="G7" s="534" t="s">
        <v>690</v>
      </c>
      <c r="H7" s="535"/>
      <c r="I7" s="535"/>
      <c r="J7" s="535"/>
      <c r="K7" s="535"/>
      <c r="L7" s="535"/>
      <c r="M7" s="536"/>
      <c r="N7" s="537" t="str">
        <f>+Master!G243</f>
        <v>Decembar</v>
      </c>
      <c r="O7" s="535"/>
      <c r="P7" s="535"/>
      <c r="Q7" s="535"/>
      <c r="R7" s="535"/>
      <c r="S7" s="535"/>
      <c r="T7" s="538"/>
    </row>
    <row r="8" spans="1:20">
      <c r="A8" s="144"/>
      <c r="B8" s="527"/>
      <c r="C8" s="528"/>
      <c r="D8" s="528"/>
      <c r="E8" s="528"/>
      <c r="F8" s="529"/>
      <c r="G8" s="145" t="str">
        <f>+Master!G26</f>
        <v>Ostvarenje</v>
      </c>
      <c r="H8" s="145" t="str">
        <f>+Master!G25</f>
        <v>Plan</v>
      </c>
      <c r="I8" s="521" t="str">
        <f>+Master!G261</f>
        <v>Odstupanje</v>
      </c>
      <c r="J8" s="521"/>
      <c r="K8" s="145" t="str">
        <f>+CONCATENATE(Master!G246," ",Master!B4-1)</f>
        <v>Jan - Jul 2022</v>
      </c>
      <c r="L8" s="521" t="str">
        <f>+I8</f>
        <v>Odstupanje</v>
      </c>
      <c r="M8" s="533"/>
      <c r="N8" s="146" t="str">
        <f>+G8</f>
        <v>Ostvarenje</v>
      </c>
      <c r="O8" s="145" t="str">
        <f>+H8</f>
        <v>Plan</v>
      </c>
      <c r="P8" s="521" t="str">
        <f>+I8</f>
        <v>Odstupanje</v>
      </c>
      <c r="Q8" s="521"/>
      <c r="R8" s="145" t="str">
        <f>+CONCATENATE(Master!G245," ",Master!B4-1)</f>
        <v>Jul 2022</v>
      </c>
      <c r="S8" s="521" t="str">
        <f>+P8</f>
        <v>Odstupanje</v>
      </c>
      <c r="T8" s="522"/>
    </row>
    <row r="9" spans="1:20" ht="15.7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69" t="str">
        <f>+VLOOKUP($A11,Master!$D$30:$G$226,4,FALSE)</f>
        <v>Porezi</v>
      </c>
      <c r="C11" s="570"/>
      <c r="D11" s="570"/>
      <c r="E11" s="570"/>
      <c r="F11" s="570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55" t="str">
        <f>+VLOOKUP($A12,Master!$D$30:$G$226,4,FALSE)</f>
        <v>Porez na dohodak fizičkih lica</v>
      </c>
      <c r="C12" s="556"/>
      <c r="D12" s="556"/>
      <c r="E12" s="556"/>
      <c r="F12" s="55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55" t="str">
        <f>+VLOOKUP($A13,Master!$D$30:$G$226,4,FALSE)</f>
        <v>Porez na dobit pravnih lica</v>
      </c>
      <c r="C13" s="556"/>
      <c r="D13" s="556"/>
      <c r="E13" s="556"/>
      <c r="F13" s="55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55" t="str">
        <f>+VLOOKUP($A14,Master!$D$30:$G$226,4,FALSE)</f>
        <v>Porez na promet nepokretnosti</v>
      </c>
      <c r="C14" s="556"/>
      <c r="D14" s="556"/>
      <c r="E14" s="556"/>
      <c r="F14" s="55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55" t="str">
        <f>+VLOOKUP($A15,Master!$D$30:$G$226,4,FALSE)</f>
        <v>Porez na dodatu vrijednost</v>
      </c>
      <c r="C15" s="556"/>
      <c r="D15" s="556"/>
      <c r="E15" s="556"/>
      <c r="F15" s="55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55" t="str">
        <f>+VLOOKUP($A16,Master!$D$30:$G$226,4,FALSE)</f>
        <v>Akcize</v>
      </c>
      <c r="C16" s="556"/>
      <c r="D16" s="556"/>
      <c r="E16" s="556"/>
      <c r="F16" s="55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55" t="str">
        <f>+VLOOKUP($A17,Master!$D$30:$G$226,4,FALSE)</f>
        <v>Porez na međunarodnu trgovinu i transakcije</v>
      </c>
      <c r="C17" s="556"/>
      <c r="D17" s="556"/>
      <c r="E17" s="556"/>
      <c r="F17" s="55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55" t="e">
        <f>+VLOOKUP($A18,Master!$D$30:$G$226,4,FALSE)</f>
        <v>#N/A</v>
      </c>
      <c r="C18" s="556"/>
      <c r="D18" s="556"/>
      <c r="E18" s="556"/>
      <c r="F18" s="55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55" t="str">
        <f>+VLOOKUP($A19,Master!$D$30:$G$226,4,FALSE)</f>
        <v>Ostali državni porezi</v>
      </c>
      <c r="C19" s="556"/>
      <c r="D19" s="556"/>
      <c r="E19" s="556"/>
      <c r="F19" s="55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65" t="str">
        <f>+VLOOKUP($A20,Master!$D$30:$G$226,4,FALSE)</f>
        <v>Doprinosi</v>
      </c>
      <c r="C20" s="566"/>
      <c r="D20" s="566"/>
      <c r="E20" s="566"/>
      <c r="F20" s="566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55" t="str">
        <f>+VLOOKUP($A21,Master!$D$30:$G$226,4,FALSE)</f>
        <v>Doprinosi za penzijsko i invalidsko osiguranje</v>
      </c>
      <c r="C21" s="556"/>
      <c r="D21" s="556"/>
      <c r="E21" s="556"/>
      <c r="F21" s="55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55" t="str">
        <f>+VLOOKUP($A22,Master!$D$30:$G$226,4,FALSE)</f>
        <v>Doprinosi za zdravstveno osiguranje</v>
      </c>
      <c r="C22" s="556"/>
      <c r="D22" s="556"/>
      <c r="E22" s="556"/>
      <c r="F22" s="55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55" t="str">
        <f>+VLOOKUP($A23,Master!$D$30:$G$226,4,FALSE)</f>
        <v>Doprinosi za osiguranje od nezaposlenosti</v>
      </c>
      <c r="C23" s="556"/>
      <c r="D23" s="556"/>
      <c r="E23" s="556"/>
      <c r="F23" s="55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55" t="str">
        <f>+VLOOKUP($A24,Master!$D$30:$G$226,4,FALSE)</f>
        <v>Ostali doprinosi</v>
      </c>
      <c r="C24" s="556"/>
      <c r="D24" s="556"/>
      <c r="E24" s="556"/>
      <c r="F24" s="55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57" t="str">
        <f>+VLOOKUP($A25,Master!$D$30:$G$226,4,FALSE)</f>
        <v>Takse</v>
      </c>
      <c r="C25" s="558"/>
      <c r="D25" s="558"/>
      <c r="E25" s="558"/>
      <c r="F25" s="55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57" t="str">
        <f>+VLOOKUP($A26,Master!$D$30:$G$226,4,FALSE)</f>
        <v>Naknade</v>
      </c>
      <c r="C26" s="558"/>
      <c r="D26" s="558"/>
      <c r="E26" s="558"/>
      <c r="F26" s="55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57" t="str">
        <f>+VLOOKUP($A27,Master!$D$30:$G$226,4,FALSE)</f>
        <v>Ostali prihodi</v>
      </c>
      <c r="C27" s="558"/>
      <c r="D27" s="558"/>
      <c r="E27" s="558"/>
      <c r="F27" s="55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57" t="str">
        <f>+VLOOKUP($A28,Master!$D$30:$G$226,4,FALSE)</f>
        <v>Primici od otplate kredita i sredstva prenesena iz prethodne godine</v>
      </c>
      <c r="C28" s="558"/>
      <c r="D28" s="558"/>
      <c r="E28" s="558"/>
      <c r="F28" s="55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59" t="str">
        <f>+VLOOKUP($A29,Master!$D$30:$G$226,4,FALSE)</f>
        <v>Donacije i transferi</v>
      </c>
      <c r="C29" s="560"/>
      <c r="D29" s="560"/>
      <c r="E29" s="560"/>
      <c r="F29" s="560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45" t="str">
        <f>+VLOOKUP($A30,Master!$D$30:$G$226,4,FALSE)</f>
        <v>Izdaci budžeta</v>
      </c>
      <c r="C30" s="546"/>
      <c r="D30" s="546"/>
      <c r="E30" s="546"/>
      <c r="F30" s="546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61" t="str">
        <f>+VLOOKUP($A31,Master!$D$30:$G$226,4,FALSE)</f>
        <v>Tekući izdaci</v>
      </c>
      <c r="C31" s="562"/>
      <c r="D31" s="562"/>
      <c r="E31" s="562"/>
      <c r="F31" s="562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63" t="str">
        <f>+VLOOKUP($A32,Master!$D$30:$G$226,4,FALSE)</f>
        <v>Tekuća budžetska potrošnja</v>
      </c>
      <c r="C32" s="564"/>
      <c r="D32" s="564"/>
      <c r="E32" s="564"/>
      <c r="F32" s="564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55" t="str">
        <f>+VLOOKUP($A33,Master!$D$30:$G$226,4,FALSE)</f>
        <v>Bruto zarade i doprinosi na teret poslodavca</v>
      </c>
      <c r="C33" s="556"/>
      <c r="D33" s="556"/>
      <c r="E33" s="556"/>
      <c r="F33" s="55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55" t="str">
        <f>+VLOOKUP($A34,Master!$D$30:$G$226,4,FALSE)</f>
        <v>Ostala lična primanja</v>
      </c>
      <c r="C34" s="556"/>
      <c r="D34" s="556"/>
      <c r="E34" s="556"/>
      <c r="F34" s="55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55" t="str">
        <f>+VLOOKUP($A35,Master!$D$30:$G$226,4,FALSE)</f>
        <v>Rashodi za materijal</v>
      </c>
      <c r="C35" s="556"/>
      <c r="D35" s="556"/>
      <c r="E35" s="556"/>
      <c r="F35" s="55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55" t="str">
        <f>+VLOOKUP($A36,Master!$D$30:$G$226,4,FALSE)</f>
        <v>Rashodi za usluge</v>
      </c>
      <c r="C36" s="556"/>
      <c r="D36" s="556"/>
      <c r="E36" s="556"/>
      <c r="F36" s="55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55" t="str">
        <f>+VLOOKUP($A37,Master!$D$30:$G$226,4,FALSE)</f>
        <v>Rashodi za tekuće održavanje</v>
      </c>
      <c r="C37" s="556"/>
      <c r="D37" s="556"/>
      <c r="E37" s="556"/>
      <c r="F37" s="55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55" t="str">
        <f>+VLOOKUP($A38,Master!$D$30:$G$226,4,FALSE)</f>
        <v>Kamate</v>
      </c>
      <c r="C38" s="556"/>
      <c r="D38" s="556"/>
      <c r="E38" s="556"/>
      <c r="F38" s="55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55" t="str">
        <f>+VLOOKUP($A39,Master!$D$30:$G$226,4,FALSE)</f>
        <v>Renta</v>
      </c>
      <c r="C39" s="556"/>
      <c r="D39" s="556"/>
      <c r="E39" s="556"/>
      <c r="F39" s="55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55" t="str">
        <f>+VLOOKUP($A40,Master!$D$30:$G$226,4,FALSE)</f>
        <v>Subvencije</v>
      </c>
      <c r="C40" s="556"/>
      <c r="D40" s="556"/>
      <c r="E40" s="556"/>
      <c r="F40" s="55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55" t="str">
        <f>+VLOOKUP($A41,Master!$D$30:$G$226,4,FALSE)</f>
        <v>Ostali izdaci</v>
      </c>
      <c r="C41" s="556"/>
      <c r="D41" s="556"/>
      <c r="E41" s="556"/>
      <c r="F41" s="55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55" t="e">
        <f>+VLOOKUP($A42,Master!$D$30:$G$226,4,FALSE)</f>
        <v>#N/A</v>
      </c>
      <c r="C42" s="556"/>
      <c r="D42" s="556"/>
      <c r="E42" s="556"/>
      <c r="F42" s="55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51" t="str">
        <f>+VLOOKUP($A43,Master!$D$30:$G$226,4,FALSE)</f>
        <v>Transferi za socijalnu zaštitu</v>
      </c>
      <c r="C43" s="552"/>
      <c r="D43" s="552"/>
      <c r="E43" s="552"/>
      <c r="F43" s="55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55" t="str">
        <f>+VLOOKUP($A44,Master!$D$30:$G$226,4,FALSE)</f>
        <v>Prava iz oblasti socijalne zaštite</v>
      </c>
      <c r="C44" s="556"/>
      <c r="D44" s="556"/>
      <c r="E44" s="556"/>
      <c r="F44" s="55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55" t="str">
        <f>+VLOOKUP($A45,Master!$D$30:$G$226,4,FALSE)</f>
        <v>Sredstva za tehnološke viškove</v>
      </c>
      <c r="C45" s="556"/>
      <c r="D45" s="556"/>
      <c r="E45" s="556"/>
      <c r="F45" s="55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55" t="str">
        <f>+VLOOKUP($A46,Master!$D$30:$G$226,4,FALSE)</f>
        <v>Prava iz oblasti penzijskog i invalidskog osiguranja</v>
      </c>
      <c r="C46" s="556"/>
      <c r="D46" s="556"/>
      <c r="E46" s="556"/>
      <c r="F46" s="55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55" t="str">
        <f>+VLOOKUP($A47,Master!$D$30:$G$226,4,FALSE)</f>
        <v>Ostala prava iz oblasti zdravstvene zaštite</v>
      </c>
      <c r="C47" s="556"/>
      <c r="D47" s="556"/>
      <c r="E47" s="556"/>
      <c r="F47" s="55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55" t="str">
        <f>+VLOOKUP($A48,Master!$D$30:$G$226,4,FALSE)</f>
        <v>Ostala prava iz zdravstvenog osiguranja</v>
      </c>
      <c r="C48" s="556"/>
      <c r="D48" s="556"/>
      <c r="E48" s="556"/>
      <c r="F48" s="55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53" t="str">
        <f>+VLOOKUP($A49,Master!$D$30:$G$226,4,FALSE)</f>
        <v xml:space="preserve">Transferi institucijama, pojedincima, nevladinom i javnom sektoru </v>
      </c>
      <c r="C49" s="554"/>
      <c r="D49" s="554"/>
      <c r="E49" s="554"/>
      <c r="F49" s="55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53" t="str">
        <f>+VLOOKUP($A50,Master!$D$30:$G$226,4,FALSE)</f>
        <v>Kapitalni izdaci</v>
      </c>
      <c r="C50" s="554"/>
      <c r="D50" s="554"/>
      <c r="E50" s="554"/>
      <c r="F50" s="55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3" t="str">
        <f>+VLOOKUP($A51,Master!$D$30:$G$226,4,FALSE)</f>
        <v>Pozajmice i krediti</v>
      </c>
      <c r="C51" s="524"/>
      <c r="D51" s="524"/>
      <c r="E51" s="524"/>
      <c r="F51" s="52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3" t="str">
        <f>+VLOOKUP($A52,Master!$D$30:$G$226,4,FALSE)</f>
        <v>Rezerve</v>
      </c>
      <c r="C52" s="524"/>
      <c r="D52" s="524"/>
      <c r="E52" s="524"/>
      <c r="F52" s="52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41" t="str">
        <f>+VLOOKUP($A53,Master!$D$30:$G$226,4,FALSE)</f>
        <v>Otplata garancija</v>
      </c>
      <c r="C53" s="542"/>
      <c r="D53" s="542"/>
      <c r="E53" s="542"/>
      <c r="F53" s="542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41" t="str">
        <f>+VLOOKUP($A54,Master!$D$30:$G$226,4,FALSE)</f>
        <v>Otplata obaveza iz prethodnog perioda</v>
      </c>
      <c r="C54" s="542"/>
      <c r="D54" s="542"/>
      <c r="E54" s="542"/>
      <c r="F54" s="542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41" t="str">
        <f>+VLOOKUP($A55,Master!$D$30:$G$228,4,FALSE)</f>
        <v>Neto povećanje obaveza</v>
      </c>
      <c r="C55" s="542"/>
      <c r="D55" s="542"/>
      <c r="E55" s="542"/>
      <c r="F55" s="542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7" t="str">
        <f>+VLOOKUP($A56,Master!$D$30:$G$226,4,FALSE)</f>
        <v>Suficit / deficit</v>
      </c>
      <c r="C56" s="548"/>
      <c r="D56" s="548"/>
      <c r="E56" s="548"/>
      <c r="F56" s="54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9" t="str">
        <f>+VLOOKUP($A57,Master!$D$30:$G$226,4,FALSE)</f>
        <v>Primarni suficit/deficit</v>
      </c>
      <c r="C57" s="550"/>
      <c r="D57" s="550"/>
      <c r="E57" s="550"/>
      <c r="F57" s="55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51" t="str">
        <f>+VLOOKUP($A58,Master!$D$30:$G$226,4,FALSE)</f>
        <v>Otplata dugova</v>
      </c>
      <c r="C58" s="552"/>
      <c r="D58" s="552"/>
      <c r="E58" s="552"/>
      <c r="F58" s="55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39" t="str">
        <f>+VLOOKUP($A59,Master!$D$30:$G$226,4,FALSE)</f>
        <v>Otplata hartija od vrijednosti i kredita rezidentima</v>
      </c>
      <c r="C59" s="540"/>
      <c r="D59" s="540"/>
      <c r="E59" s="540"/>
      <c r="F59" s="540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3" t="str">
        <f>+VLOOKUP($A60,Master!$D$30:$G$226,4,FALSE)</f>
        <v>Otplata hartija od vrijednosti i kredita nerezidentima</v>
      </c>
      <c r="C60" s="524"/>
      <c r="D60" s="524"/>
      <c r="E60" s="524"/>
      <c r="F60" s="52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43" t="str">
        <f>+VLOOKUP($A62,Master!$D$30:$G$226,4,FALSE)</f>
        <v>Nedostajuća sredstva</v>
      </c>
      <c r="C62" s="544"/>
      <c r="D62" s="544"/>
      <c r="E62" s="544"/>
      <c r="F62" s="54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45" t="str">
        <f>+VLOOKUP($A63,Master!$D$30:$G$226,4,FALSE)</f>
        <v>Finansiranje</v>
      </c>
      <c r="C63" s="546"/>
      <c r="D63" s="546"/>
      <c r="E63" s="546"/>
      <c r="F63" s="546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39" t="str">
        <f>+VLOOKUP($A64,Master!$D$30:$G$226,4,FALSE)</f>
        <v>Pozajmice i krediti od domaćih izvora</v>
      </c>
      <c r="C64" s="540"/>
      <c r="D64" s="540"/>
      <c r="E64" s="540"/>
      <c r="F64" s="540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3" t="str">
        <f>+VLOOKUP($A65,Master!$D$30:$G$226,4,FALSE)</f>
        <v>Pozajmice i krediti od inostranih izvora</v>
      </c>
      <c r="C65" s="524"/>
      <c r="D65" s="524"/>
      <c r="E65" s="524"/>
      <c r="F65" s="52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3" t="str">
        <f>+VLOOKUP($A66,Master!$D$30:$G$226,4,FALSE)</f>
        <v>Primici od prodaje imovine</v>
      </c>
      <c r="C66" s="524"/>
      <c r="D66" s="524"/>
      <c r="E66" s="524"/>
      <c r="F66" s="52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40" t="s">
        <v>554</v>
      </c>
      <c r="F6" s="637">
        <v>2006</v>
      </c>
      <c r="G6" s="638"/>
      <c r="H6" s="638"/>
      <c r="I6" s="638"/>
      <c r="J6" s="638"/>
      <c r="K6" s="638"/>
      <c r="L6" s="638"/>
      <c r="M6" s="638"/>
      <c r="N6" s="638"/>
      <c r="O6" s="638"/>
      <c r="P6" s="638"/>
      <c r="Q6" s="639"/>
      <c r="R6" s="637">
        <v>2007</v>
      </c>
      <c r="S6" s="638"/>
      <c r="T6" s="638"/>
      <c r="U6" s="638"/>
      <c r="V6" s="638"/>
      <c r="W6" s="638"/>
      <c r="X6" s="638"/>
      <c r="Y6" s="638"/>
      <c r="Z6" s="638"/>
      <c r="AA6" s="638"/>
      <c r="AB6" s="638"/>
      <c r="AC6" s="639"/>
      <c r="AD6" s="637">
        <v>2008</v>
      </c>
      <c r="AE6" s="638"/>
      <c r="AF6" s="638"/>
      <c r="AG6" s="638"/>
      <c r="AH6" s="638"/>
      <c r="AI6" s="638"/>
      <c r="AJ6" s="638"/>
      <c r="AK6" s="638"/>
      <c r="AL6" s="638"/>
      <c r="AM6" s="638"/>
      <c r="AN6" s="638"/>
      <c r="AO6" s="639"/>
      <c r="AP6" s="637">
        <v>2009</v>
      </c>
      <c r="AQ6" s="638"/>
      <c r="AR6" s="638"/>
      <c r="AS6" s="638"/>
      <c r="AT6" s="638"/>
      <c r="AU6" s="638"/>
      <c r="AV6" s="638"/>
      <c r="AW6" s="638"/>
      <c r="AX6" s="638"/>
      <c r="AY6" s="638"/>
      <c r="AZ6" s="638"/>
      <c r="BA6" s="639"/>
      <c r="BB6" s="637">
        <v>2010</v>
      </c>
      <c r="BC6" s="638"/>
      <c r="BD6" s="638"/>
      <c r="BE6" s="638"/>
      <c r="BF6" s="638"/>
      <c r="BG6" s="638"/>
      <c r="BH6" s="638"/>
      <c r="BI6" s="638"/>
      <c r="BJ6" s="638"/>
      <c r="BK6" s="638"/>
      <c r="BL6" s="638"/>
      <c r="BM6" s="639"/>
      <c r="BN6" s="637">
        <v>2011</v>
      </c>
      <c r="BO6" s="638"/>
      <c r="BP6" s="638"/>
      <c r="BQ6" s="638"/>
      <c r="BR6" s="638"/>
      <c r="BS6" s="638"/>
      <c r="BT6" s="638"/>
      <c r="BU6" s="638"/>
      <c r="BV6" s="638"/>
      <c r="BW6" s="638"/>
      <c r="BX6" s="638"/>
      <c r="BY6" s="639"/>
      <c r="BZ6" s="638">
        <v>2012</v>
      </c>
      <c r="CA6" s="638"/>
      <c r="CB6" s="638"/>
      <c r="CC6" s="638"/>
      <c r="CD6" s="638"/>
      <c r="CE6" s="638"/>
      <c r="CF6" s="638"/>
      <c r="CG6" s="638"/>
      <c r="CH6" s="638"/>
      <c r="CI6" s="638"/>
      <c r="CJ6" s="638"/>
      <c r="CK6" s="638"/>
      <c r="CL6" s="637">
        <v>2013</v>
      </c>
      <c r="CM6" s="638"/>
      <c r="CN6" s="638"/>
      <c r="CO6" s="638"/>
      <c r="CP6" s="638"/>
      <c r="CQ6" s="638"/>
      <c r="CR6" s="638"/>
      <c r="CS6" s="638"/>
      <c r="CT6" s="638"/>
      <c r="CU6" s="638"/>
      <c r="CV6" s="638"/>
      <c r="CW6" s="639"/>
      <c r="CX6" s="637">
        <v>2014</v>
      </c>
      <c r="CY6" s="638"/>
      <c r="CZ6" s="638"/>
      <c r="DA6" s="638"/>
      <c r="DB6" s="638"/>
      <c r="DC6" s="638"/>
      <c r="DD6" s="638"/>
      <c r="DE6" s="638"/>
      <c r="DF6" s="638"/>
      <c r="DG6" s="638"/>
      <c r="DH6" s="638"/>
      <c r="DI6" s="639"/>
      <c r="DJ6" s="637">
        <v>2015</v>
      </c>
      <c r="DK6" s="638"/>
      <c r="DL6" s="638"/>
      <c r="DM6" s="638"/>
      <c r="DN6" s="638"/>
      <c r="DO6" s="638"/>
      <c r="DP6" s="638"/>
      <c r="DQ6" s="638"/>
      <c r="DR6" s="638"/>
      <c r="DS6" s="638"/>
      <c r="DT6" s="638"/>
      <c r="DU6" s="639"/>
    </row>
    <row r="7" spans="1:321">
      <c r="E7" s="64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40" t="s">
        <v>675</v>
      </c>
      <c r="F214" s="637">
        <v>2006</v>
      </c>
      <c r="G214" s="638"/>
      <c r="H214" s="638"/>
      <c r="I214" s="638"/>
      <c r="J214" s="638"/>
      <c r="K214" s="638"/>
      <c r="L214" s="638"/>
      <c r="M214" s="638"/>
      <c r="N214" s="638"/>
      <c r="O214" s="638"/>
      <c r="P214" s="638"/>
      <c r="Q214" s="639"/>
      <c r="R214" s="637">
        <v>2007</v>
      </c>
      <c r="S214" s="638"/>
      <c r="T214" s="638"/>
      <c r="U214" s="638"/>
      <c r="V214" s="638"/>
      <c r="W214" s="638"/>
      <c r="X214" s="638"/>
      <c r="Y214" s="638"/>
      <c r="Z214" s="638"/>
      <c r="AA214" s="638"/>
      <c r="AB214" s="638"/>
      <c r="AC214" s="639"/>
      <c r="AD214" s="637">
        <v>2008</v>
      </c>
      <c r="AE214" s="638"/>
      <c r="AF214" s="638"/>
      <c r="AG214" s="638"/>
      <c r="AH214" s="638"/>
      <c r="AI214" s="638"/>
      <c r="AJ214" s="638"/>
      <c r="AK214" s="638"/>
      <c r="AL214" s="638"/>
      <c r="AM214" s="638"/>
      <c r="AN214" s="638"/>
      <c r="AO214" s="639"/>
      <c r="AP214" s="637">
        <v>2009</v>
      </c>
      <c r="AQ214" s="638"/>
      <c r="AR214" s="638"/>
      <c r="AS214" s="638"/>
      <c r="AT214" s="638"/>
      <c r="AU214" s="638"/>
      <c r="AV214" s="638"/>
      <c r="AW214" s="638"/>
      <c r="AX214" s="638"/>
      <c r="AY214" s="638"/>
      <c r="AZ214" s="638"/>
      <c r="BA214" s="639"/>
      <c r="BB214" s="637">
        <v>2010</v>
      </c>
      <c r="BC214" s="638"/>
      <c r="BD214" s="638"/>
      <c r="BE214" s="638"/>
      <c r="BF214" s="638"/>
      <c r="BG214" s="638"/>
      <c r="BH214" s="638"/>
      <c r="BI214" s="638"/>
      <c r="BJ214" s="638"/>
      <c r="BK214" s="638"/>
      <c r="BL214" s="638"/>
      <c r="BM214" s="639"/>
      <c r="BN214" s="637">
        <v>2011</v>
      </c>
      <c r="BO214" s="638"/>
      <c r="BP214" s="638"/>
      <c r="BQ214" s="638"/>
      <c r="BR214" s="638"/>
      <c r="BS214" s="638"/>
      <c r="BT214" s="638"/>
      <c r="BU214" s="638"/>
      <c r="BV214" s="638"/>
      <c r="BW214" s="638"/>
      <c r="BX214" s="638"/>
      <c r="BY214" s="639"/>
      <c r="BZ214" s="638">
        <v>2012</v>
      </c>
      <c r="CA214" s="638"/>
      <c r="CB214" s="638"/>
      <c r="CC214" s="638"/>
      <c r="CD214" s="638"/>
      <c r="CE214" s="638"/>
      <c r="CF214" s="638"/>
      <c r="CG214" s="638"/>
      <c r="CH214" s="638"/>
      <c r="CI214" s="638"/>
      <c r="CJ214" s="638"/>
      <c r="CK214" s="638"/>
      <c r="CL214" s="637">
        <v>2013</v>
      </c>
      <c r="CM214" s="638"/>
      <c r="CN214" s="638"/>
      <c r="CO214" s="638"/>
      <c r="CP214" s="638"/>
      <c r="CQ214" s="638"/>
      <c r="CR214" s="638"/>
      <c r="CS214" s="638"/>
      <c r="CT214" s="638"/>
      <c r="CU214" s="638"/>
      <c r="CV214" s="638"/>
      <c r="CW214" s="639"/>
      <c r="CX214" s="637">
        <v>2014</v>
      </c>
      <c r="CY214" s="638"/>
      <c r="CZ214" s="638"/>
      <c r="DA214" s="638"/>
      <c r="DB214" s="638"/>
      <c r="DC214" s="638"/>
      <c r="DD214" s="638"/>
      <c r="DE214" s="638"/>
      <c r="DF214" s="638"/>
      <c r="DG214" s="638"/>
      <c r="DH214" s="638"/>
      <c r="DI214" s="639"/>
      <c r="DJ214" s="637">
        <v>2015</v>
      </c>
      <c r="DK214" s="638"/>
      <c r="DL214" s="638"/>
      <c r="DM214" s="638"/>
      <c r="DN214" s="638"/>
      <c r="DO214" s="638"/>
      <c r="DP214" s="638"/>
      <c r="DQ214" s="638"/>
      <c r="DR214" s="638"/>
      <c r="DS214" s="638"/>
      <c r="DT214" s="638"/>
      <c r="DU214" s="639"/>
    </row>
    <row r="215" spans="1:187">
      <c r="E215" s="640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Jul</v>
      </c>
    </row>
    <row r="246" spans="4:7">
      <c r="D246" s="49"/>
      <c r="E246" s="9"/>
      <c r="F246" s="10"/>
      <c r="G246" s="52" t="str">
        <f>+CONCATENATE("Jan - ",LEFT(G245,3))</f>
        <v>Jan - Jul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Jul</v>
      </c>
      <c r="F254" s="10" t="str">
        <f>+CONCATENATE("Analytics for period ",G246)</f>
        <v>Analytics for period Jan - Jul</v>
      </c>
      <c r="G254" s="52" t="str">
        <f>+IF(ISBLANK(IF($B$2=1,E254,F254)),"",IF($B$2=1,E254,F254))</f>
        <v>Analitika za period Jan - Jul</v>
      </c>
    </row>
    <row r="255" spans="4:7">
      <c r="D255" s="46"/>
      <c r="E255" s="9" t="str">
        <f>+CONCATENATE("Analitika za period ",G245)</f>
        <v>Analitika za period Jul</v>
      </c>
      <c r="F255" s="10" t="str">
        <f>+CONCATENATE("Analytics for period ",G245)</f>
        <v>Analytics for period Jul</v>
      </c>
      <c r="G255" s="52" t="str">
        <f>+IF(ISBLANK(IF($B$2=1,E255,F255)),"",IF($B$2=1,E255,F255))</f>
        <v>Analitika za period Jul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Jul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Jul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Jul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Jul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Jul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Jul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D12" sqref="D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Jul</v>
      </c>
      <c r="E11" s="135"/>
      <c r="F11" s="135"/>
      <c r="G11" s="137" t="str">
        <f>+Master!G274</f>
        <v>Prihodi za period Januar - Jul</v>
      </c>
      <c r="H11" s="135"/>
      <c r="I11" s="135"/>
      <c r="J11" s="135"/>
      <c r="K11" s="136"/>
    </row>
    <row r="12" spans="3:11">
      <c r="C12" s="134"/>
      <c r="D12" s="138">
        <f>+'Analitika 2023'!N10</f>
        <v>207453149.96000004</v>
      </c>
      <c r="E12" s="454">
        <f>+D12/'2023'!T7</f>
        <v>3.3597828192919385E-2</v>
      </c>
      <c r="F12" s="135"/>
      <c r="G12" s="138">
        <f>+'Analitika 2023'!G10</f>
        <v>1443860394.22</v>
      </c>
      <c r="H12" s="454">
        <f>+G12/'2023'!T7</f>
        <v>0.2338386930683769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Jul</v>
      </c>
      <c r="E15" s="135"/>
      <c r="F15" s="135"/>
      <c r="G15" s="137" t="str">
        <f>+Master!G275</f>
        <v>Rashodi za period Januar - Jul</v>
      </c>
      <c r="H15" s="135"/>
      <c r="I15" s="135"/>
      <c r="J15" s="135"/>
      <c r="K15" s="136"/>
    </row>
    <row r="16" spans="3:11">
      <c r="C16" s="134"/>
      <c r="D16" s="138">
        <f>+'Analitika 2023'!N29</f>
        <v>223799501.98999995</v>
      </c>
      <c r="E16" s="454">
        <f>+D16/'2023'!T7</f>
        <v>3.624518219641757E-2</v>
      </c>
      <c r="F16" s="135"/>
      <c r="G16" s="138">
        <f>+'Analitika 2023'!G29</f>
        <v>1292381054.5899997</v>
      </c>
      <c r="H16" s="454">
        <f>+G16/'2023'!T7</f>
        <v>0.20930603676189546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Jul</v>
      </c>
      <c r="E19" s="135"/>
      <c r="F19" s="135"/>
      <c r="G19" s="137" t="str">
        <f>+Master!G276</f>
        <v>Suficit/Deficit za period Januar - Jul</v>
      </c>
      <c r="H19" s="135"/>
      <c r="I19" s="135"/>
      <c r="J19" s="135"/>
      <c r="K19" s="136"/>
    </row>
    <row r="20" spans="3:12">
      <c r="C20" s="134"/>
      <c r="D20" s="138">
        <f>+'Analitika 2023'!N53</f>
        <v>-16346352.029999912</v>
      </c>
      <c r="E20" s="454">
        <f>+D20/'2023'!T7</f>
        <v>-2.6473540034981881E-3</v>
      </c>
      <c r="F20" s="135"/>
      <c r="G20" s="138">
        <f>+'Analitika 2023'!G53</f>
        <v>151479339.63000023</v>
      </c>
      <c r="H20" s="454">
        <f>+G20/'2023'!T7</f>
        <v>2.453265630648143E-2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x0z5FxFxFFxDK1F98FkkmDefrblUgnPpa/hdB6l+STlFmrNH9QQKWQ1M9EBsjFIVlzjQrji/QsLpK5m2k4PNBQ==" saltValue="auQaLaUoSSI0pnaldoFlD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2023-07</v>
      </c>
      <c r="O6" s="143" t="str">
        <f>+CONCATENATE(N6,"p")</f>
        <v>2023-07p</v>
      </c>
      <c r="P6" s="130"/>
      <c r="Q6" s="130"/>
      <c r="R6" s="143" t="str">
        <f>+IF(Master!B3-10&gt;=0,CONCATENATE(Master!B4-1,"-",Master!B3),CONCATENATE(Master!B4-1,"-0",Master!B3))</f>
        <v>2022-07</v>
      </c>
      <c r="S6" s="130"/>
      <c r="T6" s="130"/>
    </row>
    <row r="7" spans="1:25" ht="14.25" customHeight="1">
      <c r="A7" s="144"/>
      <c r="B7" s="525" t="str">
        <f>+Master!G254</f>
        <v>Analitika za period Jan - Jul</v>
      </c>
      <c r="C7" s="526"/>
      <c r="D7" s="526"/>
      <c r="E7" s="526"/>
      <c r="F7" s="526"/>
      <c r="G7" s="534" t="str">
        <f>+Master!G246</f>
        <v>Jan - Jul</v>
      </c>
      <c r="H7" s="535"/>
      <c r="I7" s="535"/>
      <c r="J7" s="535"/>
      <c r="K7" s="535"/>
      <c r="L7" s="535"/>
      <c r="M7" s="538"/>
      <c r="N7" s="535" t="str">
        <f>+Master!G245</f>
        <v>Jul</v>
      </c>
      <c r="O7" s="535"/>
      <c r="P7" s="535"/>
      <c r="Q7" s="535"/>
      <c r="R7" s="535"/>
      <c r="S7" s="535"/>
      <c r="T7" s="538"/>
    </row>
    <row r="8" spans="1:25" ht="29.25" customHeight="1">
      <c r="A8" s="144"/>
      <c r="B8" s="527"/>
      <c r="C8" s="528"/>
      <c r="D8" s="528"/>
      <c r="E8" s="528"/>
      <c r="F8" s="529"/>
      <c r="G8" s="515" t="str">
        <f>+Master!G26</f>
        <v>Ostvarenje</v>
      </c>
      <c r="H8" s="356" t="str">
        <f>+Master!G25</f>
        <v>Plan</v>
      </c>
      <c r="I8" s="521" t="str">
        <f>+Master!G261</f>
        <v>Odstupanje</v>
      </c>
      <c r="J8" s="521"/>
      <c r="K8" s="145" t="str">
        <f>+CONCATENATE(Master!G246," ",Master!B4-1)</f>
        <v>Jan - Jul 2022</v>
      </c>
      <c r="L8" s="521" t="str">
        <f>+I8</f>
        <v>Odstupanje</v>
      </c>
      <c r="M8" s="522"/>
      <c r="N8" s="515" t="str">
        <f>+G8</f>
        <v>Ostvarenje</v>
      </c>
      <c r="O8" s="145" t="str">
        <f>+H8</f>
        <v>Plan</v>
      </c>
      <c r="P8" s="521" t="str">
        <f>+I8</f>
        <v>Odstupanje</v>
      </c>
      <c r="Q8" s="521"/>
      <c r="R8" s="145" t="str">
        <f>+CONCATENATE(Master!G245," ",Master!B4-1)</f>
        <v>Jul 2022</v>
      </c>
      <c r="S8" s="521" t="str">
        <f>+P8</f>
        <v>Odstupanje</v>
      </c>
      <c r="T8" s="522"/>
    </row>
    <row r="9" spans="1:25" ht="15.75" thickBot="1">
      <c r="A9" s="144"/>
      <c r="B9" s="530"/>
      <c r="C9" s="531"/>
      <c r="D9" s="531"/>
      <c r="E9" s="531"/>
      <c r="F9" s="532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45" t="str">
        <f>+VLOOKUP($A10,Master!$D$30:$G$226,4,FALSE)</f>
        <v>Prihodi budžeta</v>
      </c>
      <c r="C10" s="546"/>
      <c r="D10" s="546"/>
      <c r="E10" s="546"/>
      <c r="F10" s="546"/>
      <c r="G10" s="151">
        <f>'2023'!S10</f>
        <v>1443860394.22</v>
      </c>
      <c r="H10" s="151">
        <f>SUM('2023'!G86:M86)</f>
        <v>1187208470.5548687</v>
      </c>
      <c r="I10" s="152">
        <f>+G10-H10</f>
        <v>256651923.66513133</v>
      </c>
      <c r="J10" s="154">
        <f>IF(+IF(ISERROR(G10/H10),"…",G10/H10-1)&gt;200%,"...",IF(ISERROR(G10/H10),"…",G10/H10-1))</f>
        <v>0.21618100782685556</v>
      </c>
      <c r="K10" s="151">
        <f>SUM('2022'!G10:M10)</f>
        <v>1079946507.6199999</v>
      </c>
      <c r="L10" s="152">
        <f>+G10-K10</f>
        <v>363913886.60000014</v>
      </c>
      <c r="M10" s="156">
        <f>IF(+IF(ISERROR(G10/K10),"…",G10/K10-1)&gt;200%,"...",IF(ISERROR(G10/K10),"…",G10/K10-1))</f>
        <v>0.33697399272302686</v>
      </c>
      <c r="N10" s="151">
        <f>'2023'!M10</f>
        <v>207453149.96000004</v>
      </c>
      <c r="O10" s="151">
        <f>'2023'!M86</f>
        <v>181861975.69392896</v>
      </c>
      <c r="P10" s="152">
        <f>+N10-O10</f>
        <v>25591174.266071081</v>
      </c>
      <c r="Q10" s="154">
        <f>IF(+IF(ISERROR(N10/O10),"…",N10/O10-1)&gt;200%,"...",IF(ISERROR(N10/O10),"…",N10/O10-1))</f>
        <v>0.14071756434198557</v>
      </c>
      <c r="R10" s="151">
        <f>'2022'!M10</f>
        <v>165561147.76999998</v>
      </c>
      <c r="S10" s="152">
        <f>+N10-R10</f>
        <v>41892002.190000057</v>
      </c>
      <c r="T10" s="156">
        <f>IF(+IF(ISERROR(N10/R10),"…",N10/R10-1)&gt;200%,"...",IF(ISERROR(N10/R10),"…",N10/R10-1))</f>
        <v>0.25303039242151826</v>
      </c>
      <c r="W10" s="498"/>
      <c r="Y10" s="498"/>
    </row>
    <row r="11" spans="1:25">
      <c r="A11" s="150">
        <v>711</v>
      </c>
      <c r="B11" s="569" t="str">
        <f>+VLOOKUP($A11,Master!$D$30:$G$226,4,FALSE)</f>
        <v>Porezi</v>
      </c>
      <c r="C11" s="570"/>
      <c r="D11" s="570"/>
      <c r="E11" s="570"/>
      <c r="F11" s="570"/>
      <c r="G11" s="277">
        <f>'2023'!S11</f>
        <v>943820661.14999986</v>
      </c>
      <c r="H11" s="277">
        <f>SUM('2023'!G87:M87)</f>
        <v>826914683.04096508</v>
      </c>
      <c r="I11" s="158">
        <f t="shared" ref="I11:I57" si="0">+G11-H11</f>
        <v>116905978.10903478</v>
      </c>
      <c r="J11" s="160">
        <f t="shared" ref="J11:J66" si="1">IF(+IF(ISERROR(G11/H11-1),"…",G11/H11-1)&gt;200%,"...",IF(ISERROR(G11/H11-1),"…",G11/H11-1))</f>
        <v>0.14137610627388431</v>
      </c>
      <c r="K11" s="277">
        <f>SUM('2022'!G11:M11)</f>
        <v>780890376.45000017</v>
      </c>
      <c r="L11" s="158">
        <f>+G11-K11</f>
        <v>162930284.69999969</v>
      </c>
      <c r="M11" s="162">
        <f t="shared" ref="M11:M66" si="2">IF(+IF(ISERROR(G11/K11),"…",G11/K11-1)&gt;200%,"...",IF(ISERROR(G11/K11),"…",G11/K11-1))</f>
        <v>0.20864680832756033</v>
      </c>
      <c r="N11" s="277">
        <f>'2023'!M11</f>
        <v>143616587.01000002</v>
      </c>
      <c r="O11" s="277">
        <f>'2023'!M87</f>
        <v>123219445.94451815</v>
      </c>
      <c r="P11" s="158">
        <f>+N11-O11</f>
        <v>20397141.065481871</v>
      </c>
      <c r="Q11" s="160">
        <f t="shared" ref="Q11:Q66" si="3">IF(+IF(ISERROR(N11/O11),"…",N11/O11-1)&gt;200%,"...",IF(ISERROR(N11/O11),"…",N11/O11-1))</f>
        <v>0.16553508181384013</v>
      </c>
      <c r="R11" s="277">
        <f>'2022'!M11</f>
        <v>118591394.48</v>
      </c>
      <c r="S11" s="158">
        <f t="shared" ref="S11:S57" si="4">+N11-R11</f>
        <v>25025192.530000016</v>
      </c>
      <c r="T11" s="162">
        <f t="shared" ref="T11:T66" si="5">IF(+IF(ISERROR(N11/R11),"…",N11/R11-1)&gt;200%,"...",IF(ISERROR(N11/R11),"…",N11/R11-1))</f>
        <v>0.21102030749980272</v>
      </c>
      <c r="W11" s="498"/>
      <c r="Y11" s="498"/>
    </row>
    <row r="12" spans="1:25">
      <c r="A12" s="150">
        <v>7111</v>
      </c>
      <c r="B12" s="555" t="str">
        <f>+VLOOKUP($A12,Master!$D$30:$G$226,4,FALSE)</f>
        <v>Porez na dohodak fizičkih lica</v>
      </c>
      <c r="C12" s="556"/>
      <c r="D12" s="556"/>
      <c r="E12" s="556"/>
      <c r="F12" s="556"/>
      <c r="G12" s="163">
        <f>'2023'!S12</f>
        <v>31462162.539999999</v>
      </c>
      <c r="H12" s="163">
        <f>SUM('2023'!G88:M88)</f>
        <v>31612496.397520907</v>
      </c>
      <c r="I12" s="164">
        <f t="shared" si="0"/>
        <v>-150333.85752090812</v>
      </c>
      <c r="J12" s="166">
        <f t="shared" si="1"/>
        <v>-4.7555199573766638E-3</v>
      </c>
      <c r="K12" s="163">
        <f>SUM('2022'!G12:M12)</f>
        <v>52182369.25</v>
      </c>
      <c r="L12" s="164">
        <f>+G12-K12</f>
        <v>-20720206.710000001</v>
      </c>
      <c r="M12" s="168">
        <f t="shared" si="2"/>
        <v>-0.39707293876849026</v>
      </c>
      <c r="N12" s="163">
        <f>'2023'!M12</f>
        <v>6015555</v>
      </c>
      <c r="O12" s="163">
        <f>'2023'!M88</f>
        <v>5364995.4780979399</v>
      </c>
      <c r="P12" s="164">
        <f t="shared" ref="P12:P57" si="6">+N12-O12</f>
        <v>650559.52190206014</v>
      </c>
      <c r="Q12" s="166">
        <f t="shared" si="3"/>
        <v>0.12126003172936572</v>
      </c>
      <c r="R12" s="163">
        <f>'2022'!M12</f>
        <v>8156090.4900000002</v>
      </c>
      <c r="S12" s="164">
        <f t="shared" si="4"/>
        <v>-2140535.4900000002</v>
      </c>
      <c r="T12" s="168">
        <f t="shared" si="5"/>
        <v>-0.26244626547786132</v>
      </c>
      <c r="W12" s="498"/>
      <c r="Y12" s="498"/>
    </row>
    <row r="13" spans="1:25">
      <c r="A13" s="150">
        <v>7112</v>
      </c>
      <c r="B13" s="555" t="str">
        <f>+VLOOKUP($A13,Master!$D$30:$G$226,4,FALSE)</f>
        <v>Porez na dobit pravnih lica</v>
      </c>
      <c r="C13" s="556"/>
      <c r="D13" s="556"/>
      <c r="E13" s="556"/>
      <c r="F13" s="556"/>
      <c r="G13" s="163">
        <f>'2023'!S13</f>
        <v>135756067.62</v>
      </c>
      <c r="H13" s="163">
        <f>SUM('2023'!G89:M89)</f>
        <v>103972574.72145408</v>
      </c>
      <c r="I13" s="164">
        <f t="shared" si="0"/>
        <v>31783492.898545921</v>
      </c>
      <c r="J13" s="166">
        <f t="shared" si="1"/>
        <v>0.30569112079502636</v>
      </c>
      <c r="K13" s="163">
        <f>SUM('2022'!G13:M13)</f>
        <v>77067335.099999994</v>
      </c>
      <c r="L13" s="164">
        <f t="shared" ref="L13:L57" si="7">+G13-K13</f>
        <v>58688732.520000011</v>
      </c>
      <c r="M13" s="168">
        <f t="shared" si="2"/>
        <v>0.76152539131977859</v>
      </c>
      <c r="N13" s="163">
        <f>'2023'!M13</f>
        <v>4152071.33</v>
      </c>
      <c r="O13" s="163">
        <f>'2023'!M89</f>
        <v>2527233.3334094649</v>
      </c>
      <c r="P13" s="164">
        <f t="shared" si="6"/>
        <v>1624837.9965905352</v>
      </c>
      <c r="Q13" s="166">
        <f t="shared" si="3"/>
        <v>0.64293153113744461</v>
      </c>
      <c r="R13" s="163">
        <f>'2022'!M13</f>
        <v>1873254.93</v>
      </c>
      <c r="S13" s="164">
        <f t="shared" si="4"/>
        <v>2278816.4000000004</v>
      </c>
      <c r="T13" s="168">
        <f t="shared" si="5"/>
        <v>1.2165009489658729</v>
      </c>
      <c r="W13" s="498"/>
      <c r="Y13" s="498"/>
    </row>
    <row r="14" spans="1:25">
      <c r="A14" s="150">
        <v>7113</v>
      </c>
      <c r="B14" s="555" t="str">
        <f>+VLOOKUP($A14,Master!$D$30:$G$226,4,FALSE)</f>
        <v>Porez na promet nepokretnosti</v>
      </c>
      <c r="C14" s="556"/>
      <c r="D14" s="556"/>
      <c r="E14" s="556"/>
      <c r="F14" s="556"/>
      <c r="G14" s="163">
        <f>'2023'!S14</f>
        <v>0</v>
      </c>
      <c r="H14" s="163">
        <f>SUM('2023'!G90:M90)</f>
        <v>0</v>
      </c>
      <c r="I14" s="164">
        <f t="shared" si="0"/>
        <v>0</v>
      </c>
      <c r="J14" s="166" t="str">
        <f t="shared" si="1"/>
        <v>...</v>
      </c>
      <c r="K14" s="163">
        <f>SUM('2022'!G14:M14)</f>
        <v>1426457.01</v>
      </c>
      <c r="L14" s="164">
        <f t="shared" si="7"/>
        <v>-1426457.01</v>
      </c>
      <c r="M14" s="168">
        <f t="shared" si="2"/>
        <v>-1</v>
      </c>
      <c r="N14" s="163">
        <f>'2023'!M14</f>
        <v>0</v>
      </c>
      <c r="O14" s="163">
        <f>'2023'!M90</f>
        <v>0</v>
      </c>
      <c r="P14" s="164">
        <f t="shared" si="6"/>
        <v>0</v>
      </c>
      <c r="Q14" s="166" t="str">
        <f t="shared" si="3"/>
        <v>...</v>
      </c>
      <c r="R14" s="163">
        <f>'2022'!M14</f>
        <v>180172.4</v>
      </c>
      <c r="S14" s="164">
        <f t="shared" si="4"/>
        <v>-180172.4</v>
      </c>
      <c r="T14" s="168">
        <f t="shared" si="5"/>
        <v>-1</v>
      </c>
      <c r="W14" s="498"/>
      <c r="Y14" s="498"/>
    </row>
    <row r="15" spans="1:25">
      <c r="A15" s="150">
        <v>7114</v>
      </c>
      <c r="B15" s="555" t="str">
        <f>+VLOOKUP($A15,Master!$D$30:$G$226,4,FALSE)</f>
        <v>Porez na dodatu vrijednost</v>
      </c>
      <c r="C15" s="556"/>
      <c r="D15" s="556"/>
      <c r="E15" s="556"/>
      <c r="F15" s="556"/>
      <c r="G15" s="163">
        <f>'2023'!S15</f>
        <v>568284814.22000003</v>
      </c>
      <c r="H15" s="163">
        <f>SUM('2023'!G91:M91)</f>
        <v>521897568.43877709</v>
      </c>
      <c r="I15" s="164">
        <f t="shared" si="0"/>
        <v>46387245.781222939</v>
      </c>
      <c r="J15" s="166">
        <f t="shared" si="1"/>
        <v>8.888189672925173E-2</v>
      </c>
      <c r="K15" s="163">
        <f>SUM('2022'!G15:M15)</f>
        <v>484935424.32000005</v>
      </c>
      <c r="L15" s="164">
        <f t="shared" si="7"/>
        <v>83349389.899999976</v>
      </c>
      <c r="M15" s="168">
        <f t="shared" si="2"/>
        <v>0.17187729689345033</v>
      </c>
      <c r="N15" s="163">
        <f>'2023'!M15</f>
        <v>92697116.170000002</v>
      </c>
      <c r="O15" s="163">
        <f>'2023'!M91</f>
        <v>86587361.219999999</v>
      </c>
      <c r="P15" s="164">
        <f t="shared" si="6"/>
        <v>6109754.950000003</v>
      </c>
      <c r="Q15" s="166">
        <f t="shared" si="3"/>
        <v>7.0561740927482797E-2</v>
      </c>
      <c r="R15" s="163">
        <f>'2022'!M15</f>
        <v>83883709.769999996</v>
      </c>
      <c r="S15" s="164">
        <f t="shared" si="4"/>
        <v>8813406.400000006</v>
      </c>
      <c r="T15" s="168">
        <f t="shared" si="5"/>
        <v>0.10506696024967677</v>
      </c>
      <c r="W15" s="498"/>
      <c r="Y15" s="498"/>
    </row>
    <row r="16" spans="1:25">
      <c r="A16" s="150">
        <v>7115</v>
      </c>
      <c r="B16" s="555" t="str">
        <f>+VLOOKUP($A16,Master!$D$30:$G$226,4,FALSE)</f>
        <v>Akcize</v>
      </c>
      <c r="C16" s="556"/>
      <c r="D16" s="556"/>
      <c r="E16" s="556"/>
      <c r="F16" s="556"/>
      <c r="G16" s="163">
        <f>'2023'!S16</f>
        <v>171526047.25999999</v>
      </c>
      <c r="H16" s="163">
        <f>SUM('2023'!G92:M92)</f>
        <v>141627659.63364518</v>
      </c>
      <c r="I16" s="164">
        <f t="shared" si="0"/>
        <v>29898387.626354814</v>
      </c>
      <c r="J16" s="166">
        <f t="shared" si="1"/>
        <v>0.21110556866995012</v>
      </c>
      <c r="K16" s="163">
        <f>SUM('2022'!G16:M16)</f>
        <v>137372656.17000002</v>
      </c>
      <c r="L16" s="164">
        <f t="shared" si="7"/>
        <v>34153391.089999974</v>
      </c>
      <c r="M16" s="168">
        <f t="shared" si="2"/>
        <v>0.24861855366423735</v>
      </c>
      <c r="N16" s="163">
        <f>'2023'!M16</f>
        <v>34815701.960000001</v>
      </c>
      <c r="O16" s="163">
        <f>'2023'!M92</f>
        <v>23890190.547238827</v>
      </c>
      <c r="P16" s="164">
        <f t="shared" si="6"/>
        <v>10925511.412761174</v>
      </c>
      <c r="Q16" s="166">
        <f t="shared" si="3"/>
        <v>0.45732207079545129</v>
      </c>
      <c r="R16" s="163">
        <f>'2022'!M16</f>
        <v>19630528.800000001</v>
      </c>
      <c r="S16" s="164">
        <f t="shared" si="4"/>
        <v>15185173.16</v>
      </c>
      <c r="T16" s="168">
        <f t="shared" si="5"/>
        <v>0.77354885926455519</v>
      </c>
      <c r="W16" s="498"/>
      <c r="Y16" s="498"/>
    </row>
    <row r="17" spans="1:25">
      <c r="A17" s="150">
        <v>7116</v>
      </c>
      <c r="B17" s="555" t="str">
        <f>+VLOOKUP($A17,Master!$D$30:$G$226,4,FALSE)</f>
        <v>Porez na međunarodnu trgovinu i transakcije</v>
      </c>
      <c r="C17" s="556"/>
      <c r="D17" s="556"/>
      <c r="E17" s="556"/>
      <c r="F17" s="556"/>
      <c r="G17" s="163">
        <f>'2023'!S17</f>
        <v>29279867.73</v>
      </c>
      <c r="H17" s="163">
        <f>SUM('2023'!G93:M93)</f>
        <v>21004601.291078705</v>
      </c>
      <c r="I17" s="164">
        <f t="shared" si="0"/>
        <v>8275266.4389212951</v>
      </c>
      <c r="J17" s="166">
        <f t="shared" si="1"/>
        <v>0.39397398333078826</v>
      </c>
      <c r="K17" s="163">
        <f>SUM('2022'!G17:M17)</f>
        <v>20997892.460000001</v>
      </c>
      <c r="L17" s="164">
        <f t="shared" si="7"/>
        <v>8281975.2699999996</v>
      </c>
      <c r="M17" s="168">
        <f t="shared" si="2"/>
        <v>0.39441935831306751</v>
      </c>
      <c r="N17" s="163">
        <f>'2023'!M17</f>
        <v>4795015.53</v>
      </c>
      <c r="O17" s="163">
        <f>'2023'!M93</f>
        <v>3649795.5179858184</v>
      </c>
      <c r="P17" s="164">
        <f t="shared" si="6"/>
        <v>1145220.0120141818</v>
      </c>
      <c r="Q17" s="166">
        <f>IF(+IF(ISERROR(N17/O17),"…",N17/O17-1)&gt;200%,"...",IF(ISERROR(N17/O17),"…",N17/O17-1))</f>
        <v>0.31377648593480245</v>
      </c>
      <c r="R17" s="163">
        <f>'2022'!M17</f>
        <v>3648629.78</v>
      </c>
      <c r="S17" s="164">
        <f t="shared" si="4"/>
        <v>1146385.7500000005</v>
      </c>
      <c r="T17" s="168">
        <f t="shared" si="5"/>
        <v>0.31419623779971473</v>
      </c>
      <c r="W17" s="498"/>
      <c r="Y17" s="498"/>
    </row>
    <row r="18" spans="1:25">
      <c r="A18" s="150">
        <v>7118</v>
      </c>
      <c r="B18" s="555" t="str">
        <f>+VLOOKUP($A18,Master!$D$30:$G$226,4,FALSE)</f>
        <v>Ostali državni porezi</v>
      </c>
      <c r="C18" s="556"/>
      <c r="D18" s="556"/>
      <c r="E18" s="556"/>
      <c r="F18" s="556"/>
      <c r="G18" s="163">
        <f>'2023'!S18</f>
        <v>7511701.7799999993</v>
      </c>
      <c r="H18" s="163">
        <f>SUM('2023'!G94:M94)</f>
        <v>6799782.5584891383</v>
      </c>
      <c r="I18" s="164">
        <f t="shared" si="0"/>
        <v>711919.22151086107</v>
      </c>
      <c r="J18" s="166">
        <f t="shared" si="1"/>
        <v>0.1046973510383904</v>
      </c>
      <c r="K18" s="163">
        <f>SUM('2022'!G18:M18)</f>
        <v>6908242.1400000006</v>
      </c>
      <c r="L18" s="164">
        <f t="shared" si="7"/>
        <v>603459.63999999873</v>
      </c>
      <c r="M18" s="168">
        <f t="shared" si="2"/>
        <v>8.7353573857212652E-2</v>
      </c>
      <c r="N18" s="163">
        <f>'2023'!M18</f>
        <v>1141127.02</v>
      </c>
      <c r="O18" s="163">
        <f>'2023'!M94</f>
        <v>1199869.8477860999</v>
      </c>
      <c r="P18" s="164">
        <f t="shared" si="6"/>
        <v>-58742.827786099864</v>
      </c>
      <c r="Q18" s="166">
        <f t="shared" si="3"/>
        <v>-4.895766644564592E-2</v>
      </c>
      <c r="R18" s="163">
        <f>'2022'!M18</f>
        <v>1219008.31</v>
      </c>
      <c r="S18" s="164">
        <f t="shared" si="4"/>
        <v>-77881.290000000037</v>
      </c>
      <c r="T18" s="168">
        <f t="shared" si="5"/>
        <v>-6.3889055850652965E-2</v>
      </c>
      <c r="W18" s="498"/>
      <c r="Y18" s="498"/>
    </row>
    <row r="19" spans="1:25">
      <c r="A19" s="150">
        <v>712</v>
      </c>
      <c r="B19" s="557" t="str">
        <f>+VLOOKUP($A19,Master!$D$30:$G$226,4,FALSE)</f>
        <v>Doprinosi</v>
      </c>
      <c r="C19" s="558"/>
      <c r="D19" s="558"/>
      <c r="E19" s="558"/>
      <c r="F19" s="558"/>
      <c r="G19" s="169">
        <f>'2023'!S19</f>
        <v>289808713.85000002</v>
      </c>
      <c r="H19" s="169">
        <f>SUM('2023'!G95:M95)</f>
        <v>239530837.76855335</v>
      </c>
      <c r="I19" s="170">
        <f t="shared" si="0"/>
        <v>50277876.081446677</v>
      </c>
      <c r="J19" s="172">
        <f t="shared" si="1"/>
        <v>0.20990147469040155</v>
      </c>
      <c r="K19" s="169">
        <f>SUM('2022'!G19:M19)</f>
        <v>229335601.25999996</v>
      </c>
      <c r="L19" s="170">
        <f t="shared" si="7"/>
        <v>60473112.590000063</v>
      </c>
      <c r="M19" s="174">
        <f t="shared" si="2"/>
        <v>0.26368829025128604</v>
      </c>
      <c r="N19" s="169">
        <f>'2023'!M19</f>
        <v>48400583.619999997</v>
      </c>
      <c r="O19" s="169">
        <f>'2023'!M95</f>
        <v>41674957.146424204</v>
      </c>
      <c r="P19" s="170">
        <f t="shared" si="6"/>
        <v>6725626.4735757932</v>
      </c>
      <c r="Q19" s="172">
        <f t="shared" si="3"/>
        <v>0.16138292476091642</v>
      </c>
      <c r="R19" s="169">
        <f>'2022'!M19</f>
        <v>36710432.280000001</v>
      </c>
      <c r="S19" s="170">
        <f t="shared" si="4"/>
        <v>11690151.339999996</v>
      </c>
      <c r="T19" s="174">
        <f t="shared" si="5"/>
        <v>0.31844221421410057</v>
      </c>
      <c r="W19" s="498"/>
      <c r="Y19" s="498"/>
    </row>
    <row r="20" spans="1:25">
      <c r="A20" s="150">
        <v>7121</v>
      </c>
      <c r="B20" s="555" t="str">
        <f>+VLOOKUP($A20,Master!$D$30:$G$226,4,FALSE)</f>
        <v>Doprinosi za penzijsko i invalidsko osiguranje</v>
      </c>
      <c r="C20" s="556"/>
      <c r="D20" s="556"/>
      <c r="E20" s="556"/>
      <c r="F20" s="556"/>
      <c r="G20" s="163">
        <f>'2023'!S20</f>
        <v>265198328.49000001</v>
      </c>
      <c r="H20" s="163">
        <f>SUM('2023'!G96:M96)</f>
        <v>221164544.64835209</v>
      </c>
      <c r="I20" s="164">
        <f t="shared" si="0"/>
        <v>44033783.841647923</v>
      </c>
      <c r="J20" s="166">
        <f t="shared" si="1"/>
        <v>0.1990996518527004</v>
      </c>
      <c r="K20" s="163">
        <f>SUM('2022'!G20:M20)</f>
        <v>193243734.16999999</v>
      </c>
      <c r="L20" s="164">
        <f t="shared" si="7"/>
        <v>71954594.320000023</v>
      </c>
      <c r="M20" s="168">
        <f t="shared" si="2"/>
        <v>0.37235150018732432</v>
      </c>
      <c r="N20" s="163">
        <f>'2023'!M20</f>
        <v>44449178.460000001</v>
      </c>
      <c r="O20" s="163">
        <f>'2023'!M96</f>
        <v>38602836.994617537</v>
      </c>
      <c r="P20" s="164">
        <f t="shared" si="6"/>
        <v>5846341.4653824642</v>
      </c>
      <c r="Q20" s="166">
        <f t="shared" si="3"/>
        <v>0.15144849240478431</v>
      </c>
      <c r="R20" s="163">
        <f>'2022'!M20</f>
        <v>32996526.960000001</v>
      </c>
      <c r="S20" s="164">
        <f t="shared" si="4"/>
        <v>11452651.5</v>
      </c>
      <c r="T20" s="168">
        <f t="shared" si="5"/>
        <v>0.34708657410773758</v>
      </c>
      <c r="W20" s="498"/>
      <c r="Y20" s="498"/>
    </row>
    <row r="21" spans="1:25">
      <c r="A21" s="150">
        <v>7122</v>
      </c>
      <c r="B21" s="555" t="str">
        <f>+VLOOKUP($A21,Master!$D$30:$G$226,4,FALSE)</f>
        <v>Doprinosi za zdravstveno osiguranje</v>
      </c>
      <c r="C21" s="556"/>
      <c r="D21" s="556"/>
      <c r="E21" s="556"/>
      <c r="F21" s="556"/>
      <c r="G21" s="163">
        <f>'2023'!S21</f>
        <v>3550563.9099999997</v>
      </c>
      <c r="H21" s="163">
        <f>SUM('2023'!G97:M97)</f>
        <v>700167.08085875807</v>
      </c>
      <c r="I21" s="164">
        <f t="shared" si="0"/>
        <v>2850396.8291412415</v>
      </c>
      <c r="J21" s="166" t="str">
        <f t="shared" si="1"/>
        <v>...</v>
      </c>
      <c r="K21" s="163">
        <f>SUM('2022'!G21:M21)</f>
        <v>20498121.449999999</v>
      </c>
      <c r="L21" s="164">
        <f t="shared" si="7"/>
        <v>-16947557.539999999</v>
      </c>
      <c r="M21" s="168">
        <f t="shared" si="2"/>
        <v>-0.82678588773802009</v>
      </c>
      <c r="N21" s="163">
        <f>'2023'!M21</f>
        <v>488484.82</v>
      </c>
      <c r="O21" s="163">
        <f>'2023'!M97</f>
        <v>100023.86869410829</v>
      </c>
      <c r="P21" s="164">
        <f t="shared" si="6"/>
        <v>388460.95130589174</v>
      </c>
      <c r="Q21" s="166" t="str">
        <f t="shared" si="3"/>
        <v>...</v>
      </c>
      <c r="R21" s="163">
        <f>'2022'!M21</f>
        <v>951006.28</v>
      </c>
      <c r="S21" s="164">
        <f t="shared" si="4"/>
        <v>-462521.46</v>
      </c>
      <c r="T21" s="168">
        <f t="shared" si="5"/>
        <v>-0.48634953283378946</v>
      </c>
      <c r="W21" s="498"/>
      <c r="Y21" s="498"/>
    </row>
    <row r="22" spans="1:25">
      <c r="A22" s="150">
        <v>7123</v>
      </c>
      <c r="B22" s="555" t="str">
        <f>+VLOOKUP($A22,Master!$D$30:$G$226,4,FALSE)</f>
        <v>Doprinosi za osiguranje od nezaposlenosti</v>
      </c>
      <c r="C22" s="556"/>
      <c r="D22" s="556"/>
      <c r="E22" s="556"/>
      <c r="F22" s="556"/>
      <c r="G22" s="163">
        <f>'2023'!S22</f>
        <v>12049143.84</v>
      </c>
      <c r="H22" s="163">
        <f>SUM('2023'!G98:M98)</f>
        <v>10364201.903492536</v>
      </c>
      <c r="I22" s="164">
        <f t="shared" si="0"/>
        <v>1684941.9365074635</v>
      </c>
      <c r="J22" s="166">
        <f t="shared" si="1"/>
        <v>0.16257324511785809</v>
      </c>
      <c r="K22" s="163">
        <f>SUM('2022'!G22:M22)</f>
        <v>8915431.4100000001</v>
      </c>
      <c r="L22" s="164">
        <f t="shared" si="7"/>
        <v>3133712.4299999997</v>
      </c>
      <c r="M22" s="168">
        <f t="shared" si="2"/>
        <v>0.35149307822446696</v>
      </c>
      <c r="N22" s="163">
        <f>'2023'!M22</f>
        <v>1993336.72</v>
      </c>
      <c r="O22" s="163">
        <f>'2023'!M98</f>
        <v>1773247.4402761667</v>
      </c>
      <c r="P22" s="164">
        <f t="shared" si="6"/>
        <v>220089.27972383332</v>
      </c>
      <c r="Q22" s="166">
        <f t="shared" si="3"/>
        <v>0.12411650778390881</v>
      </c>
      <c r="R22" s="163">
        <f>'2022'!M22</f>
        <v>1571588.31</v>
      </c>
      <c r="S22" s="164">
        <f t="shared" si="4"/>
        <v>421748.40999999992</v>
      </c>
      <c r="T22" s="168">
        <f t="shared" si="5"/>
        <v>0.26835807273216483</v>
      </c>
      <c r="W22" s="498"/>
      <c r="Y22" s="498"/>
    </row>
    <row r="23" spans="1:25">
      <c r="A23" s="150">
        <v>7124</v>
      </c>
      <c r="B23" s="555" t="str">
        <f>+VLOOKUP($A23,Master!$D$30:$G$226,4,FALSE)</f>
        <v>Ostali doprinosi</v>
      </c>
      <c r="C23" s="556"/>
      <c r="D23" s="556"/>
      <c r="E23" s="556"/>
      <c r="F23" s="556"/>
      <c r="G23" s="163">
        <f>'2023'!S23</f>
        <v>9010677.6099999994</v>
      </c>
      <c r="H23" s="163">
        <f>SUM('2023'!G99:M99)</f>
        <v>7301924.1358499918</v>
      </c>
      <c r="I23" s="164">
        <f t="shared" si="0"/>
        <v>1708753.4741500076</v>
      </c>
      <c r="J23" s="166">
        <f t="shared" si="1"/>
        <v>0.23401413687121209</v>
      </c>
      <c r="K23" s="163">
        <f>SUM('2022'!G23:M23)</f>
        <v>6678314.2300000004</v>
      </c>
      <c r="L23" s="164">
        <f t="shared" si="7"/>
        <v>2332363.379999999</v>
      </c>
      <c r="M23" s="168">
        <f t="shared" si="2"/>
        <v>0.34924433018180978</v>
      </c>
      <c r="N23" s="163">
        <f>'2023'!M23</f>
        <v>1469583.62</v>
      </c>
      <c r="O23" s="163">
        <f>'2023'!M99</f>
        <v>1198848.8428363875</v>
      </c>
      <c r="P23" s="164">
        <f t="shared" si="6"/>
        <v>270734.77716361266</v>
      </c>
      <c r="Q23" s="166">
        <f t="shared" si="3"/>
        <v>0.22582895148238569</v>
      </c>
      <c r="R23" s="163">
        <f>'2022'!M23</f>
        <v>1191310.73</v>
      </c>
      <c r="S23" s="164">
        <f t="shared" si="4"/>
        <v>278272.89000000013</v>
      </c>
      <c r="T23" s="168">
        <f t="shared" si="5"/>
        <v>0.23358548109442467</v>
      </c>
      <c r="W23" s="498"/>
      <c r="Y23" s="498"/>
    </row>
    <row r="24" spans="1:25">
      <c r="A24" s="150">
        <v>713</v>
      </c>
      <c r="B24" s="557" t="str">
        <f>+VLOOKUP($A24,Master!$D$30:$G$226,4,FALSE)</f>
        <v>Takse</v>
      </c>
      <c r="C24" s="558"/>
      <c r="D24" s="558"/>
      <c r="E24" s="558"/>
      <c r="F24" s="558"/>
      <c r="G24" s="175">
        <f>'2023'!S24</f>
        <v>8073733.8399999999</v>
      </c>
      <c r="H24" s="175">
        <f>SUM('2023'!G100:M100)</f>
        <v>7236449.0688081766</v>
      </c>
      <c r="I24" s="176">
        <f t="shared" si="0"/>
        <v>837284.7711918233</v>
      </c>
      <c r="J24" s="178">
        <f t="shared" si="1"/>
        <v>0.1157038159503998</v>
      </c>
      <c r="K24" s="175">
        <f>SUM('2022'!G24:M24)</f>
        <v>7320475.1999999993</v>
      </c>
      <c r="L24" s="176">
        <f t="shared" si="7"/>
        <v>753258.6400000006</v>
      </c>
      <c r="M24" s="180">
        <f t="shared" si="2"/>
        <v>0.10289750588868896</v>
      </c>
      <c r="N24" s="175">
        <f>'2023'!M24</f>
        <v>1530936.6099999999</v>
      </c>
      <c r="O24" s="175">
        <f>'2023'!M100</f>
        <v>1754495.9179910745</v>
      </c>
      <c r="P24" s="176">
        <f t="shared" si="6"/>
        <v>-223559.30799107463</v>
      </c>
      <c r="Q24" s="178">
        <f t="shared" si="3"/>
        <v>-0.12742081967739971</v>
      </c>
      <c r="R24" s="175">
        <f>'2022'!M24</f>
        <v>1450241.7799999998</v>
      </c>
      <c r="S24" s="176">
        <f t="shared" si="4"/>
        <v>80694.830000000075</v>
      </c>
      <c r="T24" s="180">
        <f t="shared" si="5"/>
        <v>5.5642328826025267E-2</v>
      </c>
      <c r="W24" s="498"/>
      <c r="Y24" s="498"/>
    </row>
    <row r="25" spans="1:25">
      <c r="A25" s="150">
        <v>714</v>
      </c>
      <c r="B25" s="557" t="str">
        <f>+VLOOKUP($A25,Master!$D$30:$G$226,4,FALSE)</f>
        <v>Naknade</v>
      </c>
      <c r="C25" s="558"/>
      <c r="D25" s="558"/>
      <c r="E25" s="558"/>
      <c r="F25" s="558"/>
      <c r="G25" s="175">
        <f>'2023'!S25</f>
        <v>35397956.490000002</v>
      </c>
      <c r="H25" s="175">
        <f>SUM('2023'!G101:M101)</f>
        <v>26629260.684697174</v>
      </c>
      <c r="I25" s="176">
        <f t="shared" si="0"/>
        <v>8768695.8053028286</v>
      </c>
      <c r="J25" s="178">
        <f t="shared" si="1"/>
        <v>0.32928799297615741</v>
      </c>
      <c r="K25" s="175">
        <f>SUM('2022'!G25:M25)</f>
        <v>31400350.779999997</v>
      </c>
      <c r="L25" s="176">
        <f t="shared" si="7"/>
        <v>3997605.7100000046</v>
      </c>
      <c r="M25" s="180">
        <f t="shared" si="2"/>
        <v>0.12731086152535021</v>
      </c>
      <c r="N25" s="175">
        <f>'2023'!M25</f>
        <v>4145262.4</v>
      </c>
      <c r="O25" s="175">
        <f>'2023'!M101</f>
        <v>2833106.8014261499</v>
      </c>
      <c r="P25" s="176">
        <f t="shared" si="6"/>
        <v>1312155.59857385</v>
      </c>
      <c r="Q25" s="178">
        <f t="shared" si="3"/>
        <v>0.46315077070632404</v>
      </c>
      <c r="R25" s="175">
        <f>'2022'!M25</f>
        <v>3736951.12</v>
      </c>
      <c r="S25" s="176">
        <f t="shared" si="4"/>
        <v>408311.2799999998</v>
      </c>
      <c r="T25" s="180">
        <f t="shared" si="5"/>
        <v>0.10926321134219164</v>
      </c>
      <c r="W25" s="498"/>
      <c r="Y25" s="498"/>
    </row>
    <row r="26" spans="1:25">
      <c r="A26" s="150">
        <v>715</v>
      </c>
      <c r="B26" s="557" t="str">
        <f>+VLOOKUP($A26,Master!$D$30:$G$226,4,FALSE)</f>
        <v>Ostali prihodi</v>
      </c>
      <c r="C26" s="558"/>
      <c r="D26" s="558"/>
      <c r="E26" s="558"/>
      <c r="F26" s="558"/>
      <c r="G26" s="175">
        <f>'2023'!S26</f>
        <v>119750241.17</v>
      </c>
      <c r="H26" s="175">
        <f>SUM('2023'!G102:M102)</f>
        <v>57397218.882752262</v>
      </c>
      <c r="I26" s="176">
        <f t="shared" si="0"/>
        <v>62353022.28724774</v>
      </c>
      <c r="J26" s="178">
        <f t="shared" si="1"/>
        <v>1.0863422218177314</v>
      </c>
      <c r="K26" s="175">
        <f>SUM('2022'!G26:M26)</f>
        <v>16038295.560000001</v>
      </c>
      <c r="L26" s="176">
        <f t="shared" si="7"/>
        <v>103711945.61</v>
      </c>
      <c r="M26" s="180" t="str">
        <f t="shared" si="2"/>
        <v>...</v>
      </c>
      <c r="N26" s="175">
        <f>'2023'!M26</f>
        <v>6927594.9700000007</v>
      </c>
      <c r="O26" s="175">
        <f>'2023'!M102</f>
        <v>9067540.6215341613</v>
      </c>
      <c r="P26" s="176">
        <f t="shared" si="6"/>
        <v>-2139945.6515341606</v>
      </c>
      <c r="Q26" s="178">
        <f t="shared" si="3"/>
        <v>-0.23600066885303872</v>
      </c>
      <c r="R26" s="175">
        <f>'2022'!M26</f>
        <v>3218905.03</v>
      </c>
      <c r="S26" s="176">
        <f t="shared" si="4"/>
        <v>3708689.9400000009</v>
      </c>
      <c r="T26" s="180">
        <f t="shared" si="5"/>
        <v>1.1521588569514276</v>
      </c>
      <c r="W26" s="498"/>
      <c r="Y26" s="498"/>
    </row>
    <row r="27" spans="1:25">
      <c r="A27" s="150">
        <v>73</v>
      </c>
      <c r="B27" s="557" t="str">
        <f>+VLOOKUP($A27,Master!$D$30:$G$226,4,FALSE)</f>
        <v>Primici od otplate kredita i sredstva prenesena iz prethodne godine</v>
      </c>
      <c r="C27" s="558"/>
      <c r="D27" s="558"/>
      <c r="E27" s="558"/>
      <c r="F27" s="558"/>
      <c r="G27" s="175">
        <f>'2023'!S27</f>
        <v>0</v>
      </c>
      <c r="H27" s="175">
        <f>SUM('2023'!G103:M103)</f>
        <v>3885183.5179814929</v>
      </c>
      <c r="I27" s="176">
        <f t="shared" si="0"/>
        <v>-3885183.5179814929</v>
      </c>
      <c r="J27" s="178">
        <f t="shared" si="1"/>
        <v>-1</v>
      </c>
      <c r="K27" s="175">
        <f>SUM('2022'!G27:M27)</f>
        <v>0</v>
      </c>
      <c r="L27" s="176">
        <f t="shared" si="7"/>
        <v>0</v>
      </c>
      <c r="M27" s="180" t="str">
        <f t="shared" si="2"/>
        <v>...</v>
      </c>
      <c r="N27" s="175">
        <f>'2023'!M27</f>
        <v>0</v>
      </c>
      <c r="O27" s="175">
        <f>'2023'!M103</f>
        <v>158719.86425742233</v>
      </c>
      <c r="P27" s="176">
        <f t="shared" si="6"/>
        <v>-158719.86425742233</v>
      </c>
      <c r="Q27" s="178">
        <f t="shared" si="3"/>
        <v>-1</v>
      </c>
      <c r="R27" s="175">
        <f>'2022'!M27</f>
        <v>0</v>
      </c>
      <c r="S27" s="176">
        <f t="shared" si="4"/>
        <v>0</v>
      </c>
      <c r="T27" s="180" t="str">
        <f t="shared" si="5"/>
        <v>...</v>
      </c>
      <c r="W27" s="498"/>
      <c r="Y27" s="498"/>
    </row>
    <row r="28" spans="1:25" ht="15.75" thickBot="1">
      <c r="A28" s="150">
        <v>74</v>
      </c>
      <c r="B28" s="559" t="str">
        <f>+VLOOKUP($A28,Master!$D$30:$G$226,4,FALSE)</f>
        <v>Donacije i transferi</v>
      </c>
      <c r="C28" s="560"/>
      <c r="D28" s="560"/>
      <c r="E28" s="560"/>
      <c r="F28" s="560"/>
      <c r="G28" s="175">
        <f>'2023'!S28</f>
        <v>47009087.720000006</v>
      </c>
      <c r="H28" s="175">
        <f>SUM('2023'!G104:M104)</f>
        <v>25614837.591111109</v>
      </c>
      <c r="I28" s="176">
        <f t="shared" si="0"/>
        <v>21394250.128888898</v>
      </c>
      <c r="J28" s="178">
        <f t="shared" si="1"/>
        <v>0.83522880255595133</v>
      </c>
      <c r="K28" s="175">
        <f>SUM('2022'!G28:M28)</f>
        <v>14961408.369999999</v>
      </c>
      <c r="L28" s="176">
        <f t="shared" si="7"/>
        <v>32047679.350000009</v>
      </c>
      <c r="M28" s="180" t="str">
        <f t="shared" si="2"/>
        <v>...</v>
      </c>
      <c r="N28" s="175">
        <f>'2023'!M28</f>
        <v>2832185.35</v>
      </c>
      <c r="O28" s="175">
        <f>'2023'!M104</f>
        <v>3153709.3977777776</v>
      </c>
      <c r="P28" s="176">
        <f t="shared" si="6"/>
        <v>-321524.04777777754</v>
      </c>
      <c r="Q28" s="178">
        <f t="shared" si="3"/>
        <v>-0.10195107006509085</v>
      </c>
      <c r="R28" s="175">
        <f>'2022'!M28</f>
        <v>1853223.08</v>
      </c>
      <c r="S28" s="176">
        <f t="shared" si="4"/>
        <v>978962.27</v>
      </c>
      <c r="T28" s="180">
        <f t="shared" si="5"/>
        <v>0.52824847724214608</v>
      </c>
      <c r="W28" s="498"/>
      <c r="Y28" s="498"/>
    </row>
    <row r="29" spans="1:25" ht="15.75" thickBot="1">
      <c r="A29" s="150">
        <v>4</v>
      </c>
      <c r="B29" s="545" t="str">
        <f>+VLOOKUP($A29,Master!$D$30:$G$226,4,FALSE)</f>
        <v>Izdaci budžeta</v>
      </c>
      <c r="C29" s="546"/>
      <c r="D29" s="546"/>
      <c r="E29" s="546"/>
      <c r="F29" s="546"/>
      <c r="G29" s="151">
        <f>'2023'!S29</f>
        <v>1292381054.5899997</v>
      </c>
      <c r="H29" s="151">
        <f>SUM('2023'!G105:M105)</f>
        <v>1420995381.6900001</v>
      </c>
      <c r="I29" s="152">
        <f t="shared" si="0"/>
        <v>-128614327.10000038</v>
      </c>
      <c r="J29" s="154">
        <f t="shared" si="1"/>
        <v>-9.0510024703274183E-2</v>
      </c>
      <c r="K29" s="151">
        <f>SUM('2022'!G29:M29)</f>
        <v>1153412413.28</v>
      </c>
      <c r="L29" s="152">
        <f t="shared" si="7"/>
        <v>138968641.3099997</v>
      </c>
      <c r="M29" s="156">
        <f t="shared" si="2"/>
        <v>0.12048478038727684</v>
      </c>
      <c r="N29" s="151">
        <f>'2023'!M29</f>
        <v>223799501.98999995</v>
      </c>
      <c r="O29" s="151">
        <f>'2023'!M105</f>
        <v>237229120.77000004</v>
      </c>
      <c r="P29" s="152">
        <f t="shared" si="6"/>
        <v>-13429618.780000091</v>
      </c>
      <c r="Q29" s="154">
        <f t="shared" si="3"/>
        <v>-5.6610329863425402E-2</v>
      </c>
      <c r="R29" s="151">
        <f>'2022'!M29</f>
        <v>178169359.26999998</v>
      </c>
      <c r="S29" s="152">
        <f t="shared" si="4"/>
        <v>45630142.719999969</v>
      </c>
      <c r="T29" s="156">
        <f t="shared" si="5"/>
        <v>0.25610544319717454</v>
      </c>
      <c r="W29" s="498"/>
      <c r="Y29" s="498"/>
    </row>
    <row r="30" spans="1:25">
      <c r="A30" s="150">
        <v>41</v>
      </c>
      <c r="B30" s="563" t="str">
        <f>+VLOOKUP($A30,Master!$D$30:$G$226,4,FALSE)</f>
        <v>Tekući izdaci</v>
      </c>
      <c r="C30" s="564"/>
      <c r="D30" s="564"/>
      <c r="E30" s="564"/>
      <c r="F30" s="564"/>
      <c r="G30" s="313">
        <f>'2023'!S30</f>
        <v>563053133.13999987</v>
      </c>
      <c r="H30" s="313">
        <f>SUM('2023'!G106:M106)</f>
        <v>593042860.83999991</v>
      </c>
      <c r="I30" s="188">
        <f t="shared" si="0"/>
        <v>-29989727.700000048</v>
      </c>
      <c r="J30" s="190">
        <f t="shared" si="1"/>
        <v>-5.0569241584869418E-2</v>
      </c>
      <c r="K30" s="313">
        <f>SUM('2022'!G30:M30)</f>
        <v>467100253.88999993</v>
      </c>
      <c r="L30" s="188">
        <f t="shared" si="7"/>
        <v>95952879.24999994</v>
      </c>
      <c r="M30" s="192">
        <f t="shared" si="2"/>
        <v>0.20542245149923732</v>
      </c>
      <c r="N30" s="313">
        <f>'2023'!M30</f>
        <v>89294366.969999924</v>
      </c>
      <c r="O30" s="313">
        <f>'2023'!M106</f>
        <v>94970976.420000017</v>
      </c>
      <c r="P30" s="188">
        <f t="shared" si="6"/>
        <v>-5676609.4500000924</v>
      </c>
      <c r="Q30" s="190">
        <f t="shared" si="3"/>
        <v>-5.9772044723388262E-2</v>
      </c>
      <c r="R30" s="313">
        <f>'2022'!M30</f>
        <v>67772161.579999998</v>
      </c>
      <c r="S30" s="188">
        <f t="shared" si="4"/>
        <v>21522205.389999926</v>
      </c>
      <c r="T30" s="192">
        <f t="shared" si="5"/>
        <v>0.31756704948232417</v>
      </c>
      <c r="W30" s="498"/>
      <c r="Y30" s="498"/>
    </row>
    <row r="31" spans="1:25">
      <c r="A31" s="150">
        <v>411</v>
      </c>
      <c r="B31" s="555" t="str">
        <f>+VLOOKUP($A31,Master!$D$30:$G$226,4,FALSE)</f>
        <v>Bruto zarade i doprinosi na teret poslodavca</v>
      </c>
      <c r="C31" s="556"/>
      <c r="D31" s="556"/>
      <c r="E31" s="556"/>
      <c r="F31" s="556"/>
      <c r="G31" s="163">
        <f>'2023'!S31</f>
        <v>368631145.43999982</v>
      </c>
      <c r="H31" s="163">
        <f>SUM('2023'!G107:M107)</f>
        <v>355685786.87</v>
      </c>
      <c r="I31" s="164">
        <f t="shared" si="0"/>
        <v>12945358.569999814</v>
      </c>
      <c r="J31" s="166">
        <f t="shared" si="1"/>
        <v>3.6395490199138125E-2</v>
      </c>
      <c r="K31" s="163">
        <f>SUM('2022'!G31:M31)</f>
        <v>309920065.5</v>
      </c>
      <c r="L31" s="164">
        <f t="shared" si="7"/>
        <v>58711079.939999819</v>
      </c>
      <c r="M31" s="168">
        <f t="shared" si="2"/>
        <v>0.18943942801922198</v>
      </c>
      <c r="N31" s="163">
        <f>'2023'!M31</f>
        <v>54042287.669999927</v>
      </c>
      <c r="O31" s="163">
        <f>'2023'!M107</f>
        <v>51929663.729999997</v>
      </c>
      <c r="P31" s="164">
        <f>+N31-O31</f>
        <v>2112623.9399999306</v>
      </c>
      <c r="Q31" s="166">
        <f>IF(+IF(ISERROR(N31/O31),"…",N31/O31-1)&gt;200%,"...",IF(ISERROR(N31/O31),"…",N31/O31-1))</f>
        <v>4.0682411328218482E-2</v>
      </c>
      <c r="R31" s="163">
        <f>'2022'!M31</f>
        <v>44920963.490000002</v>
      </c>
      <c r="S31" s="164">
        <f t="shared" si="4"/>
        <v>9121324.1799999252</v>
      </c>
      <c r="T31" s="168">
        <f t="shared" si="5"/>
        <v>0.20305272797700469</v>
      </c>
      <c r="W31" s="498"/>
      <c r="Y31" s="498"/>
    </row>
    <row r="32" spans="1:25">
      <c r="A32" s="150">
        <v>412</v>
      </c>
      <c r="B32" s="555" t="str">
        <f>+VLOOKUP($A32,Master!$D$30:$G$226,4,FALSE)</f>
        <v>Ostala lična primanja</v>
      </c>
      <c r="C32" s="556"/>
      <c r="D32" s="556"/>
      <c r="E32" s="556"/>
      <c r="F32" s="556"/>
      <c r="G32" s="163">
        <f>'2023'!S32</f>
        <v>9326241.8499999978</v>
      </c>
      <c r="H32" s="163">
        <f>SUM('2023'!G108:M108)</f>
        <v>10693847.569999998</v>
      </c>
      <c r="I32" s="164">
        <f t="shared" si="0"/>
        <v>-1367605.7200000007</v>
      </c>
      <c r="J32" s="166">
        <f t="shared" si="1"/>
        <v>-0.12788715296790043</v>
      </c>
      <c r="K32" s="163">
        <f>SUM('2022'!G32:M32)</f>
        <v>8676486.2299999986</v>
      </c>
      <c r="L32" s="164">
        <f t="shared" si="7"/>
        <v>649755.61999999918</v>
      </c>
      <c r="M32" s="168">
        <f t="shared" si="2"/>
        <v>7.4886953402103051E-2</v>
      </c>
      <c r="N32" s="163">
        <f>'2023'!M32</f>
        <v>1584846.25</v>
      </c>
      <c r="O32" s="163">
        <f>'2023'!M108</f>
        <v>1729357.3499999999</v>
      </c>
      <c r="P32" s="164">
        <f t="shared" si="6"/>
        <v>-144511.09999999986</v>
      </c>
      <c r="Q32" s="166">
        <f t="shared" si="3"/>
        <v>-8.3563469400930845E-2</v>
      </c>
      <c r="R32" s="163">
        <f>'2022'!M32</f>
        <v>1651018.61</v>
      </c>
      <c r="S32" s="164">
        <f t="shared" si="4"/>
        <v>-66172.360000000102</v>
      </c>
      <c r="T32" s="168">
        <f t="shared" si="5"/>
        <v>-4.0079717817354088E-2</v>
      </c>
      <c r="W32" s="498"/>
      <c r="Y32" s="498"/>
    </row>
    <row r="33" spans="1:25">
      <c r="A33" s="150">
        <v>413</v>
      </c>
      <c r="B33" s="555" t="str">
        <f>+VLOOKUP($A33,Master!$D$30:$G$226,4,FALSE)</f>
        <v>Rashodi za materijal</v>
      </c>
      <c r="C33" s="556"/>
      <c r="D33" s="556"/>
      <c r="E33" s="556"/>
      <c r="F33" s="556"/>
      <c r="G33" s="163">
        <f>'2023'!S33</f>
        <v>21763348.199999996</v>
      </c>
      <c r="H33" s="163">
        <f>SUM('2023'!G109:M109)</f>
        <v>32683843.740000002</v>
      </c>
      <c r="I33" s="164">
        <f t="shared" si="0"/>
        <v>-10920495.540000007</v>
      </c>
      <c r="J33" s="166">
        <f t="shared" si="1"/>
        <v>-0.33412519123737572</v>
      </c>
      <c r="K33" s="163">
        <f>SUM('2022'!G33:M33)</f>
        <v>16485218.33</v>
      </c>
      <c r="L33" s="164">
        <f t="shared" si="7"/>
        <v>5278129.8699999955</v>
      </c>
      <c r="M33" s="168">
        <f t="shared" si="2"/>
        <v>0.32017348902166431</v>
      </c>
      <c r="N33" s="163">
        <f>'2023'!M33</f>
        <v>5440332.5299999993</v>
      </c>
      <c r="O33" s="163">
        <f>'2023'!M109</f>
        <v>7274194.5</v>
      </c>
      <c r="P33" s="164">
        <f t="shared" si="6"/>
        <v>-1833861.9700000007</v>
      </c>
      <c r="Q33" s="166">
        <f t="shared" si="3"/>
        <v>-0.25210516023458007</v>
      </c>
      <c r="R33" s="163">
        <f>'2022'!M33</f>
        <v>2326698.5299999998</v>
      </c>
      <c r="S33" s="164">
        <f t="shared" si="4"/>
        <v>3113633.9999999995</v>
      </c>
      <c r="T33" s="168">
        <f t="shared" si="5"/>
        <v>1.3382197821734989</v>
      </c>
      <c r="W33" s="498"/>
      <c r="Y33" s="498"/>
    </row>
    <row r="34" spans="1:25">
      <c r="A34" s="150">
        <v>414</v>
      </c>
      <c r="B34" s="555" t="str">
        <f>+VLOOKUP($A34,Master!$D$30:$G$226,4,FALSE)</f>
        <v>Rashodi za usluge</v>
      </c>
      <c r="C34" s="556"/>
      <c r="D34" s="556"/>
      <c r="E34" s="556"/>
      <c r="F34" s="556"/>
      <c r="G34" s="163">
        <f>'2023'!S34</f>
        <v>34419344.799999997</v>
      </c>
      <c r="H34" s="163">
        <f>SUM('2023'!G110:M110)</f>
        <v>35967159.699999973</v>
      </c>
      <c r="I34" s="164">
        <f t="shared" si="0"/>
        <v>-1547814.8999999762</v>
      </c>
      <c r="J34" s="166">
        <f t="shared" si="1"/>
        <v>-4.3034115368302928E-2</v>
      </c>
      <c r="K34" s="163">
        <f>SUM('2022'!G34:M34)</f>
        <v>26759864.109999999</v>
      </c>
      <c r="L34" s="164">
        <f t="shared" si="7"/>
        <v>7659480.6899999976</v>
      </c>
      <c r="M34" s="168">
        <f t="shared" si="2"/>
        <v>0.28623017884226454</v>
      </c>
      <c r="N34" s="163">
        <f>'2023'!M34</f>
        <v>6721649.4699999988</v>
      </c>
      <c r="O34" s="163">
        <f>'2023'!M110</f>
        <v>6713144.6699999999</v>
      </c>
      <c r="P34" s="164">
        <f t="shared" si="6"/>
        <v>8504.7999999988824</v>
      </c>
      <c r="Q34" s="166">
        <f t="shared" si="3"/>
        <v>1.2668876388148842E-3</v>
      </c>
      <c r="R34" s="163">
        <f>'2022'!M34</f>
        <v>3940088.74</v>
      </c>
      <c r="S34" s="164">
        <f t="shared" si="4"/>
        <v>2781560.7299999986</v>
      </c>
      <c r="T34" s="168">
        <f t="shared" si="5"/>
        <v>0.70596398039501973</v>
      </c>
      <c r="W34" s="498"/>
      <c r="Y34" s="498"/>
    </row>
    <row r="35" spans="1:25">
      <c r="A35" s="150">
        <v>415</v>
      </c>
      <c r="B35" s="555" t="str">
        <f>+VLOOKUP($A35,Master!$D$30:$G$226,4,FALSE)</f>
        <v>Rashodi za tekuće održavanje</v>
      </c>
      <c r="C35" s="556"/>
      <c r="D35" s="556"/>
      <c r="E35" s="556"/>
      <c r="F35" s="556"/>
      <c r="G35" s="163">
        <f>'2023'!S35</f>
        <v>11409880.790000001</v>
      </c>
      <c r="H35" s="163">
        <f>SUM('2023'!G111:M111)</f>
        <v>18700549.290000003</v>
      </c>
      <c r="I35" s="164">
        <f t="shared" si="0"/>
        <v>-7290668.5000000019</v>
      </c>
      <c r="J35" s="166">
        <f t="shared" si="1"/>
        <v>-0.38986386907354853</v>
      </c>
      <c r="K35" s="163">
        <f>SUM('2022'!G35:M35)</f>
        <v>10522226.469999999</v>
      </c>
      <c r="L35" s="164">
        <f t="shared" si="7"/>
        <v>887654.32000000216</v>
      </c>
      <c r="M35" s="168">
        <f t="shared" si="2"/>
        <v>8.4359932998096854E-2</v>
      </c>
      <c r="N35" s="163">
        <f>'2023'!M35</f>
        <v>2332626.6800000002</v>
      </c>
      <c r="O35" s="163">
        <f>'2023'!M111</f>
        <v>3526793.7800000003</v>
      </c>
      <c r="P35" s="164">
        <f t="shared" si="6"/>
        <v>-1194167.1000000001</v>
      </c>
      <c r="Q35" s="166">
        <f t="shared" si="3"/>
        <v>-0.33859850461684782</v>
      </c>
      <c r="R35" s="163">
        <f>'2022'!M35</f>
        <v>1888507.44</v>
      </c>
      <c r="S35" s="164">
        <f t="shared" si="4"/>
        <v>444119.24000000022</v>
      </c>
      <c r="T35" s="168">
        <f t="shared" si="5"/>
        <v>0.23516944153526875</v>
      </c>
      <c r="W35" s="498"/>
      <c r="Y35" s="498"/>
    </row>
    <row r="36" spans="1:25">
      <c r="A36" s="150">
        <v>416</v>
      </c>
      <c r="B36" s="555" t="str">
        <f>+VLOOKUP($A36,Master!$D$30:$G$226,4,FALSE)</f>
        <v>Kamate</v>
      </c>
      <c r="C36" s="556"/>
      <c r="D36" s="556"/>
      <c r="E36" s="556"/>
      <c r="F36" s="556"/>
      <c r="G36" s="163">
        <f>'2023'!S36</f>
        <v>56431690.07</v>
      </c>
      <c r="H36" s="163">
        <f>SUM('2023'!G112:M112)</f>
        <v>57901101.290000007</v>
      </c>
      <c r="I36" s="164">
        <f t="shared" si="0"/>
        <v>-1469411.2200000063</v>
      </c>
      <c r="J36" s="166">
        <f t="shared" si="1"/>
        <v>-2.5377949421728663E-2</v>
      </c>
      <c r="K36" s="163">
        <f>SUM('2022'!G36:M36)</f>
        <v>42859145.700000003</v>
      </c>
      <c r="L36" s="164">
        <f t="shared" si="7"/>
        <v>13572544.369999997</v>
      </c>
      <c r="M36" s="168">
        <f t="shared" si="2"/>
        <v>0.31667790265824158</v>
      </c>
      <c r="N36" s="163">
        <f>'2023'!M36</f>
        <v>7564242.8499999996</v>
      </c>
      <c r="O36" s="163">
        <f>'2023'!M112</f>
        <v>9738888.0899999999</v>
      </c>
      <c r="P36" s="164">
        <f t="shared" si="6"/>
        <v>-2174645.2400000002</v>
      </c>
      <c r="Q36" s="166">
        <f t="shared" si="3"/>
        <v>-0.22329502299476578</v>
      </c>
      <c r="R36" s="163">
        <f>'2022'!M36</f>
        <v>3784062.82</v>
      </c>
      <c r="S36" s="164">
        <f t="shared" si="4"/>
        <v>3780180.03</v>
      </c>
      <c r="T36" s="168">
        <f t="shared" si="5"/>
        <v>0.99897390974074796</v>
      </c>
      <c r="W36" s="498"/>
      <c r="Y36" s="498"/>
    </row>
    <row r="37" spans="1:25">
      <c r="A37" s="150">
        <v>417</v>
      </c>
      <c r="B37" s="555" t="str">
        <f>+VLOOKUP($A37,Master!$D$30:$G$226,4,FALSE)</f>
        <v>Renta</v>
      </c>
      <c r="C37" s="556"/>
      <c r="D37" s="556"/>
      <c r="E37" s="556"/>
      <c r="F37" s="556"/>
      <c r="G37" s="163">
        <f>'2023'!S37</f>
        <v>5695565.580000001</v>
      </c>
      <c r="H37" s="163">
        <f>SUM('2023'!G113:M113)</f>
        <v>6648380.7399999993</v>
      </c>
      <c r="I37" s="164">
        <f t="shared" si="0"/>
        <v>-952815.15999999829</v>
      </c>
      <c r="J37" s="166">
        <f t="shared" si="1"/>
        <v>-0.14331537215782231</v>
      </c>
      <c r="K37" s="163">
        <f>SUM('2022'!G37:M37)</f>
        <v>5334567.49</v>
      </c>
      <c r="L37" s="164">
        <f t="shared" si="7"/>
        <v>360998.09000000078</v>
      </c>
      <c r="M37" s="168">
        <f t="shared" si="2"/>
        <v>6.7671482397910543E-2</v>
      </c>
      <c r="N37" s="163">
        <f>'2023'!M37</f>
        <v>855063.86</v>
      </c>
      <c r="O37" s="163">
        <f>'2023'!M113</f>
        <v>1080755.29</v>
      </c>
      <c r="P37" s="164">
        <f t="shared" si="6"/>
        <v>-225691.43000000005</v>
      </c>
      <c r="Q37" s="166">
        <f t="shared" si="3"/>
        <v>-0.20882750432801489</v>
      </c>
      <c r="R37" s="163">
        <f>'2022'!M37</f>
        <v>1032330.36</v>
      </c>
      <c r="S37" s="164">
        <f t="shared" si="4"/>
        <v>-177266.5</v>
      </c>
      <c r="T37" s="168">
        <f t="shared" si="5"/>
        <v>-0.17171489560764253</v>
      </c>
      <c r="W37" s="498"/>
      <c r="Y37" s="498"/>
    </row>
    <row r="38" spans="1:25">
      <c r="A38" s="150">
        <v>418</v>
      </c>
      <c r="B38" s="555" t="str">
        <f>+VLOOKUP($A38,Master!$D$30:$G$226,4,FALSE)</f>
        <v>Subvencije</v>
      </c>
      <c r="C38" s="556"/>
      <c r="D38" s="556"/>
      <c r="E38" s="556"/>
      <c r="F38" s="556"/>
      <c r="G38" s="163">
        <f>'2023'!S38</f>
        <v>28585330.059999999</v>
      </c>
      <c r="H38" s="163">
        <f>SUM('2023'!G114:M114)</f>
        <v>36906367.530000001</v>
      </c>
      <c r="I38" s="164">
        <f t="shared" si="0"/>
        <v>-8321037.4700000025</v>
      </c>
      <c r="J38" s="166">
        <f t="shared" si="1"/>
        <v>-0.22546346408207463</v>
      </c>
      <c r="K38" s="163">
        <f>SUM('2022'!G38:M38)</f>
        <v>24460017.150000002</v>
      </c>
      <c r="L38" s="164">
        <f t="shared" si="7"/>
        <v>4125312.9099999964</v>
      </c>
      <c r="M38" s="168">
        <f t="shared" si="2"/>
        <v>0.16865535640068008</v>
      </c>
      <c r="N38" s="163">
        <f>'2023'!M38</f>
        <v>5321623.71</v>
      </c>
      <c r="O38" s="163">
        <f>'2023'!M114</f>
        <v>5318459.6400000006</v>
      </c>
      <c r="P38" s="164">
        <f t="shared" si="6"/>
        <v>3164.0699999993667</v>
      </c>
      <c r="Q38" s="166">
        <f t="shared" si="3"/>
        <v>5.949222545946764E-4</v>
      </c>
      <c r="R38" s="163">
        <f>'2022'!M38</f>
        <v>3592301.72</v>
      </c>
      <c r="S38" s="164">
        <f t="shared" si="4"/>
        <v>1729321.9899999998</v>
      </c>
      <c r="T38" s="168">
        <f t="shared" si="5"/>
        <v>0.48139664337549015</v>
      </c>
      <c r="W38" s="498"/>
      <c r="Y38" s="498"/>
    </row>
    <row r="39" spans="1:25">
      <c r="A39" s="150">
        <v>419</v>
      </c>
      <c r="B39" s="555" t="str">
        <f>+VLOOKUP($A39,Master!$D$30:$G$226,4,FALSE)</f>
        <v>Ostali izdaci</v>
      </c>
      <c r="C39" s="556"/>
      <c r="D39" s="556"/>
      <c r="E39" s="556"/>
      <c r="F39" s="556"/>
      <c r="G39" s="163">
        <f>'2023'!S39</f>
        <v>26790586.350000001</v>
      </c>
      <c r="H39" s="163">
        <f>SUM('2023'!G115:M115)</f>
        <v>37855824.110000007</v>
      </c>
      <c r="I39" s="164">
        <f t="shared" si="0"/>
        <v>-11065237.760000005</v>
      </c>
      <c r="J39" s="166">
        <f t="shared" si="1"/>
        <v>-0.29229948152355789</v>
      </c>
      <c r="K39" s="163">
        <f>SUM('2022'!G39:M39)</f>
        <v>22082662.91</v>
      </c>
      <c r="L39" s="164">
        <f t="shared" si="7"/>
        <v>4707923.4400000013</v>
      </c>
      <c r="M39" s="168">
        <f t="shared" si="2"/>
        <v>0.21319545831893527</v>
      </c>
      <c r="N39" s="163">
        <f>'2023'!M39</f>
        <v>5431693.9500000002</v>
      </c>
      <c r="O39" s="163">
        <f>'2023'!M115</f>
        <v>7659719.3700000038</v>
      </c>
      <c r="P39" s="164">
        <f t="shared" si="6"/>
        <v>-2228025.4200000037</v>
      </c>
      <c r="Q39" s="166">
        <f t="shared" si="3"/>
        <v>-0.29087559378823591</v>
      </c>
      <c r="R39" s="163">
        <f>'2022'!M39</f>
        <v>4636189.87</v>
      </c>
      <c r="S39" s="164">
        <f t="shared" si="4"/>
        <v>795504.08000000007</v>
      </c>
      <c r="T39" s="168">
        <f t="shared" si="5"/>
        <v>0.17158574223794676</v>
      </c>
      <c r="W39" s="498"/>
      <c r="Y39" s="498"/>
    </row>
    <row r="40" spans="1:25">
      <c r="A40" s="150">
        <v>42</v>
      </c>
      <c r="B40" s="551" t="str">
        <f>+VLOOKUP($A40,Master!$D$30:$G$226,4,FALSE)</f>
        <v>Transferi za socijalnu zaštitu</v>
      </c>
      <c r="C40" s="552"/>
      <c r="D40" s="552"/>
      <c r="E40" s="552"/>
      <c r="F40" s="552"/>
      <c r="G40" s="193">
        <f>'2023'!S40</f>
        <v>460392389.26999986</v>
      </c>
      <c r="H40" s="193">
        <f>SUM('2023'!G116:M116)</f>
        <v>454192430.49000007</v>
      </c>
      <c r="I40" s="194">
        <f t="shared" si="0"/>
        <v>6199958.7799997926</v>
      </c>
      <c r="J40" s="196">
        <f t="shared" si="1"/>
        <v>1.3650511025274037E-2</v>
      </c>
      <c r="K40" s="193">
        <f>SUM('2022'!G40:M40)</f>
        <v>352704165.64999998</v>
      </c>
      <c r="L40" s="194">
        <f t="shared" si="7"/>
        <v>107688223.61999989</v>
      </c>
      <c r="M40" s="198">
        <f t="shared" si="2"/>
        <v>0.30532166644967407</v>
      </c>
      <c r="N40" s="193">
        <f>'2023'!M40</f>
        <v>68456466.98999998</v>
      </c>
      <c r="O40" s="193">
        <f>'2023'!M116</f>
        <v>66194886.530000009</v>
      </c>
      <c r="P40" s="194">
        <f t="shared" si="6"/>
        <v>2261580.4599999711</v>
      </c>
      <c r="Q40" s="196">
        <f t="shared" si="3"/>
        <v>3.4165485863851597E-2</v>
      </c>
      <c r="R40" s="193">
        <f>'2022'!M40</f>
        <v>55873905.100000001</v>
      </c>
      <c r="S40" s="194">
        <f t="shared" si="4"/>
        <v>12582561.889999978</v>
      </c>
      <c r="T40" s="198">
        <f t="shared" si="5"/>
        <v>0.22519567707824262</v>
      </c>
      <c r="W40" s="498"/>
      <c r="Y40" s="498"/>
    </row>
    <row r="41" spans="1:25">
      <c r="A41" s="150">
        <v>421</v>
      </c>
      <c r="B41" s="555" t="str">
        <f>+VLOOKUP($A41,Master!$D$30:$G$226,4,FALSE)</f>
        <v>Prava iz oblasti socijalne zaštite</v>
      </c>
      <c r="C41" s="556"/>
      <c r="D41" s="556"/>
      <c r="E41" s="556"/>
      <c r="F41" s="556"/>
      <c r="G41" s="163">
        <f>'2023'!S41</f>
        <v>120072324.13</v>
      </c>
      <c r="H41" s="163">
        <f>SUM('2023'!G117:M117)</f>
        <v>110914640.10000001</v>
      </c>
      <c r="I41" s="164">
        <f t="shared" si="0"/>
        <v>9157684.0299999863</v>
      </c>
      <c r="J41" s="166">
        <f t="shared" si="1"/>
        <v>8.2565151198646713E-2</v>
      </c>
      <c r="K41" s="163">
        <f>SUM('2022'!G41:M41)</f>
        <v>69271436.739999995</v>
      </c>
      <c r="L41" s="164">
        <f t="shared" si="7"/>
        <v>50800887.390000001</v>
      </c>
      <c r="M41" s="168">
        <f t="shared" si="2"/>
        <v>0.73335980572589476</v>
      </c>
      <c r="N41" s="163">
        <f>'2023'!M41</f>
        <v>17264195.690000001</v>
      </c>
      <c r="O41" s="163">
        <f>'2023'!M117</f>
        <v>15846148.98</v>
      </c>
      <c r="P41" s="164">
        <f t="shared" si="6"/>
        <v>1418046.7100000009</v>
      </c>
      <c r="Q41" s="166">
        <f t="shared" si="3"/>
        <v>8.9488412092412428E-2</v>
      </c>
      <c r="R41" s="163">
        <f>'2022'!M41</f>
        <v>11864302.59</v>
      </c>
      <c r="S41" s="164">
        <f t="shared" si="4"/>
        <v>5399893.1000000015</v>
      </c>
      <c r="T41" s="168">
        <f t="shared" si="5"/>
        <v>0.45513784388400369</v>
      </c>
      <c r="W41" s="498"/>
      <c r="Y41" s="498"/>
    </row>
    <row r="42" spans="1:25">
      <c r="A42" s="150">
        <v>422</v>
      </c>
      <c r="B42" s="555" t="str">
        <f>+VLOOKUP($A42,Master!$D$30:$G$226,4,FALSE)</f>
        <v>Sredstva za tehnološke viškove</v>
      </c>
      <c r="C42" s="556"/>
      <c r="D42" s="556"/>
      <c r="E42" s="556"/>
      <c r="F42" s="556"/>
      <c r="G42" s="163">
        <f>'2023'!S42</f>
        <v>12490656.829999998</v>
      </c>
      <c r="H42" s="163">
        <f>SUM('2023'!G118:M118)</f>
        <v>14314269.310000002</v>
      </c>
      <c r="I42" s="164">
        <f t="shared" si="0"/>
        <v>-1823612.4800000042</v>
      </c>
      <c r="J42" s="166">
        <f t="shared" si="1"/>
        <v>-0.12739822344449125</v>
      </c>
      <c r="K42" s="163">
        <f>SUM('2022'!G42:M42)</f>
        <v>14199430.709999999</v>
      </c>
      <c r="L42" s="164">
        <f t="shared" si="7"/>
        <v>-1708773.8800000008</v>
      </c>
      <c r="M42" s="168">
        <f t="shared" si="2"/>
        <v>-0.12034101330531444</v>
      </c>
      <c r="N42" s="163">
        <f>'2023'!M42</f>
        <v>1987831.61</v>
      </c>
      <c r="O42" s="163">
        <f>'2023'!M118</f>
        <v>2859361.33</v>
      </c>
      <c r="P42" s="164">
        <f t="shared" si="6"/>
        <v>-871529.72</v>
      </c>
      <c r="Q42" s="166">
        <f t="shared" si="3"/>
        <v>-0.30479873629682186</v>
      </c>
      <c r="R42" s="163">
        <f>'2022'!M42</f>
        <v>2195965.0099999998</v>
      </c>
      <c r="S42" s="164">
        <f t="shared" si="4"/>
        <v>-208133.39999999967</v>
      </c>
      <c r="T42" s="168">
        <f t="shared" si="5"/>
        <v>-9.4779925477956328E-2</v>
      </c>
      <c r="W42" s="498"/>
      <c r="Y42" s="498"/>
    </row>
    <row r="43" spans="1:25">
      <c r="A43" s="150">
        <v>423</v>
      </c>
      <c r="B43" s="555" t="str">
        <f>+VLOOKUP($A43,Master!$D$30:$G$226,4,FALSE)</f>
        <v>Prava iz oblasti penzijskog i invalidskog osiguranja</v>
      </c>
      <c r="C43" s="556"/>
      <c r="D43" s="556"/>
      <c r="E43" s="556"/>
      <c r="F43" s="556"/>
      <c r="G43" s="163">
        <f>'2023'!S43</f>
        <v>310340061.97999996</v>
      </c>
      <c r="H43" s="163">
        <f>SUM('2023'!G119:M119)</f>
        <v>309078521.08000004</v>
      </c>
      <c r="I43" s="164">
        <f t="shared" si="0"/>
        <v>1261540.8999999166</v>
      </c>
      <c r="J43" s="166">
        <f t="shared" si="1"/>
        <v>4.0816194395902894E-3</v>
      </c>
      <c r="K43" s="163">
        <f>SUM('2022'!G43:M43)</f>
        <v>254698060.94999993</v>
      </c>
      <c r="L43" s="164">
        <f t="shared" si="7"/>
        <v>55642001.030000031</v>
      </c>
      <c r="M43" s="168">
        <f t="shared" si="2"/>
        <v>0.21846260164863662</v>
      </c>
      <c r="N43" s="163">
        <f>'2023'!M43</f>
        <v>47073242.11999999</v>
      </c>
      <c r="O43" s="163">
        <f>'2023'!M119</f>
        <v>44134376.220000006</v>
      </c>
      <c r="P43" s="164">
        <f t="shared" si="6"/>
        <v>2938865.8999999836</v>
      </c>
      <c r="Q43" s="166">
        <f t="shared" si="3"/>
        <v>6.6589043546245952E-2</v>
      </c>
      <c r="R43" s="163">
        <f>'2022'!M43</f>
        <v>37880340.310000002</v>
      </c>
      <c r="S43" s="164">
        <f t="shared" si="4"/>
        <v>9192901.8099999875</v>
      </c>
      <c r="T43" s="168">
        <f t="shared" si="5"/>
        <v>0.24268266163314167</v>
      </c>
      <c r="W43" s="498"/>
      <c r="Y43" s="498"/>
    </row>
    <row r="44" spans="1:25">
      <c r="A44" s="150">
        <v>424</v>
      </c>
      <c r="B44" s="555" t="str">
        <f>+VLOOKUP($A44,Master!$D$30:$G$226,4,FALSE)</f>
        <v>Ostala prava iz oblasti zdravstvene zaštite</v>
      </c>
      <c r="C44" s="556"/>
      <c r="D44" s="556"/>
      <c r="E44" s="556"/>
      <c r="F44" s="556"/>
      <c r="G44" s="163">
        <f>'2023'!S44</f>
        <v>11167922.58</v>
      </c>
      <c r="H44" s="163">
        <f>SUM('2023'!G120:M120)</f>
        <v>12285000</v>
      </c>
      <c r="I44" s="164">
        <f t="shared" si="0"/>
        <v>-1117077.42</v>
      </c>
      <c r="J44" s="166">
        <f t="shared" si="1"/>
        <v>-9.0930192918192931E-2</v>
      </c>
      <c r="K44" s="163">
        <f>SUM('2022'!G44:M44)</f>
        <v>8227469.7999999998</v>
      </c>
      <c r="L44" s="164">
        <f t="shared" si="7"/>
        <v>2940452.7800000003</v>
      </c>
      <c r="M44" s="168">
        <f t="shared" si="2"/>
        <v>0.35739453944881094</v>
      </c>
      <c r="N44" s="163">
        <f>'2023'!M44</f>
        <v>1043937.75</v>
      </c>
      <c r="O44" s="163">
        <f>'2023'!M120</f>
        <v>1755000</v>
      </c>
      <c r="P44" s="164">
        <f t="shared" si="6"/>
        <v>-711062.25</v>
      </c>
      <c r="Q44" s="166">
        <f t="shared" si="3"/>
        <v>-0.40516367521367525</v>
      </c>
      <c r="R44" s="163">
        <f>'2022'!M44</f>
        <v>2611388.4699999997</v>
      </c>
      <c r="S44" s="164">
        <f t="shared" si="4"/>
        <v>-1567450.7199999997</v>
      </c>
      <c r="T44" s="168">
        <f t="shared" si="5"/>
        <v>-0.6002365170893168</v>
      </c>
      <c r="W44" s="498"/>
      <c r="Y44" s="498"/>
    </row>
    <row r="45" spans="1:25">
      <c r="A45" s="150">
        <v>425</v>
      </c>
      <c r="B45" s="555" t="str">
        <f>+VLOOKUP($A45,Master!$D$30:$G$226,4,FALSE)</f>
        <v>Ostala prava iz zdravstvenog osiguranja</v>
      </c>
      <c r="C45" s="556"/>
      <c r="D45" s="556"/>
      <c r="E45" s="556"/>
      <c r="F45" s="556"/>
      <c r="G45" s="163">
        <f>'2023'!S45</f>
        <v>6321423.75</v>
      </c>
      <c r="H45" s="163">
        <f>SUM('2023'!G121:M121)</f>
        <v>7600000</v>
      </c>
      <c r="I45" s="164">
        <f t="shared" si="0"/>
        <v>-1278576.25</v>
      </c>
      <c r="J45" s="166">
        <f t="shared" si="1"/>
        <v>-0.16823371710526314</v>
      </c>
      <c r="K45" s="163">
        <f>SUM('2022'!G45:M45)</f>
        <v>6307767.4500000002</v>
      </c>
      <c r="L45" s="164">
        <f t="shared" si="7"/>
        <v>13656.299999999814</v>
      </c>
      <c r="M45" s="168">
        <f t="shared" si="2"/>
        <v>2.1649973795403454E-3</v>
      </c>
      <c r="N45" s="163">
        <f>'2023'!M45</f>
        <v>1087259.82</v>
      </c>
      <c r="O45" s="163">
        <f>'2023'!M121</f>
        <v>1600000</v>
      </c>
      <c r="P45" s="164">
        <f t="shared" si="6"/>
        <v>-512740.17999999993</v>
      </c>
      <c r="Q45" s="166">
        <f t="shared" si="3"/>
        <v>-0.32046261249999997</v>
      </c>
      <c r="R45" s="163">
        <f>'2022'!M45</f>
        <v>1321908.72</v>
      </c>
      <c r="S45" s="164">
        <f t="shared" si="4"/>
        <v>-234648.89999999991</v>
      </c>
      <c r="T45" s="168">
        <f t="shared" si="5"/>
        <v>-0.17750764213129622</v>
      </c>
      <c r="W45" s="498"/>
      <c r="Y45" s="498"/>
    </row>
    <row r="46" spans="1:25">
      <c r="A46" s="150">
        <v>43</v>
      </c>
      <c r="B46" s="553" t="str">
        <f>+VLOOKUP($A46,Master!$D$30:$G$226,4,FALSE)</f>
        <v xml:space="preserve">Transferi institucijama, pojedincima, nevladinom i javnom sektoru </v>
      </c>
      <c r="C46" s="554"/>
      <c r="D46" s="554"/>
      <c r="E46" s="554"/>
      <c r="F46" s="554"/>
      <c r="G46" s="175">
        <f>'2023'!S46</f>
        <v>187709340.43000001</v>
      </c>
      <c r="H46" s="175">
        <f>SUM('2023'!G122:M122)</f>
        <v>192257189.10000002</v>
      </c>
      <c r="I46" s="176">
        <f t="shared" si="0"/>
        <v>-4547848.6700000167</v>
      </c>
      <c r="J46" s="178">
        <f t="shared" si="1"/>
        <v>-2.3655025288206621E-2</v>
      </c>
      <c r="K46" s="175">
        <f>SUM('2022'!G46:M46)</f>
        <v>164336217.45999998</v>
      </c>
      <c r="L46" s="176">
        <f t="shared" si="7"/>
        <v>23373122.970000029</v>
      </c>
      <c r="M46" s="180">
        <f t="shared" si="2"/>
        <v>0.14222746106280026</v>
      </c>
      <c r="N46" s="175">
        <f>'2023'!M46</f>
        <v>42652465.160000011</v>
      </c>
      <c r="O46" s="175">
        <f>'2023'!M122</f>
        <v>44313993.49000001</v>
      </c>
      <c r="P46" s="176">
        <f t="shared" si="6"/>
        <v>-1661528.3299999982</v>
      </c>
      <c r="Q46" s="178">
        <f t="shared" si="3"/>
        <v>-3.7494439095743903E-2</v>
      </c>
      <c r="R46" s="175">
        <f>'2022'!M46</f>
        <v>21720140.949999999</v>
      </c>
      <c r="S46" s="176">
        <f t="shared" si="4"/>
        <v>20932324.210000012</v>
      </c>
      <c r="T46" s="180">
        <f t="shared" si="5"/>
        <v>0.9637287464287847</v>
      </c>
      <c r="W46" s="498"/>
      <c r="Y46" s="498"/>
    </row>
    <row r="47" spans="1:25">
      <c r="A47" s="150">
        <v>44</v>
      </c>
      <c r="B47" s="553" t="str">
        <f>+VLOOKUP($A47,Master!$D$30:$G$226,4,FALSE)</f>
        <v>Kapitalni izdaci</v>
      </c>
      <c r="C47" s="554"/>
      <c r="D47" s="554"/>
      <c r="E47" s="554"/>
      <c r="F47" s="554"/>
      <c r="G47" s="175">
        <f>'2023'!S47</f>
        <v>58265692.829999998</v>
      </c>
      <c r="H47" s="175">
        <f>SUM('2023'!G123:M123)</f>
        <v>140997705.52000001</v>
      </c>
      <c r="I47" s="176">
        <f t="shared" si="0"/>
        <v>-82732012.690000013</v>
      </c>
      <c r="J47" s="178">
        <f t="shared" si="1"/>
        <v>-0.58676141136399407</v>
      </c>
      <c r="K47" s="175">
        <f>SUM('2022'!G47:M47)</f>
        <v>128426537.69999999</v>
      </c>
      <c r="L47" s="176">
        <f t="shared" si="7"/>
        <v>-70160844.86999999</v>
      </c>
      <c r="M47" s="180">
        <f t="shared" si="2"/>
        <v>-0.54631111393731824</v>
      </c>
      <c r="N47" s="175">
        <f>'2023'!M47</f>
        <v>16132994.560000004</v>
      </c>
      <c r="O47" s="175">
        <f>'2023'!M123</f>
        <v>26114418.27</v>
      </c>
      <c r="P47" s="176">
        <f t="shared" si="6"/>
        <v>-9981423.7099999953</v>
      </c>
      <c r="Q47" s="178">
        <f t="shared" si="3"/>
        <v>-0.38221888026763218</v>
      </c>
      <c r="R47" s="175">
        <f>'2022'!M47</f>
        <v>25040863.600000001</v>
      </c>
      <c r="S47" s="176">
        <f t="shared" si="4"/>
        <v>-8907869.0399999972</v>
      </c>
      <c r="T47" s="180">
        <f t="shared" si="5"/>
        <v>-0.35573329986909863</v>
      </c>
      <c r="W47" s="498"/>
      <c r="Y47" s="498"/>
    </row>
    <row r="48" spans="1:25">
      <c r="A48" s="150">
        <v>451</v>
      </c>
      <c r="B48" s="523" t="str">
        <f>+VLOOKUP($A48,Master!$D$30:$G$226,4,FALSE)</f>
        <v>Pozajmice i krediti</v>
      </c>
      <c r="C48" s="524"/>
      <c r="D48" s="524"/>
      <c r="E48" s="524"/>
      <c r="F48" s="524"/>
      <c r="G48" s="163">
        <f>'2023'!S48</f>
        <v>0</v>
      </c>
      <c r="H48" s="163">
        <f>SUM('2023'!G124:M124)</f>
        <v>2992007</v>
      </c>
      <c r="I48" s="164">
        <f>G48-H48</f>
        <v>-2992007</v>
      </c>
      <c r="J48" s="282">
        <f t="shared" si="1"/>
        <v>-1</v>
      </c>
      <c r="K48" s="163">
        <f>SUM('2022'!G48:M48)</f>
        <v>0</v>
      </c>
      <c r="L48" s="279">
        <f t="shared" si="7"/>
        <v>0</v>
      </c>
      <c r="M48" s="503" t="str">
        <f t="shared" si="2"/>
        <v>...</v>
      </c>
      <c r="N48" s="163">
        <f>'2023'!M48</f>
        <v>0</v>
      </c>
      <c r="O48" s="163">
        <f>'2023'!M124</f>
        <v>2400</v>
      </c>
      <c r="P48" s="164">
        <f t="shared" si="6"/>
        <v>-2400</v>
      </c>
      <c r="Q48" s="282">
        <f t="shared" si="3"/>
        <v>-1</v>
      </c>
      <c r="R48" s="163">
        <f>'2022'!M48</f>
        <v>0</v>
      </c>
      <c r="S48" s="279">
        <f>+N48-R48-S58</f>
        <v>-105927.36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23" t="str">
        <f>+VLOOKUP($A49,Master!$D$30:$G$226,4,FALSE)</f>
        <v>Rezerve</v>
      </c>
      <c r="C49" s="524"/>
      <c r="D49" s="524"/>
      <c r="E49" s="524"/>
      <c r="F49" s="524"/>
      <c r="G49" s="163">
        <f>'2023'!S49</f>
        <v>11057689.189999999</v>
      </c>
      <c r="H49" s="163">
        <f>SUM('2023'!G125:M125)</f>
        <v>21978608.59</v>
      </c>
      <c r="I49" s="164">
        <f t="shared" ref="I49:I50" si="8">G49-H49</f>
        <v>-10920919.4</v>
      </c>
      <c r="J49" s="283">
        <f t="shared" si="1"/>
        <v>-0.49688857032418721</v>
      </c>
      <c r="K49" s="163">
        <f>SUM('2022'!G49:M49)</f>
        <v>11128437.869999999</v>
      </c>
      <c r="L49" s="280">
        <f t="shared" si="7"/>
        <v>-70748.679999999702</v>
      </c>
      <c r="M49" s="504">
        <f t="shared" si="2"/>
        <v>-6.3574673127055892E-3</v>
      </c>
      <c r="N49" s="163">
        <f>'2023'!M49</f>
        <v>4451250.0999999996</v>
      </c>
      <c r="O49" s="163">
        <f>'2023'!M125</f>
        <v>3237333.25</v>
      </c>
      <c r="P49" s="164">
        <f t="shared" si="6"/>
        <v>1213916.8499999996</v>
      </c>
      <c r="Q49" s="283">
        <f t="shared" si="3"/>
        <v>0.37497432493241156</v>
      </c>
      <c r="R49" s="163">
        <f>'2022'!M49</f>
        <v>5703477.5800000001</v>
      </c>
      <c r="S49" s="280">
        <f t="shared" si="4"/>
        <v>-1252227.4800000004</v>
      </c>
      <c r="T49" s="504">
        <f t="shared" si="5"/>
        <v>-0.21955508063906515</v>
      </c>
      <c r="W49" s="498"/>
      <c r="Y49" s="498"/>
    </row>
    <row r="50" spans="1:25" ht="15.7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f>'2023'!S50</f>
        <v>2813572.16</v>
      </c>
      <c r="H50" s="163">
        <f>SUM('2023'!G126:M126)</f>
        <v>1.1200000000000001</v>
      </c>
      <c r="I50" s="164">
        <f t="shared" si="8"/>
        <v>2813571.04</v>
      </c>
      <c r="J50" s="284" t="str">
        <f t="shared" si="1"/>
        <v>...</v>
      </c>
      <c r="K50" s="163">
        <f>SUM('2022'!G50:M50)</f>
        <v>500000</v>
      </c>
      <c r="L50" s="280">
        <f t="shared" si="7"/>
        <v>2313572.16</v>
      </c>
      <c r="M50" s="505" t="str">
        <f t="shared" si="2"/>
        <v>...</v>
      </c>
      <c r="N50" s="163">
        <f>'2023'!M50</f>
        <v>1644656.68</v>
      </c>
      <c r="O50" s="163">
        <f>'2023'!M126</f>
        <v>0.16</v>
      </c>
      <c r="P50" s="164">
        <f t="shared" si="6"/>
        <v>1644656.52</v>
      </c>
      <c r="Q50" s="284" t="str">
        <f t="shared" si="3"/>
        <v>...</v>
      </c>
      <c r="R50" s="163">
        <f>'2022'!M50</f>
        <v>0</v>
      </c>
      <c r="S50" s="280">
        <f t="shared" si="4"/>
        <v>1644656.68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41" t="str">
        <f>+VLOOKUP($A51,Master!$D$30:$G$226,4,FALSE)</f>
        <v>Otplata obaveza iz prethodnog perioda</v>
      </c>
      <c r="C51" s="542"/>
      <c r="D51" s="542"/>
      <c r="E51" s="542"/>
      <c r="F51" s="542"/>
      <c r="G51" s="314">
        <f>'2023'!S51</f>
        <v>9089237.5699999984</v>
      </c>
      <c r="H51" s="314">
        <f>SUM('2023'!G127:M127)</f>
        <v>15534579.030000031</v>
      </c>
      <c r="I51" s="281">
        <f>G51-H51</f>
        <v>-6445341.4600000326</v>
      </c>
      <c r="J51" s="285">
        <f t="shared" si="1"/>
        <v>-0.41490287233100642</v>
      </c>
      <c r="K51" s="314">
        <f>SUM('2022'!G51:M51)</f>
        <v>29216800.709999997</v>
      </c>
      <c r="L51" s="287">
        <f t="shared" si="7"/>
        <v>-20127563.140000001</v>
      </c>
      <c r="M51" s="506">
        <f t="shared" si="2"/>
        <v>-0.68890373520982273</v>
      </c>
      <c r="N51" s="314">
        <f>'2023'!M51</f>
        <v>1167301.5299999998</v>
      </c>
      <c r="O51" s="314">
        <f>'2023'!M127</f>
        <v>2395112.6500000046</v>
      </c>
      <c r="P51" s="281">
        <f>N51-O51</f>
        <v>-1227811.1200000048</v>
      </c>
      <c r="Q51" s="285">
        <f t="shared" si="3"/>
        <v>-0.51263188810764393</v>
      </c>
      <c r="R51" s="314">
        <f>'2022'!M51</f>
        <v>2058810.46</v>
      </c>
      <c r="S51" s="287">
        <f>+N51-R51</f>
        <v>-891508.93000000017</v>
      </c>
      <c r="T51" s="506">
        <f t="shared" si="5"/>
        <v>-0.43302137196252644</v>
      </c>
      <c r="W51" s="498"/>
      <c r="Y51" s="498"/>
    </row>
    <row r="52" spans="1:25" ht="15.75" thickBot="1">
      <c r="A52" s="144">
        <v>1005</v>
      </c>
      <c r="B52" s="541" t="str">
        <f>+VLOOKUP($A52,Master!$D$30:$G$228,4,FALSE)</f>
        <v>Neto povećanje obaveza</v>
      </c>
      <c r="C52" s="542"/>
      <c r="D52" s="542"/>
      <c r="E52" s="542"/>
      <c r="F52" s="542"/>
      <c r="G52" s="163">
        <f>'2023'!S52</f>
        <v>0</v>
      </c>
      <c r="H52" s="163">
        <f>SUM('2023'!G128:M128)</f>
        <v>0</v>
      </c>
      <c r="I52" s="281">
        <f>G52-H52</f>
        <v>0</v>
      </c>
      <c r="J52" s="285" t="str">
        <f t="shared" si="1"/>
        <v>...</v>
      </c>
      <c r="K52" s="163">
        <f>SUM('2022'!G52:M52)</f>
        <v>0</v>
      </c>
      <c r="L52" s="287">
        <f t="shared" si="7"/>
        <v>0</v>
      </c>
      <c r="M52" s="506" t="str">
        <f t="shared" si="2"/>
        <v>...</v>
      </c>
      <c r="N52" s="163">
        <f>'2023'!M52</f>
        <v>0</v>
      </c>
      <c r="O52" s="163">
        <f>'2023'!M128</f>
        <v>0</v>
      </c>
      <c r="P52" s="281">
        <f>N52-O52</f>
        <v>0</v>
      </c>
      <c r="Q52" s="285" t="str">
        <f t="shared" si="3"/>
        <v>...</v>
      </c>
      <c r="R52" s="163">
        <f>'2022'!M52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47" t="str">
        <f>+VLOOKUP($A53,Master!$D$30:$G$226,4,FALSE)</f>
        <v>Suficit / deficit</v>
      </c>
      <c r="C53" s="548"/>
      <c r="D53" s="548"/>
      <c r="E53" s="548"/>
      <c r="F53" s="548"/>
      <c r="G53" s="151">
        <f>'2023'!S53</f>
        <v>151479339.63000023</v>
      </c>
      <c r="H53" s="151">
        <f>SUM('2023'!G129:M129)</f>
        <v>-233786911.13513133</v>
      </c>
      <c r="I53" s="320">
        <f>+G53-H53</f>
        <v>385266250.76513159</v>
      </c>
      <c r="J53" s="286">
        <f t="shared" si="1"/>
        <v>-1.6479376407109616</v>
      </c>
      <c r="K53" s="151">
        <f>SUM('2022'!G53:M53)</f>
        <v>-73465905.659999982</v>
      </c>
      <c r="L53" s="288">
        <f t="shared" si="7"/>
        <v>224945245.2900002</v>
      </c>
      <c r="M53" s="507">
        <f t="shared" si="2"/>
        <v>-3.0618998468629273</v>
      </c>
      <c r="N53" s="151">
        <f>'2023'!M53</f>
        <v>-16346352.029999912</v>
      </c>
      <c r="O53" s="151">
        <f>'2023'!M129</f>
        <v>-55367145.076071084</v>
      </c>
      <c r="P53" s="320">
        <f>N53-O53</f>
        <v>39020793.046071172</v>
      </c>
      <c r="Q53" s="286">
        <f t="shared" si="3"/>
        <v>-0.70476440481912117</v>
      </c>
      <c r="R53" s="151">
        <f>'2022'!M53</f>
        <v>-12608211.5</v>
      </c>
      <c r="S53" s="288">
        <f t="shared" si="4"/>
        <v>-3738140.5299999118</v>
      </c>
      <c r="T53" s="507">
        <f t="shared" si="5"/>
        <v>0.29648459894568813</v>
      </c>
      <c r="W53" s="498"/>
      <c r="Y53" s="498"/>
    </row>
    <row r="54" spans="1:25" ht="15.75" thickBot="1">
      <c r="A54" s="144">
        <v>1001</v>
      </c>
      <c r="B54" s="549" t="str">
        <f>+VLOOKUP($A54,Master!$D$30:$G$226,4,FALSE)</f>
        <v>Primarni suficit/deficit</v>
      </c>
      <c r="C54" s="550"/>
      <c r="D54" s="550"/>
      <c r="E54" s="550"/>
      <c r="F54" s="550"/>
      <c r="G54" s="151">
        <f>'2023'!S54</f>
        <v>207911029.70000026</v>
      </c>
      <c r="H54" s="151">
        <f>SUM('2023'!G130:M130)</f>
        <v>-175885809.84513131</v>
      </c>
      <c r="I54" s="206">
        <f t="shared" si="0"/>
        <v>383796839.54513156</v>
      </c>
      <c r="J54" s="208">
        <f t="shared" si="1"/>
        <v>-2.182079611101472</v>
      </c>
      <c r="K54" s="151">
        <f>SUM('2022'!G54:M54)</f>
        <v>-30606759.959999982</v>
      </c>
      <c r="L54" s="206">
        <f t="shared" si="7"/>
        <v>238517789.66000023</v>
      </c>
      <c r="M54" s="210">
        <f t="shared" si="2"/>
        <v>-7.7929774328193995</v>
      </c>
      <c r="N54" s="151">
        <f>'2023'!M54</f>
        <v>-8782109.1799999122</v>
      </c>
      <c r="O54" s="151">
        <f>'2023'!M130</f>
        <v>-45628256.98607108</v>
      </c>
      <c r="P54" s="206">
        <f t="shared" si="6"/>
        <v>36846147.80607117</v>
      </c>
      <c r="Q54" s="208">
        <f t="shared" si="3"/>
        <v>-0.80752915495586819</v>
      </c>
      <c r="R54" s="151">
        <f>'2022'!M54</f>
        <v>-8824148.6799999997</v>
      </c>
      <c r="S54" s="206">
        <f t="shared" si="4"/>
        <v>42039.500000087544</v>
      </c>
      <c r="T54" s="210">
        <f t="shared" si="5"/>
        <v>-4.764142301383778E-3</v>
      </c>
      <c r="W54" s="498"/>
      <c r="Y54" s="498"/>
    </row>
    <row r="55" spans="1:25">
      <c r="A55" s="144">
        <v>46</v>
      </c>
      <c r="B55" s="571" t="str">
        <f>+VLOOKUP($A55,Master!$D$30:$G$226,4,FALSE)</f>
        <v>Otplata dugova</v>
      </c>
      <c r="C55" s="572"/>
      <c r="D55" s="572"/>
      <c r="E55" s="572"/>
      <c r="F55" s="572"/>
      <c r="G55" s="488">
        <f>'2023'!S55</f>
        <v>191495387.16</v>
      </c>
      <c r="H55" s="488">
        <f>SUM('2023'!G131:M131)</f>
        <v>202601287.79000002</v>
      </c>
      <c r="I55" s="489">
        <f t="shared" si="0"/>
        <v>-11105900.630000025</v>
      </c>
      <c r="J55" s="490">
        <f t="shared" si="1"/>
        <v>-5.4816535231066776E-2</v>
      </c>
      <c r="K55" s="488">
        <f>SUM('2022'!G55:M55)</f>
        <v>192895940.86000001</v>
      </c>
      <c r="L55" s="489">
        <f t="shared" si="7"/>
        <v>-1400553.7000000179</v>
      </c>
      <c r="M55" s="508">
        <f t="shared" si="2"/>
        <v>-7.2606696323200826E-3</v>
      </c>
      <c r="N55" s="488">
        <f>'2023'!M55</f>
        <v>31852596.969999999</v>
      </c>
      <c r="O55" s="488">
        <f>'2023'!M131</f>
        <v>40968432.359999999</v>
      </c>
      <c r="P55" s="489">
        <f t="shared" si="6"/>
        <v>-9115835.3900000006</v>
      </c>
      <c r="Q55" s="490">
        <f t="shared" si="3"/>
        <v>-0.22250876747972304</v>
      </c>
      <c r="R55" s="488">
        <f>'2022'!M55</f>
        <v>30399609.420000002</v>
      </c>
      <c r="S55" s="489">
        <f t="shared" si="4"/>
        <v>1452987.549999997</v>
      </c>
      <c r="T55" s="508">
        <f t="shared" si="5"/>
        <v>4.7796257179675283E-2</v>
      </c>
      <c r="W55" s="498"/>
      <c r="Y55" s="498"/>
    </row>
    <row r="56" spans="1:25">
      <c r="A56" s="144">
        <v>4611</v>
      </c>
      <c r="B56" s="523" t="str">
        <f>+VLOOKUP($A56,Master!$D$30:$G$226,4,FALSE)</f>
        <v>Otplata hartija od vrijednosti i kredita rezidentima</v>
      </c>
      <c r="C56" s="524"/>
      <c r="D56" s="524"/>
      <c r="E56" s="524"/>
      <c r="F56" s="524"/>
      <c r="G56" s="163">
        <f>'2023'!S56</f>
        <v>58853189.439999998</v>
      </c>
      <c r="H56" s="163">
        <f>SUM('2023'!G132:M132)</f>
        <v>60102704.790000007</v>
      </c>
      <c r="I56" s="212">
        <f t="shared" si="0"/>
        <v>-1249515.3500000089</v>
      </c>
      <c r="J56" s="214">
        <f t="shared" si="1"/>
        <v>-2.0789669189861582E-2</v>
      </c>
      <c r="K56" s="163">
        <f>SUM('2022'!G56:M56)</f>
        <v>24420542.399999999</v>
      </c>
      <c r="L56" s="212">
        <f t="shared" si="7"/>
        <v>34432647.039999999</v>
      </c>
      <c r="M56" s="216">
        <f t="shared" si="2"/>
        <v>1.4099869886591874</v>
      </c>
      <c r="N56" s="163">
        <f>'2023'!M56</f>
        <v>2461406.0100000002</v>
      </c>
      <c r="O56" s="163">
        <f>'2023'!M132</f>
        <v>2522037.56</v>
      </c>
      <c r="P56" s="212">
        <f t="shared" si="6"/>
        <v>-60631.549999999814</v>
      </c>
      <c r="Q56" s="214">
        <f t="shared" si="3"/>
        <v>-2.40407006468214E-2</v>
      </c>
      <c r="R56" s="163">
        <f>'2022'!M56</f>
        <v>2437648.0699999998</v>
      </c>
      <c r="S56" s="212">
        <f t="shared" si="4"/>
        <v>23757.94000000041</v>
      </c>
      <c r="T56" s="216">
        <f t="shared" si="5"/>
        <v>9.7462551269758002E-3</v>
      </c>
      <c r="W56" s="498"/>
      <c r="Y56" s="498"/>
    </row>
    <row r="57" spans="1:25">
      <c r="A57" s="144">
        <v>4612</v>
      </c>
      <c r="B57" s="523" t="str">
        <f>+VLOOKUP($A57,Master!$D$30:$G$226,4,FALSE)</f>
        <v>Otplata hartija od vrijednosti i kredita nerezidentima</v>
      </c>
      <c r="C57" s="524"/>
      <c r="D57" s="524"/>
      <c r="E57" s="524"/>
      <c r="F57" s="524"/>
      <c r="G57" s="163">
        <f>'2023'!S57</f>
        <v>132642197.71999998</v>
      </c>
      <c r="H57" s="163">
        <f>SUM('2023'!G133:M133)</f>
        <v>142498583</v>
      </c>
      <c r="I57" s="212">
        <f t="shared" si="0"/>
        <v>-9856385.2800000161</v>
      </c>
      <c r="J57" s="214">
        <f t="shared" si="1"/>
        <v>-6.916830379990524E-2</v>
      </c>
      <c r="K57" s="163">
        <f>SUM('2022'!G57:M57)</f>
        <v>168475398.46000001</v>
      </c>
      <c r="L57" s="212">
        <f t="shared" si="7"/>
        <v>-35833200.740000024</v>
      </c>
      <c r="M57" s="216">
        <f t="shared" si="2"/>
        <v>-0.21269099861192886</v>
      </c>
      <c r="N57" s="163">
        <f>'2023'!M57</f>
        <v>29391190.959999997</v>
      </c>
      <c r="O57" s="163">
        <f>'2023'!M133</f>
        <v>38446394.799999997</v>
      </c>
      <c r="P57" s="212">
        <f t="shared" si="6"/>
        <v>-9055203.8399999999</v>
      </c>
      <c r="Q57" s="214">
        <f t="shared" si="3"/>
        <v>-0.23552803551817036</v>
      </c>
      <c r="R57" s="163">
        <f>'2022'!M57</f>
        <v>27961961.350000001</v>
      </c>
      <c r="S57" s="212">
        <f t="shared" si="4"/>
        <v>1429229.6099999957</v>
      </c>
      <c r="T57" s="216">
        <f t="shared" si="5"/>
        <v>5.1113353319901966E-2</v>
      </c>
      <c r="W57" s="498"/>
      <c r="Y57" s="498"/>
    </row>
    <row r="58" spans="1:25" ht="15.75" thickBot="1">
      <c r="A58" s="144">
        <v>4418</v>
      </c>
      <c r="B58" s="551" t="str">
        <f>+VLOOKUP($A58,Master!$D$30:$G$226,4,FALSE)</f>
        <v>Izdaci za kupovinu hartija od vrijednosti</v>
      </c>
      <c r="C58" s="552"/>
      <c r="D58" s="552"/>
      <c r="E58" s="552"/>
      <c r="F58" s="552"/>
      <c r="G58" s="335">
        <f>'2023'!S58</f>
        <v>720866.76</v>
      </c>
      <c r="H58" s="335">
        <f>SUM('2023'!G134:M134)</f>
        <v>729000</v>
      </c>
      <c r="I58" s="336">
        <f t="shared" ref="I58:I66" si="9">+G58-H58</f>
        <v>-8133.2399999999907</v>
      </c>
      <c r="J58" s="337">
        <f t="shared" si="1"/>
        <v>-1.1156707818930078E-2</v>
      </c>
      <c r="K58" s="335">
        <f>SUM('2022'!G58:M58)</f>
        <v>0</v>
      </c>
      <c r="L58" s="336">
        <f t="shared" ref="L58:L66" si="10">+G58-K58</f>
        <v>720866.76</v>
      </c>
      <c r="M58" s="509" t="str">
        <f t="shared" si="2"/>
        <v>...</v>
      </c>
      <c r="N58" s="335">
        <f>'2023'!M58</f>
        <v>105927.36</v>
      </c>
      <c r="O58" s="335">
        <f>'2023'!M134</f>
        <v>10000</v>
      </c>
      <c r="P58" s="336">
        <f t="shared" ref="P58:P66" si="11">+N58-O58</f>
        <v>95927.360000000001</v>
      </c>
      <c r="Q58" s="337" t="str">
        <f t="shared" si="3"/>
        <v>...</v>
      </c>
      <c r="R58" s="335">
        <f>'2022'!M58</f>
        <v>0</v>
      </c>
      <c r="S58" s="336">
        <f t="shared" ref="S58:S66" si="12">+N58-R58</f>
        <v>105927.36</v>
      </c>
      <c r="T58" s="509" t="str">
        <f t="shared" si="5"/>
        <v>...</v>
      </c>
      <c r="W58" s="498"/>
      <c r="Y58" s="498"/>
    </row>
    <row r="59" spans="1:25" ht="15.75" thickBot="1">
      <c r="A59" s="144">
        <v>451</v>
      </c>
      <c r="B59" s="561" t="str">
        <f>+VLOOKUP($A59,Master!$D$30:$G$226,4,FALSE)</f>
        <v>Pozajmice i krediti</v>
      </c>
      <c r="C59" s="562"/>
      <c r="D59" s="562"/>
      <c r="E59" s="562"/>
      <c r="F59" s="562"/>
      <c r="G59" s="335">
        <f>'2023'!S59</f>
        <v>7418847.4399999995</v>
      </c>
      <c r="H59" s="335">
        <f>SUM('2023'!G135:M135)</f>
        <v>0</v>
      </c>
      <c r="I59" s="336">
        <f t="shared" si="9"/>
        <v>7418847.4399999995</v>
      </c>
      <c r="J59" s="337" t="str">
        <f t="shared" si="1"/>
        <v>...</v>
      </c>
      <c r="K59" s="335">
        <f>SUM('2022'!G59:M59)</f>
        <v>8742397.370000001</v>
      </c>
      <c r="L59" s="336">
        <f t="shared" si="10"/>
        <v>-1323549.9300000016</v>
      </c>
      <c r="M59" s="509">
        <f t="shared" si="2"/>
        <v>-0.15139439149058054</v>
      </c>
      <c r="N59" s="335">
        <f>'2023'!M59</f>
        <v>435818</v>
      </c>
      <c r="O59" s="335">
        <f>'2023'!M135</f>
        <v>0</v>
      </c>
      <c r="P59" s="336">
        <f t="shared" si="11"/>
        <v>435818</v>
      </c>
      <c r="Q59" s="337" t="str">
        <f t="shared" si="3"/>
        <v>...</v>
      </c>
      <c r="R59" s="335">
        <f>'2022'!M59</f>
        <v>271871.64</v>
      </c>
      <c r="S59" s="336">
        <f t="shared" si="12"/>
        <v>163946.35999999999</v>
      </c>
      <c r="T59" s="509">
        <f t="shared" si="5"/>
        <v>0.60302854685394913</v>
      </c>
      <c r="W59" s="498"/>
      <c r="Y59" s="498"/>
    </row>
    <row r="60" spans="1:25" ht="15.75" thickBot="1">
      <c r="A60" s="144">
        <v>1002</v>
      </c>
      <c r="B60" s="543" t="str">
        <f>+VLOOKUP($A60,Master!$D$30:$G$226,4,FALSE)</f>
        <v>Nedostajuća sredstva</v>
      </c>
      <c r="C60" s="544"/>
      <c r="D60" s="544"/>
      <c r="E60" s="544"/>
      <c r="F60" s="544"/>
      <c r="G60" s="319">
        <f>'2023'!S60</f>
        <v>-48155761.729999758</v>
      </c>
      <c r="H60" s="319">
        <f>SUM('2023'!G136:M136)</f>
        <v>-437117198.92513132</v>
      </c>
      <c r="I60" s="321">
        <f t="shared" si="9"/>
        <v>388961437.19513154</v>
      </c>
      <c r="J60" s="322">
        <f t="shared" si="1"/>
        <v>-0.88983329448391757</v>
      </c>
      <c r="K60" s="319">
        <f>SUM('2022'!G60:M60)</f>
        <v>-275104243.88999999</v>
      </c>
      <c r="L60" s="321">
        <f>+G60-K60</f>
        <v>226948482.16000023</v>
      </c>
      <c r="M60" s="510">
        <f t="shared" si="2"/>
        <v>-0.82495449343466043</v>
      </c>
      <c r="N60" s="319">
        <f>'2023'!M60</f>
        <v>-48740694.35999991</v>
      </c>
      <c r="O60" s="319">
        <f>'2023'!M136</f>
        <v>-96345577.436071083</v>
      </c>
      <c r="P60" s="321">
        <f t="shared" si="11"/>
        <v>47604883.076071173</v>
      </c>
      <c r="Q60" s="322">
        <f t="shared" si="3"/>
        <v>-0.49410553491839104</v>
      </c>
      <c r="R60" s="319">
        <f>'2022'!M60</f>
        <v>-43279692.560000002</v>
      </c>
      <c r="S60" s="321">
        <f t="shared" si="12"/>
        <v>-5461001.7999999076</v>
      </c>
      <c r="T60" s="510">
        <f t="shared" si="5"/>
        <v>0.12617931128852522</v>
      </c>
      <c r="W60" s="498"/>
      <c r="Y60" s="498"/>
    </row>
    <row r="61" spans="1:25" ht="15.75" thickBot="1">
      <c r="A61" s="144">
        <v>1003</v>
      </c>
      <c r="B61" s="545" t="str">
        <f>+VLOOKUP($A61,Master!$D$30:$G$226,4,FALSE)</f>
        <v>Finansiranje</v>
      </c>
      <c r="C61" s="546"/>
      <c r="D61" s="546"/>
      <c r="E61" s="546"/>
      <c r="F61" s="546"/>
      <c r="G61" s="151">
        <f>'2023'!S61</f>
        <v>48155761.729999758</v>
      </c>
      <c r="H61" s="151">
        <f>SUM('2023'!G137:M137)</f>
        <v>437117198.92513132</v>
      </c>
      <c r="I61" s="320">
        <f t="shared" si="9"/>
        <v>-388961437.19513154</v>
      </c>
      <c r="J61" s="323">
        <f t="shared" si="1"/>
        <v>-0.88983329448391757</v>
      </c>
      <c r="K61" s="151">
        <f>SUM('2022'!G61:M61)</f>
        <v>275104243.88999993</v>
      </c>
      <c r="L61" s="320">
        <f t="shared" si="10"/>
        <v>-226948482.16000018</v>
      </c>
      <c r="M61" s="511">
        <f t="shared" si="2"/>
        <v>-0.82495449343466043</v>
      </c>
      <c r="N61" s="151">
        <f>'2023'!M61</f>
        <v>48740694.35999991</v>
      </c>
      <c r="O61" s="151">
        <f>'2023'!M137</f>
        <v>96345577.436071083</v>
      </c>
      <c r="P61" s="321">
        <f t="shared" si="11"/>
        <v>-47604883.076071173</v>
      </c>
      <c r="Q61" s="323">
        <f t="shared" si="3"/>
        <v>-0.49410553491839104</v>
      </c>
      <c r="R61" s="151">
        <f>'2022'!M61</f>
        <v>43279692.560000002</v>
      </c>
      <c r="S61" s="320">
        <f t="shared" si="12"/>
        <v>5461001.7999999076</v>
      </c>
      <c r="T61" s="511">
        <f t="shared" si="5"/>
        <v>0.12617931128852522</v>
      </c>
      <c r="W61" s="498"/>
      <c r="Y61" s="498"/>
    </row>
    <row r="62" spans="1:25">
      <c r="A62" s="144">
        <v>7511</v>
      </c>
      <c r="B62" s="539" t="str">
        <f>+VLOOKUP($A62,Master!$D$30:$G$226,4,FALSE)</f>
        <v>Pozajmice i krediti od domaćih izvora</v>
      </c>
      <c r="C62" s="540"/>
      <c r="D62" s="540"/>
      <c r="E62" s="540"/>
      <c r="F62" s="540"/>
      <c r="G62" s="163">
        <f>'2023'!S62</f>
        <v>0</v>
      </c>
      <c r="H62" s="163">
        <f>SUM('2023'!G138:M138)</f>
        <v>100000000</v>
      </c>
      <c r="I62" s="212">
        <f t="shared" si="9"/>
        <v>-100000000</v>
      </c>
      <c r="J62" s="214">
        <f t="shared" si="1"/>
        <v>-1</v>
      </c>
      <c r="K62" s="163">
        <f>SUM('2022'!G62:M62)</f>
        <v>0</v>
      </c>
      <c r="L62" s="212">
        <f t="shared" si="10"/>
        <v>0</v>
      </c>
      <c r="M62" s="216" t="str">
        <f t="shared" si="2"/>
        <v>...</v>
      </c>
      <c r="N62" s="163">
        <f>'2023'!M62</f>
        <v>0</v>
      </c>
      <c r="O62" s="163">
        <f>'2023'!M138</f>
        <v>0</v>
      </c>
      <c r="P62" s="212">
        <f t="shared" si="11"/>
        <v>0</v>
      </c>
      <c r="Q62" s="214" t="str">
        <f t="shared" si="3"/>
        <v>...</v>
      </c>
      <c r="R62" s="163">
        <f>'2022'!M62</f>
        <v>0</v>
      </c>
      <c r="S62" s="212">
        <f t="shared" si="12"/>
        <v>0</v>
      </c>
      <c r="T62" s="216" t="str">
        <f t="shared" si="5"/>
        <v>...</v>
      </c>
      <c r="W62" s="498"/>
      <c r="Y62" s="498"/>
    </row>
    <row r="63" spans="1:25">
      <c r="A63" s="144">
        <v>7512</v>
      </c>
      <c r="B63" s="523" t="str">
        <f>+VLOOKUP($A63,Master!$D$30:$G$226,4,FALSE)</f>
        <v>Pozajmice i krediti od inostranih izvora</v>
      </c>
      <c r="C63" s="524"/>
      <c r="D63" s="524"/>
      <c r="E63" s="524"/>
      <c r="F63" s="524"/>
      <c r="G63" s="163">
        <f>'2023'!S63</f>
        <v>111670309.80999999</v>
      </c>
      <c r="H63" s="163">
        <f>SUM('2023'!G139:M139)</f>
        <v>0</v>
      </c>
      <c r="I63" s="212">
        <f t="shared" si="9"/>
        <v>111670309.80999999</v>
      </c>
      <c r="J63" s="214" t="str">
        <f t="shared" si="1"/>
        <v>...</v>
      </c>
      <c r="K63" s="163">
        <f>SUM('2022'!G62:M63)</f>
        <v>82500235.160000011</v>
      </c>
      <c r="L63" s="212">
        <f t="shared" si="10"/>
        <v>29170074.649999976</v>
      </c>
      <c r="M63" s="216">
        <f t="shared" si="2"/>
        <v>0.35357565458362483</v>
      </c>
      <c r="N63" s="163">
        <f>'2023'!M63</f>
        <v>944562.51</v>
      </c>
      <c r="O63" s="163">
        <f>'2023'!M139</f>
        <v>0</v>
      </c>
      <c r="P63" s="212">
        <f t="shared" si="11"/>
        <v>944562.51</v>
      </c>
      <c r="Q63" s="214" t="str">
        <f t="shared" si="3"/>
        <v>...</v>
      </c>
      <c r="R63" s="163">
        <f>'2022'!M63</f>
        <v>8724081.3399999999</v>
      </c>
      <c r="S63" s="212">
        <f t="shared" si="12"/>
        <v>-7779518.8300000001</v>
      </c>
      <c r="T63" s="216">
        <f t="shared" si="5"/>
        <v>-0.89172928665059881</v>
      </c>
      <c r="W63" s="498"/>
      <c r="Y63" s="498"/>
    </row>
    <row r="64" spans="1:25">
      <c r="A64" s="144">
        <v>72</v>
      </c>
      <c r="B64" s="523" t="str">
        <f>+VLOOKUP($A64,Master!$D$30:$G$226,4,FALSE)</f>
        <v>Primici od prodaje imovine</v>
      </c>
      <c r="C64" s="524"/>
      <c r="D64" s="524"/>
      <c r="E64" s="524"/>
      <c r="F64" s="524"/>
      <c r="G64" s="163">
        <f>'2023'!S64</f>
        <v>2062023.8800000001</v>
      </c>
      <c r="H64" s="163">
        <f>SUM('2023'!G140:M140)</f>
        <v>3500000</v>
      </c>
      <c r="I64" s="212">
        <f t="shared" si="9"/>
        <v>-1437976.1199999999</v>
      </c>
      <c r="J64" s="214">
        <f t="shared" si="1"/>
        <v>-0.41085031999999999</v>
      </c>
      <c r="K64" s="163">
        <f>SUM('2022'!G64:M64)</f>
        <v>2410350.14</v>
      </c>
      <c r="L64" s="212">
        <f t="shared" si="10"/>
        <v>-348326.26</v>
      </c>
      <c r="M64" s="216">
        <f t="shared" si="2"/>
        <v>-0.14451272212260413</v>
      </c>
      <c r="N64" s="163">
        <f>'2023'!M64</f>
        <v>178782.18</v>
      </c>
      <c r="O64" s="163">
        <f>'2023'!M140</f>
        <v>500000</v>
      </c>
      <c r="P64" s="212">
        <f t="shared" si="11"/>
        <v>-321217.82</v>
      </c>
      <c r="Q64" s="214">
        <f t="shared" si="3"/>
        <v>-0.64243563999999997</v>
      </c>
      <c r="R64" s="163">
        <f>'2022'!M64</f>
        <v>209628.7</v>
      </c>
      <c r="S64" s="212">
        <f t="shared" si="12"/>
        <v>-30846.520000000019</v>
      </c>
      <c r="T64" s="216">
        <f t="shared" si="5"/>
        <v>-0.14714836279574317</v>
      </c>
      <c r="W64" s="498"/>
      <c r="Y64" s="498"/>
    </row>
    <row r="65" spans="1:25">
      <c r="A65" s="144">
        <v>73</v>
      </c>
      <c r="B65" s="523" t="str">
        <f>+VLOOKUP($A65,Master!$D$30:$G$226,4,FALSE)</f>
        <v>Primici od otplate kredita i sredstva prenesena iz prethodne godine</v>
      </c>
      <c r="C65" s="524"/>
      <c r="D65" s="524"/>
      <c r="E65" s="524"/>
      <c r="F65" s="524"/>
      <c r="G65" s="163">
        <f>'2023'!S65</f>
        <v>8688442.4900000002</v>
      </c>
      <c r="H65" s="163">
        <f>SUM('2023'!G141:M141)</f>
        <v>0</v>
      </c>
      <c r="I65" s="212">
        <f t="shared" si="9"/>
        <v>8688442.4900000002</v>
      </c>
      <c r="J65" s="214" t="str">
        <f t="shared" si="1"/>
        <v>...</v>
      </c>
      <c r="K65" s="163">
        <f>SUM('2022'!G65:M65)</f>
        <v>8362795.7600000007</v>
      </c>
      <c r="L65" s="212">
        <f t="shared" si="10"/>
        <v>325646.72999999952</v>
      </c>
      <c r="M65" s="216">
        <f t="shared" si="2"/>
        <v>3.8939935799651604E-2</v>
      </c>
      <c r="N65" s="163">
        <f>'2023'!M65</f>
        <v>323305.51</v>
      </c>
      <c r="O65" s="163">
        <f>'2023'!M141</f>
        <v>0</v>
      </c>
      <c r="P65" s="212">
        <f t="shared" si="11"/>
        <v>323305.51</v>
      </c>
      <c r="Q65" s="214" t="str">
        <f t="shared" si="3"/>
        <v>...</v>
      </c>
      <c r="R65" s="163">
        <f>'2022'!M65</f>
        <v>215690.69</v>
      </c>
      <c r="S65" s="212">
        <f t="shared" si="12"/>
        <v>107614.82</v>
      </c>
      <c r="T65" s="216">
        <f t="shared" si="5"/>
        <v>0.49893122415251212</v>
      </c>
      <c r="W65" s="498"/>
      <c r="Y65" s="498"/>
    </row>
    <row r="66" spans="1:25" ht="15.7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317">
        <f>'2023'!S66</f>
        <v>-74265014.450000226</v>
      </c>
      <c r="H66" s="317">
        <f>SUM('2023'!G142:M142)</f>
        <v>333617198.92513132</v>
      </c>
      <c r="I66" s="226">
        <f t="shared" si="9"/>
        <v>-407882213.37513155</v>
      </c>
      <c r="J66" s="228">
        <f t="shared" si="1"/>
        <v>-1.2226054732467986</v>
      </c>
      <c r="K66" s="317">
        <f>SUM('2022'!G66:M66)</f>
        <v>181830862.82999998</v>
      </c>
      <c r="L66" s="226">
        <f t="shared" si="10"/>
        <v>-256095877.28000021</v>
      </c>
      <c r="M66" s="230">
        <f t="shared" si="2"/>
        <v>-1.4084290933571226</v>
      </c>
      <c r="N66" s="317">
        <f>'2023'!M66</f>
        <v>47294044.159999907</v>
      </c>
      <c r="O66" s="317">
        <f>'2023'!M142</f>
        <v>95845577.436071083</v>
      </c>
      <c r="P66" s="226">
        <f t="shared" si="11"/>
        <v>-48551533.276071176</v>
      </c>
      <c r="Q66" s="228">
        <f t="shared" si="3"/>
        <v>-0.50655997464729141</v>
      </c>
      <c r="R66" s="317">
        <f>'2022'!M66</f>
        <v>34130291.830000006</v>
      </c>
      <c r="S66" s="226">
        <f t="shared" si="12"/>
        <v>13163752.329999901</v>
      </c>
      <c r="T66" s="230">
        <f t="shared" si="5"/>
        <v>0.38569117415014786</v>
      </c>
      <c r="W66" s="498"/>
      <c r="Y66" s="498"/>
    </row>
    <row r="67" spans="1:25">
      <c r="G67" s="290"/>
    </row>
    <row r="68" spans="1:25">
      <c r="G68" s="5"/>
    </row>
    <row r="69" spans="1:25">
      <c r="F69" s="290"/>
      <c r="G69" s="5"/>
      <c r="H69" s="290"/>
      <c r="N69" s="498"/>
    </row>
    <row r="70" spans="1:25">
      <c r="G70" s="5"/>
    </row>
    <row r="71" spans="1:25">
      <c r="G71" s="5"/>
      <c r="R71" s="344"/>
    </row>
    <row r="72" spans="1:25">
      <c r="G72" s="5"/>
    </row>
  </sheetData>
  <sheetProtection algorithmName="SHA-512" hashValue="Zw2krnUxPjwR9zH5Am/0HCSc75zro+/eQD13hggzo19gCFK1lWimltKETq2jPAnMzpR6VRk/Mnjfp+CL+RByfg==" saltValue="yu3rLPKAqiYe8Td3AIADbg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5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L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ref="M5:R5" si="1">+RIGHT(M6,2)*1</f>
        <v>7</v>
      </c>
      <c r="N5" s="232">
        <f t="shared" si="1"/>
        <v>8</v>
      </c>
      <c r="O5" s="232">
        <f t="shared" si="1"/>
        <v>9</v>
      </c>
      <c r="P5" s="232">
        <f t="shared" si="1"/>
        <v>10</v>
      </c>
      <c r="Q5" s="232">
        <f t="shared" si="1"/>
        <v>11</v>
      </c>
      <c r="R5" s="232">
        <f t="shared" si="1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573" t="str">
        <f>+Master!G252</f>
        <v>Ostvarenje budžeta</v>
      </c>
      <c r="C7" s="526"/>
      <c r="D7" s="526"/>
      <c r="E7" s="526"/>
      <c r="F7" s="526"/>
      <c r="G7" s="534">
        <v>2023</v>
      </c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8"/>
      <c r="S7" s="235" t="str">
        <f>+Master!G249</f>
        <v>BDP</v>
      </c>
      <c r="T7" s="236">
        <v>6174600000</v>
      </c>
    </row>
    <row r="8" spans="1:23" ht="16.5" customHeight="1">
      <c r="A8" s="144"/>
      <c r="B8" s="527"/>
      <c r="C8" s="528"/>
      <c r="D8" s="528"/>
      <c r="E8" s="528"/>
      <c r="F8" s="529"/>
      <c r="G8" s="145" t="str">
        <f>+[1]Master!G232</f>
        <v>Januar</v>
      </c>
      <c r="H8" s="145" t="str">
        <f>+[1]Master!G233</f>
        <v>Februar</v>
      </c>
      <c r="I8" s="145" t="str">
        <f>+[1]Master!G234</f>
        <v>Mart</v>
      </c>
      <c r="J8" s="145" t="str">
        <f>+[1]Master!G235</f>
        <v>April</v>
      </c>
      <c r="K8" s="145" t="str">
        <f>+[1]Master!G236</f>
        <v>Maj</v>
      </c>
      <c r="L8" s="145" t="str">
        <f>+[1]Master!G237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4" t="str">
        <f>+Master!G247</f>
        <v>Jan - Dec</v>
      </c>
      <c r="T8" s="538"/>
    </row>
    <row r="9" spans="1:23" ht="13.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5" t="str">
        <f>+VLOOKUP($A10,Master!$D$30:$G$226,4,FALSE)</f>
        <v>Prihodi budžeta</v>
      </c>
      <c r="C10" s="546"/>
      <c r="D10" s="546"/>
      <c r="E10" s="546"/>
      <c r="F10" s="546"/>
      <c r="G10" s="151">
        <f>+G11+G19+SUM(G24:G28)</f>
        <v>167657460.13999999</v>
      </c>
      <c r="H10" s="151">
        <f t="shared" ref="H10:L10" si="2">+H11+H19+SUM(H24:H28)</f>
        <v>142408453.72</v>
      </c>
      <c r="I10" s="151">
        <f t="shared" si="2"/>
        <v>232411999.90999997</v>
      </c>
      <c r="J10" s="151">
        <f t="shared" si="2"/>
        <v>254923839.54000002</v>
      </c>
      <c r="K10" s="151">
        <f t="shared" si="2"/>
        <v>186582938.95000002</v>
      </c>
      <c r="L10" s="151">
        <f t="shared" si="2"/>
        <v>252422552</v>
      </c>
      <c r="M10" s="151">
        <f t="shared" ref="M10:R10" si="3">+M11+M19+SUM(M24:M28)</f>
        <v>207453149.96000004</v>
      </c>
      <c r="N10" s="151">
        <f t="shared" si="3"/>
        <v>0</v>
      </c>
      <c r="O10" s="151">
        <f t="shared" si="3"/>
        <v>0</v>
      </c>
      <c r="P10" s="151">
        <f t="shared" si="3"/>
        <v>0</v>
      </c>
      <c r="Q10" s="151">
        <f t="shared" si="3"/>
        <v>0</v>
      </c>
      <c r="R10" s="151">
        <f t="shared" si="3"/>
        <v>0</v>
      </c>
      <c r="S10" s="239">
        <f>+SUM(G10:R10)</f>
        <v>1443860394.22</v>
      </c>
      <c r="T10" s="461">
        <f>+S10/$T$7*100</f>
        <v>23.383869306837688</v>
      </c>
    </row>
    <row r="11" spans="1:23">
      <c r="A11" s="150">
        <v>711</v>
      </c>
      <c r="B11" s="569" t="str">
        <f>+VLOOKUP($A11,Master!$D$30:$G$226,4,FALSE)</f>
        <v>Porezi</v>
      </c>
      <c r="C11" s="570"/>
      <c r="D11" s="570"/>
      <c r="E11" s="570"/>
      <c r="F11" s="570"/>
      <c r="G11" s="157">
        <f t="shared" ref="G11:I11" si="4">+SUM(G12:G18)</f>
        <v>103490146.19</v>
      </c>
      <c r="H11" s="157">
        <f t="shared" si="4"/>
        <v>91059566.450000003</v>
      </c>
      <c r="I11" s="157">
        <f t="shared" si="4"/>
        <v>151829456.91999999</v>
      </c>
      <c r="J11" s="157">
        <f>+SUM(J12:J18)</f>
        <v>191461569.71000001</v>
      </c>
      <c r="K11" s="157">
        <f>+SUM(K12:K18)</f>
        <v>130851714.41000001</v>
      </c>
      <c r="L11" s="157">
        <f>+SUM(L12:L18)</f>
        <v>131511620.45999998</v>
      </c>
      <c r="M11" s="157">
        <f t="shared" ref="M11:R11" si="5">+SUM(M12:M18)</f>
        <v>143616587.01000002</v>
      </c>
      <c r="N11" s="157">
        <f t="shared" si="5"/>
        <v>0</v>
      </c>
      <c r="O11" s="157">
        <f t="shared" si="5"/>
        <v>0</v>
      </c>
      <c r="P11" s="157">
        <f t="shared" si="5"/>
        <v>0</v>
      </c>
      <c r="Q11" s="157">
        <f t="shared" si="5"/>
        <v>0</v>
      </c>
      <c r="R11" s="240">
        <f t="shared" si="5"/>
        <v>0</v>
      </c>
      <c r="S11" s="241">
        <f>+SUM(G11:R11)</f>
        <v>943820661.14999986</v>
      </c>
      <c r="T11" s="462">
        <f t="shared" ref="T11:T66" si="6">+S11/$T$7*100</f>
        <v>15.285535275969291</v>
      </c>
    </row>
    <row r="12" spans="1:23">
      <c r="A12" s="150">
        <v>7111</v>
      </c>
      <c r="B12" s="555" t="str">
        <f>+VLOOKUP($A12,Master!$D$30:$G$226,4,FALSE)</f>
        <v>Porez na dohodak fizičkih lica</v>
      </c>
      <c r="C12" s="556"/>
      <c r="D12" s="556"/>
      <c r="E12" s="556"/>
      <c r="F12" s="556"/>
      <c r="G12" s="163">
        <v>1481487.87</v>
      </c>
      <c r="H12" s="163">
        <v>3944575.24</v>
      </c>
      <c r="I12" s="163">
        <v>4159428.24</v>
      </c>
      <c r="J12" s="163">
        <v>5386591.0599999996</v>
      </c>
      <c r="K12" s="163">
        <v>5224793.55</v>
      </c>
      <c r="L12" s="163">
        <v>5249731.58</v>
      </c>
      <c r="M12" s="163">
        <v>6015555</v>
      </c>
      <c r="N12" s="163"/>
      <c r="O12" s="163"/>
      <c r="P12" s="163"/>
      <c r="Q12" s="163"/>
      <c r="R12" s="163"/>
      <c r="S12" s="242">
        <f>+SUM(G12:R12)</f>
        <v>31462162.539999999</v>
      </c>
      <c r="T12" s="463">
        <f t="shared" si="6"/>
        <v>0.50954171185177988</v>
      </c>
    </row>
    <row r="13" spans="1:23">
      <c r="A13" s="150">
        <v>7112</v>
      </c>
      <c r="B13" s="555" t="str">
        <f>+VLOOKUP($A13,Master!$D$30:$G$226,4,FALSE)</f>
        <v>Porez na dobit pravnih lica</v>
      </c>
      <c r="C13" s="556"/>
      <c r="D13" s="556"/>
      <c r="E13" s="556"/>
      <c r="F13" s="556"/>
      <c r="G13" s="163">
        <v>1258566.3799999999</v>
      </c>
      <c r="H13" s="163">
        <v>3765090.36</v>
      </c>
      <c r="I13" s="163">
        <v>37663055.619999997</v>
      </c>
      <c r="J13" s="163">
        <v>77247366.689999998</v>
      </c>
      <c r="K13" s="163">
        <v>6981694.2800000003</v>
      </c>
      <c r="L13" s="163">
        <v>4688222.96</v>
      </c>
      <c r="M13" s="163">
        <v>4152071.33</v>
      </c>
      <c r="N13" s="163"/>
      <c r="O13" s="163"/>
      <c r="P13" s="163"/>
      <c r="Q13" s="163"/>
      <c r="R13" s="163"/>
      <c r="S13" s="242">
        <f t="shared" ref="S13:S65" si="7">+SUM(G13:R13)</f>
        <v>135756067.62</v>
      </c>
      <c r="T13" s="463">
        <f t="shared" si="6"/>
        <v>2.1986212486638812</v>
      </c>
    </row>
    <row r="14" spans="1:23">
      <c r="A14" s="150">
        <v>7113</v>
      </c>
      <c r="B14" s="555" t="str">
        <f>+VLOOKUP($A14,Master!$D$30:$G$226,4,FALSE)</f>
        <v>Porez na promet nepokretnosti</v>
      </c>
      <c r="C14" s="556"/>
      <c r="D14" s="556"/>
      <c r="E14" s="556"/>
      <c r="F14" s="556"/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/>
      <c r="O14" s="163"/>
      <c r="P14" s="163"/>
      <c r="Q14" s="163"/>
      <c r="R14" s="163"/>
      <c r="S14" s="242">
        <f t="shared" si="7"/>
        <v>0</v>
      </c>
      <c r="T14" s="463">
        <f t="shared" si="6"/>
        <v>0</v>
      </c>
    </row>
    <row r="15" spans="1:23">
      <c r="A15" s="150">
        <v>7114</v>
      </c>
      <c r="B15" s="555" t="str">
        <f>+VLOOKUP($A15,Master!$D$30:$G$226,4,FALSE)</f>
        <v>Porez na dodatu vrijednost</v>
      </c>
      <c r="C15" s="556"/>
      <c r="D15" s="556"/>
      <c r="E15" s="556"/>
      <c r="F15" s="556"/>
      <c r="G15" s="163">
        <v>79816016.629999995</v>
      </c>
      <c r="H15" s="163">
        <v>61023809.460000001</v>
      </c>
      <c r="I15" s="163">
        <v>80926297.079999998</v>
      </c>
      <c r="J15" s="163">
        <v>79500899.439999998</v>
      </c>
      <c r="K15" s="163">
        <v>87195794</v>
      </c>
      <c r="L15" s="163">
        <v>87124881.439999998</v>
      </c>
      <c r="M15" s="163">
        <v>92697116.170000002</v>
      </c>
      <c r="N15" s="163"/>
      <c r="O15" s="163"/>
      <c r="P15" s="163"/>
      <c r="Q15" s="163"/>
      <c r="R15" s="163"/>
      <c r="S15" s="242">
        <f t="shared" si="7"/>
        <v>568284814.22000003</v>
      </c>
      <c r="T15" s="463">
        <f t="shared" si="6"/>
        <v>9.2035891267450527</v>
      </c>
    </row>
    <row r="16" spans="1:23">
      <c r="A16" s="150">
        <v>7115</v>
      </c>
      <c r="B16" s="555" t="str">
        <f>+VLOOKUP($A16,Master!$D$30:$G$226,4,FALSE)</f>
        <v>Akcize</v>
      </c>
      <c r="C16" s="556"/>
      <c r="D16" s="556"/>
      <c r="E16" s="556"/>
      <c r="F16" s="556"/>
      <c r="G16" s="163">
        <v>17494328.440000001</v>
      </c>
      <c r="H16" s="163">
        <v>18190262.670000002</v>
      </c>
      <c r="I16" s="163">
        <v>22619973.850000001</v>
      </c>
      <c r="J16" s="163">
        <v>24163018.859999999</v>
      </c>
      <c r="K16" s="163">
        <v>25793019.07</v>
      </c>
      <c r="L16" s="163">
        <v>28449742.41</v>
      </c>
      <c r="M16" s="163">
        <v>34815701.960000001</v>
      </c>
      <c r="N16" s="163"/>
      <c r="O16" s="163"/>
      <c r="P16" s="163"/>
      <c r="Q16" s="163"/>
      <c r="R16" s="163"/>
      <c r="S16" s="242">
        <f t="shared" si="7"/>
        <v>171526047.25999999</v>
      </c>
      <c r="T16" s="463">
        <f t="shared" si="6"/>
        <v>2.7779297000615424</v>
      </c>
      <c r="W16" s="311"/>
    </row>
    <row r="17" spans="1:23">
      <c r="A17" s="150">
        <v>7116</v>
      </c>
      <c r="B17" s="555" t="str">
        <f>+VLOOKUP($A17,Master!$D$30:$G$226,4,FALSE)</f>
        <v>Porez na međunarodnu trgovinu i transakcije</v>
      </c>
      <c r="C17" s="556"/>
      <c r="D17" s="556"/>
      <c r="E17" s="556"/>
      <c r="F17" s="556"/>
      <c r="G17" s="163">
        <v>2467588.1800000002</v>
      </c>
      <c r="H17" s="163">
        <v>3220443.49</v>
      </c>
      <c r="I17" s="163">
        <v>5443960.21</v>
      </c>
      <c r="J17" s="163">
        <v>4088105.68</v>
      </c>
      <c r="K17" s="163">
        <v>4535373.51</v>
      </c>
      <c r="L17" s="163">
        <v>4729381.13</v>
      </c>
      <c r="M17" s="163">
        <v>4795015.53</v>
      </c>
      <c r="N17" s="163"/>
      <c r="O17" s="163"/>
      <c r="P17" s="163"/>
      <c r="Q17" s="163"/>
      <c r="R17" s="163"/>
      <c r="S17" s="242">
        <f t="shared" si="7"/>
        <v>29279867.73</v>
      </c>
      <c r="T17" s="463">
        <f t="shared" si="6"/>
        <v>0.47419861578077932</v>
      </c>
    </row>
    <row r="18" spans="1:23">
      <c r="A18" s="150">
        <v>7118</v>
      </c>
      <c r="B18" s="555" t="str">
        <f>+VLOOKUP($A18,Master!$D$30:$G$226,4,FALSE)</f>
        <v>Ostali državni porezi</v>
      </c>
      <c r="C18" s="556"/>
      <c r="D18" s="556"/>
      <c r="E18" s="556"/>
      <c r="F18" s="556"/>
      <c r="G18" s="163">
        <v>972158.69</v>
      </c>
      <c r="H18" s="163">
        <v>915385.23</v>
      </c>
      <c r="I18" s="163">
        <v>1016741.92</v>
      </c>
      <c r="J18" s="163">
        <v>1075587.98</v>
      </c>
      <c r="K18" s="163">
        <v>1121040</v>
      </c>
      <c r="L18" s="163">
        <v>1269660.94</v>
      </c>
      <c r="M18" s="163">
        <v>1141127.02</v>
      </c>
      <c r="N18" s="163"/>
      <c r="O18" s="163"/>
      <c r="P18" s="163"/>
      <c r="Q18" s="163"/>
      <c r="R18" s="163"/>
      <c r="S18" s="242">
        <f t="shared" si="7"/>
        <v>7511701.7799999993</v>
      </c>
      <c r="T18" s="463">
        <f t="shared" si="6"/>
        <v>0.12165487286625853</v>
      </c>
    </row>
    <row r="19" spans="1:23">
      <c r="A19" s="150">
        <v>712</v>
      </c>
      <c r="B19" s="557" t="str">
        <f>+VLOOKUP($A19,Master!$D$30:$G$226,4,FALSE)</f>
        <v>Doprinosi</v>
      </c>
      <c r="C19" s="558"/>
      <c r="D19" s="558"/>
      <c r="E19" s="558"/>
      <c r="F19" s="558"/>
      <c r="G19" s="169">
        <v>15617329.630000003</v>
      </c>
      <c r="H19" s="169">
        <v>41494879.25999999</v>
      </c>
      <c r="I19" s="169">
        <v>42670635.130000003</v>
      </c>
      <c r="J19" s="169">
        <f t="shared" ref="J19:L19" si="8">SUM(J20:J23)</f>
        <v>47597807.860000007</v>
      </c>
      <c r="K19" s="169">
        <f t="shared" si="8"/>
        <v>45975315.240000002</v>
      </c>
      <c r="L19" s="169">
        <f t="shared" si="8"/>
        <v>48052163.109999999</v>
      </c>
      <c r="M19" s="169">
        <f t="shared" ref="M19:R19" si="9">SUM(M20:M23)</f>
        <v>48400583.619999997</v>
      </c>
      <c r="N19" s="169">
        <f t="shared" si="9"/>
        <v>0</v>
      </c>
      <c r="O19" s="169">
        <f t="shared" si="9"/>
        <v>0</v>
      </c>
      <c r="P19" s="169">
        <f t="shared" si="9"/>
        <v>0</v>
      </c>
      <c r="Q19" s="169">
        <f t="shared" si="9"/>
        <v>0</v>
      </c>
      <c r="R19" s="169">
        <f t="shared" si="9"/>
        <v>0</v>
      </c>
      <c r="S19" s="243">
        <f t="shared" si="7"/>
        <v>289808713.85000002</v>
      </c>
      <c r="T19" s="464">
        <f t="shared" si="6"/>
        <v>4.6935625603277948</v>
      </c>
    </row>
    <row r="20" spans="1:23">
      <c r="A20" s="150">
        <v>7121</v>
      </c>
      <c r="B20" s="555" t="str">
        <f>+VLOOKUP($A20,Master!$D$30:$G$226,4,FALSE)</f>
        <v>Doprinosi za penzijsko i invalidsko osiguranje</v>
      </c>
      <c r="C20" s="556"/>
      <c r="D20" s="556"/>
      <c r="E20" s="556"/>
      <c r="F20" s="556"/>
      <c r="G20" s="163">
        <v>14209639.380000001</v>
      </c>
      <c r="H20" s="163">
        <v>37909924.049999997</v>
      </c>
      <c r="I20" s="163">
        <v>39108292.090000004</v>
      </c>
      <c r="J20" s="163">
        <v>43483738.68</v>
      </c>
      <c r="K20" s="163">
        <v>41997766.549999997</v>
      </c>
      <c r="L20" s="163">
        <v>44039789.280000001</v>
      </c>
      <c r="M20" s="163">
        <v>44449178.460000001</v>
      </c>
      <c r="N20" s="163"/>
      <c r="O20" s="163"/>
      <c r="P20" s="163"/>
      <c r="Q20" s="163"/>
      <c r="R20" s="163"/>
      <c r="S20" s="242">
        <f>+SUM(G20:R20)</f>
        <v>265198328.49000001</v>
      </c>
      <c r="T20" s="463">
        <f t="shared" si="6"/>
        <v>4.2949879909629773</v>
      </c>
    </row>
    <row r="21" spans="1:23">
      <c r="A21" s="150">
        <v>7122</v>
      </c>
      <c r="B21" s="555" t="str">
        <f>+VLOOKUP($A21,Master!$D$30:$G$226,4,FALSE)</f>
        <v>Doprinosi za zdravstveno osiguranje</v>
      </c>
      <c r="C21" s="556"/>
      <c r="D21" s="556"/>
      <c r="E21" s="556"/>
      <c r="F21" s="556"/>
      <c r="G21" s="163">
        <v>302309.90000000002</v>
      </c>
      <c r="H21" s="163">
        <v>645770.62</v>
      </c>
      <c r="I21" s="163">
        <v>422256.94</v>
      </c>
      <c r="J21" s="163">
        <v>537238.13</v>
      </c>
      <c r="K21" s="163">
        <v>599016.13</v>
      </c>
      <c r="L21" s="163">
        <v>555487.37</v>
      </c>
      <c r="M21" s="163">
        <v>488484.82</v>
      </c>
      <c r="N21" s="163"/>
      <c r="O21" s="163"/>
      <c r="P21" s="163"/>
      <c r="Q21" s="163"/>
      <c r="R21" s="163"/>
      <c r="S21" s="242">
        <f t="shared" si="7"/>
        <v>3550563.9099999997</v>
      </c>
      <c r="T21" s="463">
        <f t="shared" si="6"/>
        <v>5.7502735561817765E-2</v>
      </c>
    </row>
    <row r="22" spans="1:23">
      <c r="A22" s="150">
        <v>7123</v>
      </c>
      <c r="B22" s="555" t="str">
        <f>+VLOOKUP($A22,Master!$D$30:$G$226,4,FALSE)</f>
        <v>Doprinosi za osiguranje od nezaposlenosti</v>
      </c>
      <c r="C22" s="556"/>
      <c r="D22" s="556"/>
      <c r="E22" s="556"/>
      <c r="F22" s="556"/>
      <c r="G22" s="163">
        <v>658854.47</v>
      </c>
      <c r="H22" s="163">
        <v>1731553.43</v>
      </c>
      <c r="I22" s="163">
        <v>1770290.32</v>
      </c>
      <c r="J22" s="163">
        <v>2000792.34</v>
      </c>
      <c r="K22" s="163">
        <v>1915310.31</v>
      </c>
      <c r="L22" s="163">
        <v>1979006.25</v>
      </c>
      <c r="M22" s="163">
        <v>1993336.72</v>
      </c>
      <c r="N22" s="163"/>
      <c r="O22" s="163"/>
      <c r="P22" s="163"/>
      <c r="Q22" s="163"/>
      <c r="R22" s="163"/>
      <c r="S22" s="242">
        <f t="shared" si="7"/>
        <v>12049143.84</v>
      </c>
      <c r="T22" s="463">
        <f t="shared" si="6"/>
        <v>0.19514047614420368</v>
      </c>
    </row>
    <row r="23" spans="1:23">
      <c r="A23" s="150">
        <v>7124</v>
      </c>
      <c r="B23" s="555" t="str">
        <f>+VLOOKUP($A23,Master!$D$30:$G$226,4,FALSE)</f>
        <v>Ostali doprinosi</v>
      </c>
      <c r="C23" s="556"/>
      <c r="D23" s="556"/>
      <c r="E23" s="556"/>
      <c r="F23" s="556"/>
      <c r="G23" s="163">
        <v>446525.88</v>
      </c>
      <c r="H23" s="163">
        <v>1207631.1599999999</v>
      </c>
      <c r="I23" s="163">
        <v>1369795.78</v>
      </c>
      <c r="J23" s="163">
        <v>1576038.71</v>
      </c>
      <c r="K23" s="163">
        <v>1463222.25</v>
      </c>
      <c r="L23" s="163">
        <v>1477880.21</v>
      </c>
      <c r="M23" s="163">
        <v>1469583.62</v>
      </c>
      <c r="N23" s="163"/>
      <c r="O23" s="163"/>
      <c r="P23" s="163"/>
      <c r="Q23" s="163"/>
      <c r="R23" s="163"/>
      <c r="S23" s="242">
        <f t="shared" si="7"/>
        <v>9010677.6099999994</v>
      </c>
      <c r="T23" s="463">
        <f t="shared" si="6"/>
        <v>0.1459313576587957</v>
      </c>
      <c r="W23" s="305"/>
    </row>
    <row r="24" spans="1:23">
      <c r="A24" s="150">
        <v>713</v>
      </c>
      <c r="B24" s="557" t="str">
        <f>+VLOOKUP($A24,Master!$D$30:$G$226,4,FALSE)</f>
        <v>Takse</v>
      </c>
      <c r="C24" s="558"/>
      <c r="D24" s="558"/>
      <c r="E24" s="558"/>
      <c r="F24" s="558"/>
      <c r="G24" s="175">
        <v>747597.87999999989</v>
      </c>
      <c r="H24" s="175">
        <v>957673.57000000007</v>
      </c>
      <c r="I24" s="175">
        <v>1088989.1199999999</v>
      </c>
      <c r="J24" s="175">
        <v>1037186.5499999999</v>
      </c>
      <c r="K24" s="175">
        <v>1315713.1400000001</v>
      </c>
      <c r="L24" s="175">
        <v>1395636.97</v>
      </c>
      <c r="M24" s="175">
        <v>1530936.6099999999</v>
      </c>
      <c r="N24" s="175"/>
      <c r="O24" s="175"/>
      <c r="P24" s="175"/>
      <c r="Q24" s="175"/>
      <c r="R24" s="175"/>
      <c r="S24" s="243">
        <f t="shared" si="7"/>
        <v>8073733.8399999999</v>
      </c>
      <c r="T24" s="464">
        <f t="shared" si="6"/>
        <v>0.13075719625562787</v>
      </c>
      <c r="W24" s="305"/>
    </row>
    <row r="25" spans="1:23">
      <c r="A25" s="150">
        <v>714</v>
      </c>
      <c r="B25" s="557" t="str">
        <f>+VLOOKUP($A25,Master!$D$30:$G$226,4,FALSE)</f>
        <v>Naknade</v>
      </c>
      <c r="C25" s="558"/>
      <c r="D25" s="558"/>
      <c r="E25" s="558"/>
      <c r="F25" s="558"/>
      <c r="G25" s="175">
        <v>11787074.770000001</v>
      </c>
      <c r="H25" s="175">
        <v>3748417.33</v>
      </c>
      <c r="I25" s="175">
        <v>3332694.04</v>
      </c>
      <c r="J25" s="175">
        <v>3365130.83</v>
      </c>
      <c r="K25" s="175">
        <v>4607961.24</v>
      </c>
      <c r="L25" s="175">
        <v>4411415.8800000008</v>
      </c>
      <c r="M25" s="175">
        <v>4145262.4</v>
      </c>
      <c r="N25" s="175"/>
      <c r="O25" s="175"/>
      <c r="P25" s="175"/>
      <c r="Q25" s="175"/>
      <c r="R25" s="175"/>
      <c r="S25" s="243">
        <f t="shared" si="7"/>
        <v>35397956.490000002</v>
      </c>
      <c r="T25" s="464">
        <f t="shared" si="6"/>
        <v>0.57328339471382761</v>
      </c>
    </row>
    <row r="26" spans="1:23">
      <c r="A26" s="150">
        <v>715</v>
      </c>
      <c r="B26" s="557" t="str">
        <f>+VLOOKUP($A26,Master!$D$30:$G$226,4,FALSE)</f>
        <v>Ostali prihodi</v>
      </c>
      <c r="C26" s="558"/>
      <c r="D26" s="558"/>
      <c r="E26" s="558"/>
      <c r="F26" s="558"/>
      <c r="G26" s="175">
        <v>34599402.370000005</v>
      </c>
      <c r="H26" s="175">
        <v>2087535.62</v>
      </c>
      <c r="I26" s="175">
        <v>3225897.62</v>
      </c>
      <c r="J26" s="175">
        <v>7985887.3899999997</v>
      </c>
      <c r="K26" s="175">
        <v>2083663.61</v>
      </c>
      <c r="L26" s="175">
        <v>62840259.590000004</v>
      </c>
      <c r="M26" s="175">
        <v>6927594.9700000007</v>
      </c>
      <c r="N26" s="175"/>
      <c r="O26" s="175"/>
      <c r="P26" s="175"/>
      <c r="Q26" s="175"/>
      <c r="R26" s="175"/>
      <c r="S26" s="243">
        <f t="shared" si="7"/>
        <v>119750241.17</v>
      </c>
      <c r="T26" s="464">
        <f t="shared" si="6"/>
        <v>1.9394007898487351</v>
      </c>
    </row>
    <row r="27" spans="1:23">
      <c r="A27" s="150">
        <v>73</v>
      </c>
      <c r="B27" s="557" t="str">
        <f>+VLOOKUP($A27,Master!$D$30:$G$226,4,FALSE)</f>
        <v>Primici od otplate kredita i sredstva prenesena iz prethodne godine</v>
      </c>
      <c r="C27" s="558"/>
      <c r="D27" s="558"/>
      <c r="E27" s="558"/>
      <c r="F27" s="558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/>
      <c r="O27" s="175"/>
      <c r="P27" s="175"/>
      <c r="Q27" s="175"/>
      <c r="R27" s="175"/>
      <c r="S27" s="243">
        <f t="shared" si="7"/>
        <v>0</v>
      </c>
      <c r="T27" s="464">
        <f t="shared" si="6"/>
        <v>0</v>
      </c>
    </row>
    <row r="28" spans="1:23" ht="13.5" thickBot="1">
      <c r="A28" s="150">
        <v>74</v>
      </c>
      <c r="B28" s="559" t="str">
        <f>+VLOOKUP($A28,Master!$D$30:$G$226,4,FALSE)</f>
        <v>Donacije i transferi</v>
      </c>
      <c r="C28" s="560"/>
      <c r="D28" s="560"/>
      <c r="E28" s="560"/>
      <c r="F28" s="560"/>
      <c r="G28" s="175">
        <v>1415909.3</v>
      </c>
      <c r="H28" s="175">
        <v>3060381.49</v>
      </c>
      <c r="I28" s="175">
        <v>30264327.079999998</v>
      </c>
      <c r="J28" s="175">
        <v>3476257.2</v>
      </c>
      <c r="K28" s="175">
        <v>1748571.31</v>
      </c>
      <c r="L28" s="175">
        <v>4211455.99</v>
      </c>
      <c r="M28" s="175">
        <v>2832185.35</v>
      </c>
      <c r="N28" s="175"/>
      <c r="O28" s="175"/>
      <c r="P28" s="175"/>
      <c r="Q28" s="175"/>
      <c r="R28" s="175"/>
      <c r="S28" s="243">
        <f t="shared" si="7"/>
        <v>47009087.720000006</v>
      </c>
      <c r="T28" s="465">
        <f t="shared" si="6"/>
        <v>0.76133008972241123</v>
      </c>
    </row>
    <row r="29" spans="1:23" ht="13.5" thickBot="1">
      <c r="A29" s="150">
        <v>4</v>
      </c>
      <c r="B29" s="545" t="str">
        <f>+VLOOKUP($A29,Master!$D$30:$G$226,4,FALSE)</f>
        <v>Izdaci budžeta</v>
      </c>
      <c r="C29" s="546"/>
      <c r="D29" s="546"/>
      <c r="E29" s="546"/>
      <c r="F29" s="546"/>
      <c r="G29" s="151">
        <f>+G30+G40+G46+SUM(G47:G51)</f>
        <v>115010017.11</v>
      </c>
      <c r="H29" s="151">
        <f t="shared" ref="H29:L29" si="10">+H30+H40+H46+SUM(H47:H51)</f>
        <v>170554890.78</v>
      </c>
      <c r="I29" s="151">
        <f t="shared" si="10"/>
        <v>193742773.12999994</v>
      </c>
      <c r="J29" s="151">
        <f t="shared" si="10"/>
        <v>205927614.36999997</v>
      </c>
      <c r="K29" s="151">
        <f t="shared" si="10"/>
        <v>189892077.12</v>
      </c>
      <c r="L29" s="151">
        <f t="shared" si="10"/>
        <v>193454180.08999991</v>
      </c>
      <c r="M29" s="151">
        <f t="shared" ref="M29:R29" si="11">+M30+M40+M46+SUM(M47:M51)</f>
        <v>223799501.98999995</v>
      </c>
      <c r="N29" s="151">
        <f t="shared" si="11"/>
        <v>0</v>
      </c>
      <c r="O29" s="151">
        <f t="shared" si="11"/>
        <v>0</v>
      </c>
      <c r="P29" s="151">
        <f t="shared" si="11"/>
        <v>0</v>
      </c>
      <c r="Q29" s="151">
        <f t="shared" si="11"/>
        <v>0</v>
      </c>
      <c r="R29" s="151">
        <f t="shared" si="11"/>
        <v>0</v>
      </c>
      <c r="S29" s="245">
        <f t="shared" si="7"/>
        <v>1292381054.5899997</v>
      </c>
      <c r="T29" s="466">
        <f t="shared" si="6"/>
        <v>20.930603676189545</v>
      </c>
    </row>
    <row r="30" spans="1:23">
      <c r="A30" s="150">
        <v>41</v>
      </c>
      <c r="B30" s="563" t="str">
        <f>+VLOOKUP($A30,Master!$D$30:$G$226,4,FALSE)</f>
        <v>Tekući izdaci</v>
      </c>
      <c r="C30" s="564"/>
      <c r="D30" s="564"/>
      <c r="E30" s="564"/>
      <c r="F30" s="564"/>
      <c r="G30" s="187">
        <f t="shared" ref="G30:L30" si="12">+SUM(G31:G39)</f>
        <v>53321750.879999988</v>
      </c>
      <c r="H30" s="187">
        <f t="shared" si="12"/>
        <v>71586974.050000027</v>
      </c>
      <c r="I30" s="187">
        <f t="shared" si="12"/>
        <v>83324130.189999983</v>
      </c>
      <c r="J30" s="187">
        <f t="shared" si="12"/>
        <v>95218509.070000008</v>
      </c>
      <c r="K30" s="187">
        <f t="shared" si="12"/>
        <v>92284426.949999988</v>
      </c>
      <c r="L30" s="187">
        <f t="shared" si="12"/>
        <v>78022975.029999942</v>
      </c>
      <c r="M30" s="187">
        <f t="shared" ref="M30:R30" si="13">+SUM(M31:M39)</f>
        <v>89294366.969999924</v>
      </c>
      <c r="N30" s="187">
        <f t="shared" si="13"/>
        <v>0</v>
      </c>
      <c r="O30" s="187">
        <f t="shared" si="13"/>
        <v>0</v>
      </c>
      <c r="P30" s="187">
        <f t="shared" si="13"/>
        <v>0</v>
      </c>
      <c r="Q30" s="187">
        <f t="shared" si="13"/>
        <v>0</v>
      </c>
      <c r="R30" s="246">
        <f t="shared" si="13"/>
        <v>0</v>
      </c>
      <c r="S30" s="423">
        <f t="shared" si="7"/>
        <v>563053133.13999987</v>
      </c>
      <c r="T30" s="462">
        <f t="shared" si="6"/>
        <v>9.1188600579794628</v>
      </c>
      <c r="U30" s="500"/>
    </row>
    <row r="31" spans="1:23">
      <c r="A31" s="150">
        <v>411</v>
      </c>
      <c r="B31" s="555" t="str">
        <f>+VLOOKUP($A31,Master!$D$30:$G$226,4,FALSE)</f>
        <v>Bruto zarade i doprinosi na teret poslodavca</v>
      </c>
      <c r="C31" s="556"/>
      <c r="D31" s="556"/>
      <c r="E31" s="556"/>
      <c r="F31" s="556"/>
      <c r="G31" s="163">
        <v>45778601.379999995</v>
      </c>
      <c r="H31" s="163">
        <v>54859279.480000019</v>
      </c>
      <c r="I31" s="163">
        <v>52148208.309999995</v>
      </c>
      <c r="J31" s="163">
        <v>53967761.119999982</v>
      </c>
      <c r="K31" s="163">
        <v>54202341.699999988</v>
      </c>
      <c r="L31" s="163">
        <v>53632665.779999927</v>
      </c>
      <c r="M31" s="514">
        <v>54042287.669999927</v>
      </c>
      <c r="N31" s="163"/>
      <c r="O31" s="163"/>
      <c r="P31" s="163"/>
      <c r="Q31" s="163"/>
      <c r="R31" s="163"/>
      <c r="S31" s="242">
        <f t="shared" si="7"/>
        <v>368631145.43999982</v>
      </c>
      <c r="T31" s="463">
        <f t="shared" si="6"/>
        <v>5.9701218773685714</v>
      </c>
      <c r="U31" s="500"/>
    </row>
    <row r="32" spans="1:23">
      <c r="A32" s="150">
        <v>412</v>
      </c>
      <c r="B32" s="555" t="str">
        <f>+VLOOKUP($A32,Master!$D$30:$G$226,4,FALSE)</f>
        <v>Ostala lična primanja</v>
      </c>
      <c r="C32" s="556"/>
      <c r="D32" s="556"/>
      <c r="E32" s="556"/>
      <c r="F32" s="556"/>
      <c r="G32" s="163">
        <v>299493.63000000006</v>
      </c>
      <c r="H32" s="163">
        <v>1011550.84</v>
      </c>
      <c r="I32" s="163">
        <v>2090344.1199999999</v>
      </c>
      <c r="J32" s="163">
        <v>1457765.0599999991</v>
      </c>
      <c r="K32" s="163">
        <v>1372429.7699999993</v>
      </c>
      <c r="L32" s="163">
        <v>1509812.18</v>
      </c>
      <c r="M32" s="163">
        <v>1584846.25</v>
      </c>
      <c r="N32" s="163"/>
      <c r="O32" s="163"/>
      <c r="P32" s="163"/>
      <c r="Q32" s="163"/>
      <c r="R32" s="163"/>
      <c r="S32" s="242">
        <f t="shared" si="7"/>
        <v>9326241.8499999978</v>
      </c>
      <c r="T32" s="463">
        <f t="shared" si="6"/>
        <v>0.15104204077996952</v>
      </c>
      <c r="U32" s="500"/>
      <c r="V32" s="291"/>
    </row>
    <row r="33" spans="1:24">
      <c r="A33" s="150">
        <v>413</v>
      </c>
      <c r="B33" s="555" t="str">
        <f>+VLOOKUP($A33,Master!$D$30:$G$226,4,FALSE)</f>
        <v>Rashodi za materijal</v>
      </c>
      <c r="C33" s="556"/>
      <c r="D33" s="556"/>
      <c r="E33" s="556"/>
      <c r="F33" s="556"/>
      <c r="G33" s="163">
        <v>94282.16</v>
      </c>
      <c r="H33" s="163">
        <v>2774531.1399999997</v>
      </c>
      <c r="I33" s="163">
        <v>5143114.03</v>
      </c>
      <c r="J33" s="163">
        <v>1985561.6999999997</v>
      </c>
      <c r="K33" s="163">
        <v>3182782.03</v>
      </c>
      <c r="L33" s="163">
        <v>3142744.6099999994</v>
      </c>
      <c r="M33" s="163">
        <v>5440332.5299999993</v>
      </c>
      <c r="N33" s="163"/>
      <c r="O33" s="163"/>
      <c r="P33" s="163"/>
      <c r="Q33" s="163"/>
      <c r="R33" s="163"/>
      <c r="S33" s="242">
        <f t="shared" si="7"/>
        <v>21763348.199999996</v>
      </c>
      <c r="T33" s="463">
        <f t="shared" si="6"/>
        <v>0.35246571761733547</v>
      </c>
      <c r="U33" s="500"/>
    </row>
    <row r="34" spans="1:24" s="360" customFormat="1">
      <c r="A34" s="359">
        <v>414</v>
      </c>
      <c r="B34" s="574" t="str">
        <f>+VLOOKUP($A34,Master!$D$30:$G$226,4,FALSE)</f>
        <v>Rashodi za usluge</v>
      </c>
      <c r="C34" s="575"/>
      <c r="D34" s="575"/>
      <c r="E34" s="575"/>
      <c r="F34" s="575"/>
      <c r="G34" s="163">
        <v>878544.59</v>
      </c>
      <c r="H34" s="163">
        <v>3754705.580000001</v>
      </c>
      <c r="I34" s="163">
        <v>7000663.9900000002</v>
      </c>
      <c r="J34" s="163">
        <v>5103603.8800000008</v>
      </c>
      <c r="K34" s="163">
        <v>5116917.6100000003</v>
      </c>
      <c r="L34" s="163">
        <v>5843259.6800000006</v>
      </c>
      <c r="M34" s="163">
        <v>6721649.4699999988</v>
      </c>
      <c r="N34" s="163"/>
      <c r="O34" s="163"/>
      <c r="P34" s="163"/>
      <c r="Q34" s="163"/>
      <c r="R34" s="163"/>
      <c r="S34" s="242">
        <f t="shared" si="7"/>
        <v>34419344.799999997</v>
      </c>
      <c r="T34" s="463">
        <f t="shared" si="6"/>
        <v>0.55743440546756062</v>
      </c>
      <c r="U34" s="500"/>
    </row>
    <row r="35" spans="1:24">
      <c r="A35" s="150">
        <v>415</v>
      </c>
      <c r="B35" s="555" t="str">
        <f>+VLOOKUP($A35,Master!$D$30:$G$226,4,FALSE)</f>
        <v>Rashodi za tekuće održavanje</v>
      </c>
      <c r="C35" s="556"/>
      <c r="D35" s="556"/>
      <c r="E35" s="556"/>
      <c r="F35" s="556"/>
      <c r="G35" s="163">
        <v>4072.0400000000004</v>
      </c>
      <c r="H35" s="163">
        <v>554177.94999999995</v>
      </c>
      <c r="I35" s="163">
        <v>3339189.7600000007</v>
      </c>
      <c r="J35" s="163">
        <v>1157173.79</v>
      </c>
      <c r="K35" s="163">
        <v>1740589.3100000003</v>
      </c>
      <c r="L35" s="163">
        <v>2282051.2600000002</v>
      </c>
      <c r="M35" s="163">
        <v>2332626.6800000002</v>
      </c>
      <c r="N35" s="163"/>
      <c r="O35" s="163"/>
      <c r="P35" s="163"/>
      <c r="Q35" s="163"/>
      <c r="R35" s="163"/>
      <c r="S35" s="242">
        <f t="shared" si="7"/>
        <v>11409880.790000001</v>
      </c>
      <c r="T35" s="463">
        <f t="shared" si="6"/>
        <v>0.1847873674408059</v>
      </c>
      <c r="U35" s="500"/>
    </row>
    <row r="36" spans="1:24">
      <c r="A36" s="150">
        <v>416</v>
      </c>
      <c r="B36" s="555" t="str">
        <f>+VLOOKUP($A36,Master!$D$30:$G$226,4,FALSE)</f>
        <v>Kamate</v>
      </c>
      <c r="C36" s="556"/>
      <c r="D36" s="556"/>
      <c r="E36" s="556"/>
      <c r="F36" s="556"/>
      <c r="G36" s="163">
        <v>3966895.7600000002</v>
      </c>
      <c r="H36" s="163">
        <v>2431066.79</v>
      </c>
      <c r="I36" s="163">
        <v>1735632.8099999998</v>
      </c>
      <c r="J36" s="163">
        <v>23140004.240000002</v>
      </c>
      <c r="K36" s="163">
        <v>14675383.51</v>
      </c>
      <c r="L36" s="163">
        <v>2918464.11</v>
      </c>
      <c r="M36" s="163">
        <v>7564242.8499999996</v>
      </c>
      <c r="N36" s="163"/>
      <c r="O36" s="163"/>
      <c r="P36" s="163"/>
      <c r="Q36" s="163"/>
      <c r="R36" s="163"/>
      <c r="S36" s="242">
        <f>+SUM(G36:R36)</f>
        <v>56431690.07</v>
      </c>
      <c r="T36" s="463">
        <f t="shared" si="6"/>
        <v>0.9139327255206815</v>
      </c>
      <c r="U36" s="500"/>
      <c r="V36" s="291"/>
    </row>
    <row r="37" spans="1:24">
      <c r="A37" s="150">
        <v>417</v>
      </c>
      <c r="B37" s="555" t="str">
        <f>+VLOOKUP($A37,Master!$D$30:$G$226,4,FALSE)</f>
        <v>Renta</v>
      </c>
      <c r="C37" s="556"/>
      <c r="D37" s="556"/>
      <c r="E37" s="556"/>
      <c r="F37" s="556"/>
      <c r="G37" s="163">
        <v>2378.37</v>
      </c>
      <c r="H37" s="163">
        <v>930382.83999999985</v>
      </c>
      <c r="I37" s="163">
        <v>862022.10999999987</v>
      </c>
      <c r="J37" s="163">
        <v>1148346.6500000004</v>
      </c>
      <c r="K37" s="163">
        <v>781961.4600000002</v>
      </c>
      <c r="L37" s="163">
        <v>1115410.2900000003</v>
      </c>
      <c r="M37" s="163">
        <v>855063.86</v>
      </c>
      <c r="N37" s="163"/>
      <c r="O37" s="163"/>
      <c r="P37" s="163"/>
      <c r="Q37" s="163"/>
      <c r="R37" s="163"/>
      <c r="S37" s="242">
        <f t="shared" si="7"/>
        <v>5695565.580000001</v>
      </c>
      <c r="T37" s="463">
        <f t="shared" si="6"/>
        <v>9.2241855018948618E-2</v>
      </c>
      <c r="U37" s="500"/>
      <c r="V37" s="291"/>
    </row>
    <row r="38" spans="1:24">
      <c r="A38" s="150">
        <v>418</v>
      </c>
      <c r="B38" s="555" t="str">
        <f>+VLOOKUP($A38,Master!$D$30:$G$226,4,FALSE)</f>
        <v>Subvencije</v>
      </c>
      <c r="C38" s="556"/>
      <c r="D38" s="556"/>
      <c r="E38" s="556"/>
      <c r="F38" s="556"/>
      <c r="G38" s="163">
        <v>1880948.3</v>
      </c>
      <c r="H38" s="163">
        <v>2045866.6400000001</v>
      </c>
      <c r="I38" s="163">
        <v>5710797.709999999</v>
      </c>
      <c r="J38" s="163">
        <v>3990567.1799999997</v>
      </c>
      <c r="K38" s="163">
        <v>5567662.9800000004</v>
      </c>
      <c r="L38" s="163">
        <v>4067863.5399999996</v>
      </c>
      <c r="M38" s="163">
        <v>5321623.71</v>
      </c>
      <c r="N38" s="163"/>
      <c r="O38" s="163"/>
      <c r="P38" s="163"/>
      <c r="Q38" s="163"/>
      <c r="R38" s="163"/>
      <c r="S38" s="242">
        <f t="shared" si="7"/>
        <v>28585330.059999999</v>
      </c>
      <c r="T38" s="463">
        <f t="shared" si="6"/>
        <v>0.46295031354257765</v>
      </c>
      <c r="U38" s="500"/>
    </row>
    <row r="39" spans="1:24">
      <c r="A39" s="150">
        <v>419</v>
      </c>
      <c r="B39" s="555" t="str">
        <f>+VLOOKUP($A39,Master!$D$30:$G$226,4,FALSE)</f>
        <v>Ostali izdaci</v>
      </c>
      <c r="C39" s="556"/>
      <c r="D39" s="556"/>
      <c r="E39" s="556"/>
      <c r="F39" s="556"/>
      <c r="G39" s="163">
        <v>416534.64999999997</v>
      </c>
      <c r="H39" s="163">
        <v>3225412.79</v>
      </c>
      <c r="I39" s="163">
        <v>5294157.3499999987</v>
      </c>
      <c r="J39" s="163">
        <v>3267725.4499999988</v>
      </c>
      <c r="K39" s="163">
        <v>5644358.5800000001</v>
      </c>
      <c r="L39" s="163">
        <v>3510703.5800000005</v>
      </c>
      <c r="M39" s="163">
        <v>5431693.9500000002</v>
      </c>
      <c r="N39" s="163"/>
      <c r="O39" s="163"/>
      <c r="P39" s="163"/>
      <c r="Q39" s="163"/>
      <c r="R39" s="163"/>
      <c r="S39" s="242">
        <f t="shared" si="7"/>
        <v>26790586.350000001</v>
      </c>
      <c r="T39" s="463">
        <f t="shared" si="6"/>
        <v>0.43388375522301043</v>
      </c>
      <c r="U39" s="500"/>
      <c r="V39" s="291"/>
    </row>
    <row r="40" spans="1:24">
      <c r="A40" s="150">
        <v>42</v>
      </c>
      <c r="B40" s="551" t="str">
        <f>+VLOOKUP($A40,Master!$D$30:$G$226,4,FALSE)</f>
        <v>Transferi za socijalnu zaštitu</v>
      </c>
      <c r="C40" s="552"/>
      <c r="D40" s="552"/>
      <c r="E40" s="552"/>
      <c r="F40" s="552"/>
      <c r="G40" s="193">
        <f>+SUM(G41:G45)</f>
        <v>58454756.119999997</v>
      </c>
      <c r="H40" s="193">
        <f t="shared" ref="H40:L40" si="14">+SUM(H41:H45)</f>
        <v>66352183.089999989</v>
      </c>
      <c r="I40" s="193">
        <f t="shared" si="14"/>
        <v>68141527.619999975</v>
      </c>
      <c r="J40" s="193">
        <f t="shared" si="14"/>
        <v>65511040.719999991</v>
      </c>
      <c r="K40" s="193">
        <f t="shared" si="14"/>
        <v>64802740.460000001</v>
      </c>
      <c r="L40" s="193">
        <f t="shared" si="14"/>
        <v>68673674.269999981</v>
      </c>
      <c r="M40" s="193">
        <f t="shared" ref="M40:R40" si="15">+SUM(M41:M45)</f>
        <v>68456466.98999998</v>
      </c>
      <c r="N40" s="193">
        <f t="shared" si="15"/>
        <v>0</v>
      </c>
      <c r="O40" s="193">
        <f t="shared" si="15"/>
        <v>0</v>
      </c>
      <c r="P40" s="193">
        <f t="shared" si="15"/>
        <v>0</v>
      </c>
      <c r="Q40" s="193">
        <f t="shared" si="15"/>
        <v>0</v>
      </c>
      <c r="R40" s="193">
        <f t="shared" si="15"/>
        <v>0</v>
      </c>
      <c r="S40" s="486">
        <f t="shared" si="7"/>
        <v>460392389.26999986</v>
      </c>
      <c r="T40" s="487">
        <f t="shared" si="6"/>
        <v>7.4562301893240024</v>
      </c>
      <c r="U40" s="500"/>
    </row>
    <row r="41" spans="1:24">
      <c r="A41" s="150">
        <v>421</v>
      </c>
      <c r="B41" s="555" t="str">
        <f>+VLOOKUP($A41,Master!$D$30:$G$226,4,FALSE)</f>
        <v>Prava iz oblasti socijalne zaštite</v>
      </c>
      <c r="C41" s="556"/>
      <c r="D41" s="556"/>
      <c r="E41" s="556"/>
      <c r="F41" s="556"/>
      <c r="G41" s="163">
        <v>15193246.93</v>
      </c>
      <c r="H41" s="163">
        <v>18599658.189999998</v>
      </c>
      <c r="I41" s="163">
        <v>18659851.780000001</v>
      </c>
      <c r="J41" s="163">
        <v>16981103.48</v>
      </c>
      <c r="K41" s="163">
        <v>16251190.1</v>
      </c>
      <c r="L41" s="163">
        <v>17123077.960000001</v>
      </c>
      <c r="M41" s="163">
        <v>17264195.690000001</v>
      </c>
      <c r="N41" s="163"/>
      <c r="O41" s="163"/>
      <c r="P41" s="163"/>
      <c r="Q41" s="163"/>
      <c r="R41" s="163"/>
      <c r="S41" s="242">
        <f t="shared" si="7"/>
        <v>120072324.13</v>
      </c>
      <c r="T41" s="463">
        <f t="shared" si="6"/>
        <v>1.9446170461244452</v>
      </c>
      <c r="U41" s="500"/>
    </row>
    <row r="42" spans="1:24">
      <c r="A42" s="150">
        <v>422</v>
      </c>
      <c r="B42" s="555" t="str">
        <f>+VLOOKUP($A42,Master!$D$30:$G$226,4,FALSE)</f>
        <v>Sredstva za tehnološke viškove</v>
      </c>
      <c r="C42" s="556"/>
      <c r="D42" s="556"/>
      <c r="E42" s="556"/>
      <c r="F42" s="556"/>
      <c r="G42" s="163">
        <v>0</v>
      </c>
      <c r="H42" s="163">
        <v>2161292.37</v>
      </c>
      <c r="I42" s="163">
        <v>2136078.06</v>
      </c>
      <c r="J42" s="163">
        <v>2131572.67</v>
      </c>
      <c r="K42" s="163">
        <v>2059702.3699999999</v>
      </c>
      <c r="L42" s="163">
        <v>2014179.75</v>
      </c>
      <c r="M42" s="163">
        <v>1987831.61</v>
      </c>
      <c r="N42" s="163"/>
      <c r="O42" s="163"/>
      <c r="P42" s="163"/>
      <c r="Q42" s="163"/>
      <c r="R42" s="163"/>
      <c r="S42" s="242">
        <f t="shared" si="7"/>
        <v>12490656.829999998</v>
      </c>
      <c r="T42" s="463">
        <f t="shared" si="6"/>
        <v>0.20229094726783919</v>
      </c>
      <c r="U42" s="500"/>
      <c r="V42" s="291"/>
    </row>
    <row r="43" spans="1:24">
      <c r="A43" s="150">
        <v>423</v>
      </c>
      <c r="B43" s="555" t="str">
        <f>+VLOOKUP($A43,Master!$D$30:$G$226,4,FALSE)</f>
        <v>Prava iz oblasti penzijskog i invalidskog osiguranja</v>
      </c>
      <c r="C43" s="556"/>
      <c r="D43" s="556"/>
      <c r="E43" s="556"/>
      <c r="F43" s="556"/>
      <c r="G43" s="163">
        <v>42310100.469999999</v>
      </c>
      <c r="H43" s="163">
        <v>43436982.68</v>
      </c>
      <c r="I43" s="163">
        <v>43546253.729999982</v>
      </c>
      <c r="J43" s="163">
        <v>43640005.299999997</v>
      </c>
      <c r="K43" s="163">
        <v>43423554.060000002</v>
      </c>
      <c r="L43" s="163">
        <v>46909923.619999975</v>
      </c>
      <c r="M43" s="514">
        <v>47073242.11999999</v>
      </c>
      <c r="N43" s="163"/>
      <c r="O43" s="163"/>
      <c r="P43" s="163"/>
      <c r="Q43" s="163"/>
      <c r="R43" s="163"/>
      <c r="S43" s="242">
        <f t="shared" si="7"/>
        <v>310340061.97999996</v>
      </c>
      <c r="T43" s="463">
        <f t="shared" si="6"/>
        <v>5.0260755673241988</v>
      </c>
      <c r="U43" s="500"/>
    </row>
    <row r="44" spans="1:24">
      <c r="A44" s="150">
        <v>424</v>
      </c>
      <c r="B44" s="555" t="str">
        <f>+VLOOKUP($A44,Master!$D$30:$G$226,4,FALSE)</f>
        <v>Ostala prava iz oblasti zdravstvene zaštite</v>
      </c>
      <c r="C44" s="556"/>
      <c r="D44" s="556"/>
      <c r="E44" s="556"/>
      <c r="F44" s="556"/>
      <c r="G44" s="163">
        <v>951408.72</v>
      </c>
      <c r="H44" s="163">
        <v>1207435.98</v>
      </c>
      <c r="I44" s="163">
        <v>2523574.06</v>
      </c>
      <c r="J44" s="163">
        <v>1805827.9000000001</v>
      </c>
      <c r="K44" s="163">
        <v>1743976.95</v>
      </c>
      <c r="L44" s="163">
        <v>1891761.22</v>
      </c>
      <c r="M44" s="163">
        <v>1043937.75</v>
      </c>
      <c r="N44" s="163"/>
      <c r="O44" s="163"/>
      <c r="P44" s="163"/>
      <c r="Q44" s="163"/>
      <c r="R44" s="163"/>
      <c r="S44" s="242">
        <f t="shared" si="7"/>
        <v>11167922.58</v>
      </c>
      <c r="T44" s="463">
        <f t="shared" si="6"/>
        <v>0.18086876202507046</v>
      </c>
      <c r="U44" s="500"/>
    </row>
    <row r="45" spans="1:24" s="360" customFormat="1">
      <c r="A45" s="359">
        <v>425</v>
      </c>
      <c r="B45" s="576" t="str">
        <f>+VLOOKUP($A45,Master!$D$30:$G$226,4,FALSE)</f>
        <v>Ostala prava iz zdravstvenog osiguranja</v>
      </c>
      <c r="C45" s="577"/>
      <c r="D45" s="577"/>
      <c r="E45" s="577"/>
      <c r="F45" s="577"/>
      <c r="G45" s="163">
        <v>0</v>
      </c>
      <c r="H45" s="163">
        <v>946813.87</v>
      </c>
      <c r="I45" s="163">
        <v>1275769.99</v>
      </c>
      <c r="J45" s="163">
        <v>952531.37</v>
      </c>
      <c r="K45" s="163">
        <v>1324316.98</v>
      </c>
      <c r="L45" s="163">
        <v>734731.72000000009</v>
      </c>
      <c r="M45" s="163">
        <v>1087259.82</v>
      </c>
      <c r="N45" s="163"/>
      <c r="O45" s="163"/>
      <c r="P45" s="163"/>
      <c r="Q45" s="163"/>
      <c r="R45" s="163"/>
      <c r="S45" s="242">
        <f t="shared" si="7"/>
        <v>6321423.75</v>
      </c>
      <c r="T45" s="463">
        <f t="shared" si="6"/>
        <v>0.10237786658245068</v>
      </c>
      <c r="U45" s="500"/>
    </row>
    <row r="46" spans="1:24">
      <c r="A46" s="150">
        <v>43</v>
      </c>
      <c r="B46" s="553" t="str">
        <f>+VLOOKUP($A46,Master!$D$30:$G$226,4,FALSE)</f>
        <v xml:space="preserve">Transferi institucijama, pojedincima, nevladinom i javnom sektoru </v>
      </c>
      <c r="C46" s="554"/>
      <c r="D46" s="554"/>
      <c r="E46" s="554"/>
      <c r="F46" s="554"/>
      <c r="G46" s="175">
        <v>1844828.6800000002</v>
      </c>
      <c r="H46" s="175">
        <v>24914414.260000002</v>
      </c>
      <c r="I46" s="175">
        <v>29338654.910000004</v>
      </c>
      <c r="J46" s="175">
        <v>33942991.660000004</v>
      </c>
      <c r="K46" s="175">
        <v>22605169.219999999</v>
      </c>
      <c r="L46" s="175">
        <v>32410816.539999999</v>
      </c>
      <c r="M46" s="175">
        <v>42652465.160000011</v>
      </c>
      <c r="N46" s="175"/>
      <c r="O46" s="175"/>
      <c r="P46" s="175"/>
      <c r="Q46" s="175"/>
      <c r="R46" s="175"/>
      <c r="S46" s="243">
        <f t="shared" si="7"/>
        <v>187709340.43000001</v>
      </c>
      <c r="T46" s="464">
        <f t="shared" si="6"/>
        <v>3.04002430003563</v>
      </c>
      <c r="U46" s="500"/>
    </row>
    <row r="47" spans="1:24">
      <c r="A47" s="150">
        <v>44</v>
      </c>
      <c r="B47" s="553" t="str">
        <f>+VLOOKUP($A47,Master!$D$30:$G$226,4,FALSE)</f>
        <v>Kapitalni izdaci</v>
      </c>
      <c r="C47" s="554"/>
      <c r="D47" s="554"/>
      <c r="E47" s="554"/>
      <c r="F47" s="554"/>
      <c r="G47" s="175">
        <v>420202.33999999997</v>
      </c>
      <c r="H47" s="175">
        <v>4450440.01</v>
      </c>
      <c r="I47" s="175">
        <v>10112490.899999999</v>
      </c>
      <c r="J47" s="175">
        <v>7075145.9400000004</v>
      </c>
      <c r="K47" s="175">
        <v>8044220.4300000006</v>
      </c>
      <c r="L47" s="175">
        <v>12030198.65</v>
      </c>
      <c r="M47" s="175">
        <v>16132994.560000004</v>
      </c>
      <c r="N47" s="175"/>
      <c r="O47" s="175"/>
      <c r="P47" s="175"/>
      <c r="Q47" s="175"/>
      <c r="R47" s="175"/>
      <c r="S47" s="243">
        <f t="shared" si="7"/>
        <v>58265692.829999998</v>
      </c>
      <c r="T47" s="464">
        <f t="shared" si="6"/>
        <v>0.94363509911573229</v>
      </c>
      <c r="U47" s="500"/>
      <c r="V47" s="291"/>
      <c r="W47" s="311"/>
      <c r="X47" s="311"/>
    </row>
    <row r="48" spans="1:24">
      <c r="A48" s="150">
        <v>451</v>
      </c>
      <c r="B48" s="578" t="str">
        <f>+VLOOKUP($A48,Master!$D$30:$G$226,4,FALSE)</f>
        <v>Pozajmice i krediti</v>
      </c>
      <c r="C48" s="579"/>
      <c r="D48" s="579"/>
      <c r="E48" s="579"/>
      <c r="F48" s="579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/>
      <c r="O48" s="163"/>
      <c r="P48" s="163"/>
      <c r="Q48" s="163"/>
      <c r="R48" s="163"/>
      <c r="S48" s="242">
        <f t="shared" si="7"/>
        <v>0</v>
      </c>
      <c r="T48" s="463">
        <f t="shared" si="6"/>
        <v>0</v>
      </c>
      <c r="U48" s="500"/>
      <c r="V48" s="311"/>
    </row>
    <row r="49" spans="1:21" s="360" customFormat="1">
      <c r="A49" s="359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63">
        <v>0</v>
      </c>
      <c r="H49" s="163">
        <v>198585.54</v>
      </c>
      <c r="I49" s="163">
        <v>1537951.44</v>
      </c>
      <c r="J49" s="163">
        <v>3354027.05</v>
      </c>
      <c r="K49" s="163">
        <v>1068089.2</v>
      </c>
      <c r="L49" s="163">
        <v>447785.86</v>
      </c>
      <c r="M49" s="163">
        <v>4451250.0999999996</v>
      </c>
      <c r="N49" s="163"/>
      <c r="O49" s="163"/>
      <c r="P49" s="163"/>
      <c r="Q49" s="163"/>
      <c r="R49" s="163"/>
      <c r="S49" s="242">
        <f t="shared" si="7"/>
        <v>11057689.189999999</v>
      </c>
      <c r="T49" s="463">
        <f t="shared" si="6"/>
        <v>0.17908349026657597</v>
      </c>
      <c r="U49" s="500"/>
    </row>
    <row r="50" spans="1:21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v>0</v>
      </c>
      <c r="H50" s="163">
        <v>1168915.48</v>
      </c>
      <c r="I50" s="163">
        <v>0</v>
      </c>
      <c r="J50" s="163">
        <v>0</v>
      </c>
      <c r="K50" s="163">
        <v>0</v>
      </c>
      <c r="L50" s="163">
        <v>0</v>
      </c>
      <c r="M50" s="163">
        <v>1644656.68</v>
      </c>
      <c r="N50" s="163"/>
      <c r="O50" s="163"/>
      <c r="P50" s="163"/>
      <c r="Q50" s="163"/>
      <c r="R50" s="163"/>
      <c r="S50" s="242">
        <f t="shared" si="7"/>
        <v>2813572.16</v>
      </c>
      <c r="T50" s="463">
        <f t="shared" si="6"/>
        <v>4.5566873319729216E-2</v>
      </c>
      <c r="U50" s="500"/>
    </row>
    <row r="51" spans="1:21" ht="13.5" thickBot="1">
      <c r="A51" s="144">
        <v>4630</v>
      </c>
      <c r="B51" s="585" t="str">
        <f>+VLOOKUP($A51,Master!$D$30:$G$226,4,TRUE)</f>
        <v>Otplata obaveza iz prethodnog perioda</v>
      </c>
      <c r="C51" s="586"/>
      <c r="D51" s="586"/>
      <c r="E51" s="586"/>
      <c r="F51" s="586"/>
      <c r="G51" s="457">
        <v>968479.09000000008</v>
      </c>
      <c r="H51" s="457">
        <v>1883378.3499999994</v>
      </c>
      <c r="I51" s="457">
        <v>1288018.07</v>
      </c>
      <c r="J51" s="457">
        <v>825899.93</v>
      </c>
      <c r="K51" s="457">
        <v>1087430.8599999999</v>
      </c>
      <c r="L51" s="457">
        <v>1868729.74</v>
      </c>
      <c r="M51" s="457">
        <v>1167301.5299999998</v>
      </c>
      <c r="N51" s="457"/>
      <c r="O51" s="457"/>
      <c r="P51" s="457"/>
      <c r="Q51" s="457"/>
      <c r="R51" s="457"/>
      <c r="S51" s="424">
        <f>+SUM(G51:R51)</f>
        <v>9089237.5699999984</v>
      </c>
      <c r="T51" s="467">
        <f t="shared" si="6"/>
        <v>0.14720366614841446</v>
      </c>
      <c r="U51" s="500"/>
    </row>
    <row r="52" spans="1:21" ht="13.5" thickBot="1">
      <c r="A52" s="70">
        <v>1005</v>
      </c>
      <c r="B52" s="587" t="str">
        <f>+VLOOKUP($A52,Master!$D$30:$G$228,4,FALSE)</f>
        <v>Neto povećanje obaveza</v>
      </c>
      <c r="C52" s="588"/>
      <c r="D52" s="588"/>
      <c r="E52" s="588"/>
      <c r="F52" s="588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6"/>
        <v>0</v>
      </c>
    </row>
    <row r="53" spans="1:21" ht="13.5" thickBot="1">
      <c r="A53" s="144">
        <v>1000</v>
      </c>
      <c r="B53" s="547" t="str">
        <f>+VLOOKUP($A53,Master!$D$30:$G$226,4,FALSE)</f>
        <v>Suficit / deficit</v>
      </c>
      <c r="C53" s="548"/>
      <c r="D53" s="548"/>
      <c r="E53" s="548"/>
      <c r="F53" s="548"/>
      <c r="G53" s="151">
        <f t="shared" ref="G53:L53" si="16">+G10-G29</f>
        <v>52647443.029999986</v>
      </c>
      <c r="H53" s="151">
        <f t="shared" si="16"/>
        <v>-28146437.060000002</v>
      </c>
      <c r="I53" s="151">
        <f t="shared" si="16"/>
        <v>38669226.780000031</v>
      </c>
      <c r="J53" s="151">
        <f t="shared" si="16"/>
        <v>48996225.170000046</v>
      </c>
      <c r="K53" s="151">
        <f t="shared" si="16"/>
        <v>-3309138.1699999869</v>
      </c>
      <c r="L53" s="151">
        <f t="shared" si="16"/>
        <v>58968371.910000086</v>
      </c>
      <c r="M53" s="151">
        <f t="shared" ref="M53:R53" si="17">+M10-M29</f>
        <v>-16346352.029999912</v>
      </c>
      <c r="N53" s="151">
        <f t="shared" si="17"/>
        <v>0</v>
      </c>
      <c r="O53" s="151">
        <f t="shared" si="17"/>
        <v>0</v>
      </c>
      <c r="P53" s="151">
        <f t="shared" si="17"/>
        <v>0</v>
      </c>
      <c r="Q53" s="151">
        <f t="shared" si="17"/>
        <v>0</v>
      </c>
      <c r="R53" s="151">
        <f t="shared" si="17"/>
        <v>0</v>
      </c>
      <c r="S53" s="248">
        <f>SUM(G53:R53)</f>
        <v>151479339.63000023</v>
      </c>
      <c r="T53" s="469">
        <f t="shared" si="6"/>
        <v>2.4532656306481431</v>
      </c>
    </row>
    <row r="54" spans="1:21" ht="13.5" thickBot="1">
      <c r="A54" s="144">
        <v>1001</v>
      </c>
      <c r="B54" s="549" t="str">
        <f>+VLOOKUP($A54,Master!$D$30:$G$226,4,FALSE)</f>
        <v>Primarni suficit/deficit</v>
      </c>
      <c r="C54" s="550"/>
      <c r="D54" s="550"/>
      <c r="E54" s="550"/>
      <c r="F54" s="550"/>
      <c r="G54" s="205">
        <f t="shared" ref="G54:L54" si="18">+G53+G36</f>
        <v>56614338.789999984</v>
      </c>
      <c r="H54" s="205">
        <f t="shared" si="18"/>
        <v>-25715370.270000003</v>
      </c>
      <c r="I54" s="205">
        <f t="shared" si="18"/>
        <v>40404859.590000033</v>
      </c>
      <c r="J54" s="205">
        <f t="shared" si="18"/>
        <v>72136229.410000056</v>
      </c>
      <c r="K54" s="205">
        <f t="shared" si="18"/>
        <v>11366245.340000013</v>
      </c>
      <c r="L54" s="205">
        <f t="shared" si="18"/>
        <v>61886836.020000085</v>
      </c>
      <c r="M54" s="205">
        <f t="shared" ref="M54:R54" si="19">+M53+M36</f>
        <v>-8782109.1799999122</v>
      </c>
      <c r="N54" s="205">
        <f t="shared" si="19"/>
        <v>0</v>
      </c>
      <c r="O54" s="205">
        <f t="shared" si="19"/>
        <v>0</v>
      </c>
      <c r="P54" s="205">
        <f t="shared" si="19"/>
        <v>0</v>
      </c>
      <c r="Q54" s="205">
        <f t="shared" si="19"/>
        <v>0</v>
      </c>
      <c r="R54" s="205">
        <f t="shared" si="19"/>
        <v>0</v>
      </c>
      <c r="S54" s="248">
        <f t="shared" si="7"/>
        <v>207911029.70000026</v>
      </c>
      <c r="T54" s="469">
        <f t="shared" si="6"/>
        <v>3.3671983561688248</v>
      </c>
    </row>
    <row r="55" spans="1:21">
      <c r="A55" s="144">
        <v>46</v>
      </c>
      <c r="B55" s="571" t="str">
        <f>+VLOOKUP($A55,Master!$D$30:$G$226,4,FALSE)</f>
        <v>Otplata dugova</v>
      </c>
      <c r="C55" s="572"/>
      <c r="D55" s="572"/>
      <c r="E55" s="572"/>
      <c r="F55" s="572"/>
      <c r="G55" s="193">
        <f t="shared" ref="G55:L55" si="20">+SUM(G56:G57)</f>
        <v>29896704.300000001</v>
      </c>
      <c r="H55" s="193">
        <f t="shared" si="20"/>
        <v>5811024.9299999997</v>
      </c>
      <c r="I55" s="193">
        <f t="shared" si="20"/>
        <v>8077109.9900000002</v>
      </c>
      <c r="J55" s="175">
        <f t="shared" si="20"/>
        <v>7902599.2300000004</v>
      </c>
      <c r="K55" s="193">
        <f t="shared" si="20"/>
        <v>91927760.939999998</v>
      </c>
      <c r="L55" s="193">
        <f t="shared" si="20"/>
        <v>16027590.799999999</v>
      </c>
      <c r="M55" s="193">
        <f t="shared" ref="M55:R55" si="21">+SUM(M56:M57)</f>
        <v>31852596.969999999</v>
      </c>
      <c r="N55" s="193">
        <f t="shared" si="21"/>
        <v>0</v>
      </c>
      <c r="O55" s="193">
        <f t="shared" si="21"/>
        <v>0</v>
      </c>
      <c r="P55" s="193">
        <f t="shared" si="21"/>
        <v>0</v>
      </c>
      <c r="Q55" s="193">
        <f t="shared" si="21"/>
        <v>0</v>
      </c>
      <c r="R55" s="193">
        <f t="shared" si="21"/>
        <v>0</v>
      </c>
      <c r="S55" s="249">
        <f t="shared" si="7"/>
        <v>191495387.16</v>
      </c>
      <c r="T55" s="470">
        <f t="shared" si="6"/>
        <v>3.1013407696045086</v>
      </c>
    </row>
    <row r="56" spans="1:21">
      <c r="A56" s="144">
        <v>4611</v>
      </c>
      <c r="B56" s="539" t="str">
        <f>+VLOOKUP($A56,Master!$D$30:$G$226,4,FALSE)</f>
        <v>Otplata hartija od vrijednosti i kredita rezidentima</v>
      </c>
      <c r="C56" s="540"/>
      <c r="D56" s="540"/>
      <c r="E56" s="540"/>
      <c r="F56" s="540"/>
      <c r="G56" s="211">
        <v>1871833.35</v>
      </c>
      <c r="H56" s="211">
        <v>2400192.8200000003</v>
      </c>
      <c r="I56" s="211">
        <v>1348967.54</v>
      </c>
      <c r="J56" s="211">
        <v>2419307.02</v>
      </c>
      <c r="K56" s="211">
        <v>44621033.690000005</v>
      </c>
      <c r="L56" s="211">
        <v>3730449.0100000002</v>
      </c>
      <c r="M56" s="211">
        <v>2461406.0100000002</v>
      </c>
      <c r="N56" s="211"/>
      <c r="O56" s="211"/>
      <c r="P56" s="211"/>
      <c r="Q56" s="211"/>
      <c r="R56" s="211"/>
      <c r="S56" s="250">
        <f t="shared" si="7"/>
        <v>58853189.439999998</v>
      </c>
      <c r="T56" s="471">
        <f t="shared" si="6"/>
        <v>0.95314983059631397</v>
      </c>
    </row>
    <row r="57" spans="1:21" ht="13.5" thickBot="1">
      <c r="A57" s="144">
        <v>4612</v>
      </c>
      <c r="B57" s="523" t="str">
        <f>+VLOOKUP($A57,Master!$D$30:$G$226,4,FALSE)</f>
        <v>Otplata hartija od vrijednosti i kredita nerezidentima</v>
      </c>
      <c r="C57" s="524"/>
      <c r="D57" s="524"/>
      <c r="E57" s="524"/>
      <c r="F57" s="524"/>
      <c r="G57" s="211">
        <v>28024870.949999999</v>
      </c>
      <c r="H57" s="211">
        <v>3410832.11</v>
      </c>
      <c r="I57" s="211">
        <v>6728142.4500000002</v>
      </c>
      <c r="J57" s="211">
        <v>5483292.21</v>
      </c>
      <c r="K57" s="211">
        <v>47306727.25</v>
      </c>
      <c r="L57" s="211">
        <v>12297141.789999999</v>
      </c>
      <c r="M57" s="211">
        <v>29391190.959999997</v>
      </c>
      <c r="N57" s="211"/>
      <c r="O57" s="211"/>
      <c r="P57" s="211"/>
      <c r="Q57" s="211"/>
      <c r="R57" s="211"/>
      <c r="S57" s="250">
        <f t="shared" si="7"/>
        <v>132642197.71999998</v>
      </c>
      <c r="T57" s="471">
        <f t="shared" si="6"/>
        <v>2.1481909390081948</v>
      </c>
    </row>
    <row r="58" spans="1:21" ht="13.5" thickBot="1">
      <c r="A58" s="144">
        <v>4418</v>
      </c>
      <c r="B58" s="561" t="str">
        <f>+VLOOKUP($A58,Master!$D$30:$G$226,4,FALSE)</f>
        <v>Izdaci za kupovinu hartija od vrijednosti</v>
      </c>
      <c r="C58" s="562"/>
      <c r="D58" s="562"/>
      <c r="E58" s="562"/>
      <c r="F58" s="562"/>
      <c r="G58" s="459">
        <v>0</v>
      </c>
      <c r="H58" s="459">
        <v>496372.98</v>
      </c>
      <c r="I58" s="459">
        <v>0</v>
      </c>
      <c r="J58" s="459">
        <v>0</v>
      </c>
      <c r="K58" s="459">
        <v>118566.42</v>
      </c>
      <c r="L58" s="459">
        <v>0</v>
      </c>
      <c r="M58" s="459">
        <v>105927.36</v>
      </c>
      <c r="N58" s="459">
        <v>0</v>
      </c>
      <c r="O58" s="459"/>
      <c r="P58" s="459"/>
      <c r="Q58" s="459"/>
      <c r="R58" s="459"/>
      <c r="S58" s="249">
        <f>SUM(G58:R58)</f>
        <v>720866.76</v>
      </c>
      <c r="T58" s="472">
        <f t="shared" si="6"/>
        <v>1.1674711884170635E-2</v>
      </c>
    </row>
    <row r="59" spans="1:21" ht="13.5" thickBot="1">
      <c r="A59" s="150">
        <v>451</v>
      </c>
      <c r="B59" s="561" t="str">
        <f>+VLOOKUP($A59,Master!$D$30:$G$226,4,FALSE)</f>
        <v>Pozajmice i krediti</v>
      </c>
      <c r="C59" s="562"/>
      <c r="D59" s="562"/>
      <c r="E59" s="562"/>
      <c r="F59" s="562"/>
      <c r="G59" s="459">
        <v>261400.02</v>
      </c>
      <c r="H59" s="459">
        <v>1079076.3400000001</v>
      </c>
      <c r="I59" s="459">
        <v>383792.67</v>
      </c>
      <c r="J59" s="459">
        <v>3534657.89</v>
      </c>
      <c r="K59" s="459">
        <v>510581.47</v>
      </c>
      <c r="L59" s="459">
        <v>1213521.05</v>
      </c>
      <c r="M59" s="459">
        <v>435818</v>
      </c>
      <c r="N59" s="459"/>
      <c r="O59" s="459"/>
      <c r="P59" s="459"/>
      <c r="Q59" s="459"/>
      <c r="R59" s="459"/>
      <c r="S59" s="249">
        <f>SUM(G59:R59)</f>
        <v>7418847.4399999995</v>
      </c>
      <c r="T59" s="472">
        <f t="shared" si="6"/>
        <v>0.12015106144527581</v>
      </c>
    </row>
    <row r="60" spans="1:21" ht="13.5" thickBot="1">
      <c r="A60" s="144">
        <v>1002</v>
      </c>
      <c r="B60" s="543" t="str">
        <f>+VLOOKUP($A60,Master!$D$30:$G$226,4,FALSE)</f>
        <v>Nedostajuća sredstva</v>
      </c>
      <c r="C60" s="544"/>
      <c r="D60" s="544"/>
      <c r="E60" s="544"/>
      <c r="F60" s="544"/>
      <c r="G60" s="217">
        <f>+G53-G55-G58-G59</f>
        <v>22489338.709999986</v>
      </c>
      <c r="H60" s="217">
        <f t="shared" ref="H60:L60" si="22">+H53-H55-H58-H59</f>
        <v>-35532911.310000002</v>
      </c>
      <c r="I60" s="217">
        <f t="shared" si="22"/>
        <v>30208324.120000027</v>
      </c>
      <c r="J60" s="217">
        <f t="shared" si="22"/>
        <v>37558968.050000042</v>
      </c>
      <c r="K60" s="217">
        <f t="shared" si="22"/>
        <v>-95866046.999999985</v>
      </c>
      <c r="L60" s="217">
        <f t="shared" si="22"/>
        <v>41727260.060000092</v>
      </c>
      <c r="M60" s="217">
        <f t="shared" ref="M60" si="23">+M53-M55-M58-M59</f>
        <v>-48740694.35999991</v>
      </c>
      <c r="N60" s="217">
        <f t="shared" ref="N60" si="24">+N53-N55-N58-N59</f>
        <v>0</v>
      </c>
      <c r="O60" s="217">
        <f t="shared" ref="O60" si="25">+O53-O55-O58-O59</f>
        <v>0</v>
      </c>
      <c r="P60" s="217">
        <f t="shared" ref="P60" si="26">+P53-P55-P58-P59</f>
        <v>0</v>
      </c>
      <c r="Q60" s="217">
        <f t="shared" ref="Q60" si="27">+Q53-Q55-Q58-Q59</f>
        <v>0</v>
      </c>
      <c r="R60" s="217">
        <f t="shared" ref="R60:S60" si="28">+R53-R55-R58-R59</f>
        <v>0</v>
      </c>
      <c r="S60" s="249">
        <f t="shared" si="28"/>
        <v>-48155761.729999758</v>
      </c>
      <c r="T60" s="473">
        <f t="shared" si="6"/>
        <v>-0.77990091228581226</v>
      </c>
    </row>
    <row r="61" spans="1:21" ht="13.5" thickBot="1">
      <c r="A61" s="144">
        <v>1003</v>
      </c>
      <c r="B61" s="545" t="str">
        <f>+VLOOKUP($A61,Master!$D$30:$G$226,4,FALSE)</f>
        <v>Finansiranje</v>
      </c>
      <c r="C61" s="546"/>
      <c r="D61" s="546"/>
      <c r="E61" s="546"/>
      <c r="F61" s="546"/>
      <c r="G61" s="151">
        <f>+SUM(G62:G66)</f>
        <v>-22489338.709999986</v>
      </c>
      <c r="H61" s="151">
        <f t="shared" ref="H61:L61" si="29">+SUM(H62:H66)</f>
        <v>35532911.310000002</v>
      </c>
      <c r="I61" s="151">
        <f t="shared" si="29"/>
        <v>-30208324.12000002</v>
      </c>
      <c r="J61" s="151">
        <f t="shared" si="29"/>
        <v>-37558968.050000042</v>
      </c>
      <c r="K61" s="151">
        <f t="shared" si="29"/>
        <v>95866046.999999985</v>
      </c>
      <c r="L61" s="151">
        <f t="shared" si="29"/>
        <v>-41727260.060000092</v>
      </c>
      <c r="M61" s="151">
        <f t="shared" ref="M61:R61" si="30">+SUM(M62:M66)</f>
        <v>48740694.35999991</v>
      </c>
      <c r="N61" s="151">
        <f t="shared" si="30"/>
        <v>0</v>
      </c>
      <c r="O61" s="151">
        <f t="shared" si="30"/>
        <v>0</v>
      </c>
      <c r="P61" s="151">
        <f t="shared" si="30"/>
        <v>0</v>
      </c>
      <c r="Q61" s="151">
        <f t="shared" si="30"/>
        <v>0</v>
      </c>
      <c r="R61" s="151">
        <f t="shared" si="30"/>
        <v>0</v>
      </c>
      <c r="S61" s="252">
        <f t="shared" si="7"/>
        <v>48155761.729999758</v>
      </c>
      <c r="T61" s="474">
        <f t="shared" si="6"/>
        <v>0.77990091228581226</v>
      </c>
    </row>
    <row r="62" spans="1:21">
      <c r="A62" s="144">
        <v>7511</v>
      </c>
      <c r="B62" s="539" t="str">
        <f>+VLOOKUP($A62,Master!$D$30:$G$226,4,FALSE)</f>
        <v>Pozajmice i krediti od domaćih izvora</v>
      </c>
      <c r="C62" s="540"/>
      <c r="D62" s="540"/>
      <c r="E62" s="540"/>
      <c r="F62" s="540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/>
      <c r="O62" s="211"/>
      <c r="P62" s="211"/>
      <c r="Q62" s="211"/>
      <c r="R62" s="211"/>
      <c r="S62" s="250">
        <f t="shared" si="7"/>
        <v>0</v>
      </c>
      <c r="T62" s="471">
        <f t="shared" si="6"/>
        <v>0</v>
      </c>
    </row>
    <row r="63" spans="1:21">
      <c r="A63" s="144">
        <v>7512</v>
      </c>
      <c r="B63" s="523" t="str">
        <f>+VLOOKUP($A63,Master!$D$30:$G$226,4,FALSE)</f>
        <v>Pozajmice i krediti od inostranih izvora</v>
      </c>
      <c r="C63" s="524"/>
      <c r="D63" s="524"/>
      <c r="E63" s="524"/>
      <c r="F63" s="524"/>
      <c r="G63" s="211">
        <v>552374.85</v>
      </c>
      <c r="H63" s="211">
        <v>1145846.25</v>
      </c>
      <c r="I63" s="211">
        <v>101672892.59999999</v>
      </c>
      <c r="J63" s="211">
        <v>3774255.5799999996</v>
      </c>
      <c r="K63" s="211">
        <v>1498615.24</v>
      </c>
      <c r="L63" s="211">
        <v>2081762.78</v>
      </c>
      <c r="M63" s="211">
        <v>944562.51</v>
      </c>
      <c r="N63" s="211"/>
      <c r="O63" s="211"/>
      <c r="P63" s="211"/>
      <c r="Q63" s="211"/>
      <c r="R63" s="211"/>
      <c r="S63" s="250">
        <f t="shared" si="7"/>
        <v>111670309.80999999</v>
      </c>
      <c r="T63" s="471">
        <f t="shared" si="6"/>
        <v>1.8085432223949729</v>
      </c>
    </row>
    <row r="64" spans="1:21">
      <c r="A64" s="144">
        <v>72</v>
      </c>
      <c r="B64" s="523" t="str">
        <f>+VLOOKUP($A64,Master!$D$30:$G$226,4,FALSE)</f>
        <v>Primici od prodaje imovine</v>
      </c>
      <c r="C64" s="524"/>
      <c r="D64" s="524"/>
      <c r="E64" s="524"/>
      <c r="F64" s="524"/>
      <c r="G64" s="211">
        <v>664808.06000000006</v>
      </c>
      <c r="H64" s="211">
        <v>77041.679999999993</v>
      </c>
      <c r="I64" s="211">
        <v>167618.51</v>
      </c>
      <c r="J64" s="211">
        <v>155425.62000000002</v>
      </c>
      <c r="K64" s="211">
        <v>634641.06000000006</v>
      </c>
      <c r="L64" s="211">
        <v>183706.77000000002</v>
      </c>
      <c r="M64" s="211">
        <v>178782.18</v>
      </c>
      <c r="N64" s="211"/>
      <c r="O64" s="211"/>
      <c r="P64" s="211"/>
      <c r="Q64" s="211"/>
      <c r="R64" s="211"/>
      <c r="S64" s="250">
        <f t="shared" si="7"/>
        <v>2062023.8800000001</v>
      </c>
      <c r="T64" s="471">
        <f t="shared" si="6"/>
        <v>3.339526252712726E-2</v>
      </c>
    </row>
    <row r="65" spans="1:20">
      <c r="A65" s="144">
        <v>73</v>
      </c>
      <c r="B65" s="523" t="s">
        <v>101</v>
      </c>
      <c r="C65" s="524"/>
      <c r="D65" s="524"/>
      <c r="E65" s="524"/>
      <c r="F65" s="524"/>
      <c r="G65" s="211">
        <v>139531.08000000002</v>
      </c>
      <c r="H65" s="211">
        <v>2017853.4</v>
      </c>
      <c r="I65" s="211">
        <v>1080976.0299999998</v>
      </c>
      <c r="J65" s="211">
        <v>1004336.8499999999</v>
      </c>
      <c r="K65" s="211">
        <v>1142213.31</v>
      </c>
      <c r="L65" s="211">
        <v>2980226.31</v>
      </c>
      <c r="M65" s="211">
        <v>323305.51</v>
      </c>
      <c r="N65" s="211"/>
      <c r="O65" s="211"/>
      <c r="P65" s="211"/>
      <c r="Q65" s="211"/>
      <c r="R65" s="211"/>
      <c r="S65" s="250">
        <f t="shared" si="7"/>
        <v>8688442.4900000002</v>
      </c>
      <c r="T65" s="471">
        <f t="shared" si="6"/>
        <v>0.14071263709390083</v>
      </c>
    </row>
    <row r="66" spans="1:20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-23846052.699999988</v>
      </c>
      <c r="H66" s="225">
        <f t="shared" ref="H66:L66" si="31">-H60-SUM(H62:H65)</f>
        <v>32292169.980000004</v>
      </c>
      <c r="I66" s="225">
        <f t="shared" si="31"/>
        <v>-133129811.26000002</v>
      </c>
      <c r="J66" s="225">
        <f t="shared" si="31"/>
        <v>-42492986.100000039</v>
      </c>
      <c r="K66" s="225">
        <f t="shared" si="31"/>
        <v>92590577.389999986</v>
      </c>
      <c r="L66" s="225">
        <f t="shared" si="31"/>
        <v>-46972955.920000091</v>
      </c>
      <c r="M66" s="225">
        <f t="shared" ref="M66:S66" si="32">-M60-SUM(M62:M65)</f>
        <v>47294044.159999907</v>
      </c>
      <c r="N66" s="225">
        <f t="shared" si="32"/>
        <v>0</v>
      </c>
      <c r="O66" s="225">
        <f t="shared" si="32"/>
        <v>0</v>
      </c>
      <c r="P66" s="225">
        <f t="shared" si="32"/>
        <v>0</v>
      </c>
      <c r="Q66" s="225">
        <f t="shared" si="32"/>
        <v>0</v>
      </c>
      <c r="R66" s="225">
        <f t="shared" si="32"/>
        <v>0</v>
      </c>
      <c r="S66" s="518">
        <f t="shared" si="32"/>
        <v>-74265014.450000226</v>
      </c>
      <c r="T66" s="475">
        <f t="shared" si="6"/>
        <v>-1.2027502097301885</v>
      </c>
    </row>
    <row r="67" spans="1:20">
      <c r="R67" s="312"/>
    </row>
    <row r="68" spans="1:20">
      <c r="G68" s="311"/>
    </row>
    <row r="69" spans="1:20" hidden="1">
      <c r="G69" s="311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L82" si="33">+CONCATENATE(G6,"p")</f>
        <v>2023-01p</v>
      </c>
      <c r="H82" s="68" t="str">
        <f t="shared" si="33"/>
        <v>2023-02p</v>
      </c>
      <c r="I82" s="68" t="str">
        <f t="shared" si="33"/>
        <v>2023-03p</v>
      </c>
      <c r="J82" s="68" t="str">
        <f t="shared" si="33"/>
        <v>2023-04p</v>
      </c>
      <c r="K82" s="68" t="str">
        <f t="shared" si="33"/>
        <v>2023-05p</v>
      </c>
      <c r="L82" s="68" t="str">
        <f t="shared" si="33"/>
        <v>2023-06p</v>
      </c>
      <c r="M82" s="68" t="str">
        <f t="shared" ref="M82:R82" si="34">+CONCATENATE(M6,"p")</f>
        <v>2023-07p</v>
      </c>
      <c r="N82" s="68" t="str">
        <f t="shared" si="34"/>
        <v>2023-08p</v>
      </c>
      <c r="O82" s="68" t="str">
        <f t="shared" si="34"/>
        <v>2023-09p</v>
      </c>
      <c r="P82" s="68" t="str">
        <f t="shared" si="34"/>
        <v>2023-10p</v>
      </c>
      <c r="Q82" s="68" t="str">
        <f t="shared" si="34"/>
        <v>2023-11p</v>
      </c>
      <c r="R82" s="68" t="str">
        <f t="shared" si="34"/>
        <v>2023-12p</v>
      </c>
    </row>
    <row r="83" spans="1:26" ht="15.75" customHeight="1" thickBot="1">
      <c r="B83" s="595" t="str">
        <f>+Master!G253</f>
        <v>Plan ostvarenja budžeta</v>
      </c>
      <c r="C83" s="596"/>
      <c r="D83" s="596"/>
      <c r="E83" s="596"/>
      <c r="F83" s="596"/>
      <c r="G83" s="580">
        <v>2023</v>
      </c>
      <c r="H83" s="581"/>
      <c r="I83" s="581"/>
      <c r="J83" s="581"/>
      <c r="K83" s="581"/>
      <c r="L83" s="581"/>
      <c r="M83" s="581"/>
      <c r="N83" s="581"/>
      <c r="O83" s="581"/>
      <c r="P83" s="581"/>
      <c r="Q83" s="581"/>
      <c r="R83" s="582"/>
      <c r="S83" s="107" t="str">
        <f>+S7</f>
        <v>BDP</v>
      </c>
      <c r="T83" s="108">
        <v>6174600000</v>
      </c>
    </row>
    <row r="84" spans="1:26" ht="15.75" customHeight="1">
      <c r="B84" s="597"/>
      <c r="C84" s="598"/>
      <c r="D84" s="598"/>
      <c r="E84" s="598"/>
      <c r="F84" s="599"/>
      <c r="G84" s="71" t="str">
        <f t="shared" ref="G84:L84" si="35">+G8</f>
        <v>Januar</v>
      </c>
      <c r="H84" s="71" t="str">
        <f t="shared" si="35"/>
        <v>Februar</v>
      </c>
      <c r="I84" s="71" t="str">
        <f t="shared" si="35"/>
        <v>Mart</v>
      </c>
      <c r="J84" s="71" t="str">
        <f t="shared" si="35"/>
        <v>April</v>
      </c>
      <c r="K84" s="71" t="str">
        <f t="shared" si="35"/>
        <v>Maj</v>
      </c>
      <c r="L84" s="71" t="str">
        <f t="shared" si="35"/>
        <v>Jun</v>
      </c>
      <c r="M84" s="71" t="str">
        <f t="shared" ref="M84:R84" si="36">+M8</f>
        <v>Jul</v>
      </c>
      <c r="N84" s="71" t="str">
        <f t="shared" si="36"/>
        <v>Avgust</v>
      </c>
      <c r="O84" s="71" t="str">
        <f t="shared" si="36"/>
        <v>Septembar</v>
      </c>
      <c r="P84" s="71" t="str">
        <f t="shared" si="36"/>
        <v>Oktobar</v>
      </c>
      <c r="Q84" s="71" t="str">
        <f t="shared" si="36"/>
        <v>Novembar</v>
      </c>
      <c r="R84" s="71" t="str">
        <f t="shared" si="36"/>
        <v>Decembar</v>
      </c>
      <c r="S84" s="580" t="str">
        <f>+Master!G247</f>
        <v>Jan - Dec</v>
      </c>
      <c r="T84" s="582">
        <f>+T8</f>
        <v>0</v>
      </c>
    </row>
    <row r="85" spans="1:26" ht="13.5" thickBot="1">
      <c r="B85" s="600"/>
      <c r="C85" s="601"/>
      <c r="D85" s="601"/>
      <c r="E85" s="601"/>
      <c r="F85" s="602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37">+CONCATENATE(A10,"p")</f>
        <v>7p</v>
      </c>
      <c r="B86" s="589" t="str">
        <f>+VLOOKUP(LEFT($A86,LEN(A86)-1)*1,Master!$D$30:$G$226,4,FALSE)</f>
        <v>Prihodi budžeta</v>
      </c>
      <c r="C86" s="590"/>
      <c r="D86" s="590"/>
      <c r="E86" s="590"/>
      <c r="F86" s="590"/>
      <c r="G86" s="93">
        <f t="shared" ref="G86:L86" si="38">+G87+G95+SUM(G100:G104)</f>
        <v>153112731.45240748</v>
      </c>
      <c r="H86" s="93">
        <f t="shared" si="38"/>
        <v>127832756.55548061</v>
      </c>
      <c r="I86" s="93">
        <f t="shared" si="38"/>
        <v>201740232.63025409</v>
      </c>
      <c r="J86" s="93">
        <f t="shared" si="38"/>
        <v>197163981.770235</v>
      </c>
      <c r="K86" s="93">
        <f t="shared" si="38"/>
        <v>158296327.97128749</v>
      </c>
      <c r="L86" s="93">
        <f t="shared" si="38"/>
        <v>167200464.48127508</v>
      </c>
      <c r="M86" s="93">
        <f t="shared" ref="M86:Q86" si="39">+M87+M95+SUM(M100:M104)</f>
        <v>181861975.69392896</v>
      </c>
      <c r="N86" s="93">
        <f t="shared" si="39"/>
        <v>202109513.21302867</v>
      </c>
      <c r="O86" s="93">
        <f t="shared" si="39"/>
        <v>185021882.2158348</v>
      </c>
      <c r="P86" s="93">
        <f t="shared" si="39"/>
        <v>177565269.2391125</v>
      </c>
      <c r="Q86" s="93">
        <f t="shared" si="39"/>
        <v>168967337.33964974</v>
      </c>
      <c r="R86" s="93">
        <f>+R87+R95+SUM(R100:R104)</f>
        <v>226593742.01140162</v>
      </c>
      <c r="S86" s="452">
        <f>+SUM(G86:R86)</f>
        <v>2147466214.5738959</v>
      </c>
      <c r="T86" s="476">
        <f>+S86/$T$83*100</f>
        <v>34.779033695687104</v>
      </c>
      <c r="U86" s="258"/>
    </row>
    <row r="87" spans="1:26">
      <c r="A87" s="116" t="str">
        <f t="shared" si="37"/>
        <v>711p</v>
      </c>
      <c r="B87" s="591" t="str">
        <f>+VLOOKUP(LEFT($A87,LEN(A87)-1)*1,Master!$D$30:$G$226,4,FALSE)</f>
        <v>Porezi</v>
      </c>
      <c r="C87" s="592"/>
      <c r="D87" s="592"/>
      <c r="E87" s="592"/>
      <c r="F87" s="592"/>
      <c r="G87" s="79">
        <f t="shared" ref="G87:L87" si="40">+SUM(G88:G94)</f>
        <v>89053259.19649069</v>
      </c>
      <c r="H87" s="79">
        <f t="shared" si="40"/>
        <v>86133720.726993382</v>
      </c>
      <c r="I87" s="79">
        <f t="shared" si="40"/>
        <v>151611174.865978</v>
      </c>
      <c r="J87" s="79">
        <f t="shared" si="40"/>
        <v>145526098.37503338</v>
      </c>
      <c r="K87" s="79">
        <f t="shared" si="40"/>
        <v>114721167.87287787</v>
      </c>
      <c r="L87" s="79">
        <f t="shared" si="40"/>
        <v>116649816.05907366</v>
      </c>
      <c r="M87" s="79">
        <f t="shared" ref="M87:R87" si="41">+SUM(M88:M94)</f>
        <v>123219445.94451815</v>
      </c>
      <c r="N87" s="79">
        <f t="shared" si="41"/>
        <v>144506632.21078962</v>
      </c>
      <c r="O87" s="79">
        <f t="shared" si="41"/>
        <v>130700085.51141171</v>
      </c>
      <c r="P87" s="79">
        <f t="shared" si="41"/>
        <v>120588265.76124729</v>
      </c>
      <c r="Q87" s="79">
        <f t="shared" si="41"/>
        <v>112197774.08556552</v>
      </c>
      <c r="R87" s="80">
        <f t="shared" si="41"/>
        <v>130556572.94447696</v>
      </c>
      <c r="S87" s="111">
        <f t="shared" ref="S87:S141" si="42">+SUM(G87:R87)</f>
        <v>1465464013.5544562</v>
      </c>
      <c r="T87" s="462">
        <f t="shared" ref="T87:T142" si="43">+S87/$T$83*100</f>
        <v>23.733748154608499</v>
      </c>
      <c r="V87" s="311"/>
    </row>
    <row r="88" spans="1:26">
      <c r="A88" s="116" t="str">
        <f t="shared" si="37"/>
        <v>7111p</v>
      </c>
      <c r="B88" s="593" t="str">
        <f>+VLOOKUP(LEFT($A88,LEN(A88)-1)*1,Master!$D$30:$G$229,4,FALSE)</f>
        <v>Porez na dohodak fizičkih lica</v>
      </c>
      <c r="C88" s="594"/>
      <c r="D88" s="594"/>
      <c r="E88" s="594"/>
      <c r="F88" s="594"/>
      <c r="G88" s="87">
        <v>2070902.7064199252</v>
      </c>
      <c r="H88" s="87">
        <v>4571441.5054620681</v>
      </c>
      <c r="I88" s="87">
        <v>4416792.289274618</v>
      </c>
      <c r="J88" s="87">
        <v>5257739.5478638252</v>
      </c>
      <c r="K88" s="87">
        <v>4986046.1475269934</v>
      </c>
      <c r="L88" s="87">
        <v>4944578.7228755346</v>
      </c>
      <c r="M88" s="87">
        <v>5364995.4780979399</v>
      </c>
      <c r="N88" s="87">
        <v>5116178.4586187964</v>
      </c>
      <c r="O88" s="87">
        <v>5045281.5655734073</v>
      </c>
      <c r="P88" s="87">
        <v>5285963.732247252</v>
      </c>
      <c r="Q88" s="87">
        <v>4877225.8311620513</v>
      </c>
      <c r="R88" s="87">
        <v>9102707.6780775897</v>
      </c>
      <c r="S88" s="112">
        <f t="shared" si="42"/>
        <v>61039853.663200006</v>
      </c>
      <c r="T88" s="463">
        <f t="shared" si="43"/>
        <v>0.98856369097917274</v>
      </c>
      <c r="V88" s="311"/>
    </row>
    <row r="89" spans="1:26">
      <c r="A89" s="116" t="str">
        <f t="shared" si="37"/>
        <v>7112p</v>
      </c>
      <c r="B89" s="593" t="str">
        <f>+VLOOKUP(LEFT($A89,LEN(A89)-1)*1,Master!$D$30:$G$229,4,FALSE)</f>
        <v>Porez na dobit pravnih lica</v>
      </c>
      <c r="C89" s="594"/>
      <c r="D89" s="594"/>
      <c r="E89" s="594"/>
      <c r="F89" s="594"/>
      <c r="G89" s="87">
        <v>534161.88979689125</v>
      </c>
      <c r="H89" s="87">
        <v>2931735.7925026831</v>
      </c>
      <c r="I89" s="87">
        <v>52182708.518122546</v>
      </c>
      <c r="J89" s="87">
        <v>38816261.383036874</v>
      </c>
      <c r="K89" s="87">
        <v>2899918.0051999893</v>
      </c>
      <c r="L89" s="87">
        <v>4080555.7993856557</v>
      </c>
      <c r="M89" s="87">
        <v>2527233.3334094649</v>
      </c>
      <c r="N89" s="87">
        <v>3169336.8152234615</v>
      </c>
      <c r="O89" s="87">
        <v>3538278.3583860644</v>
      </c>
      <c r="P89" s="87">
        <v>1664293.4786487306</v>
      </c>
      <c r="Q89" s="87">
        <v>2887333.7182166665</v>
      </c>
      <c r="R89" s="87">
        <v>6416604.0733927749</v>
      </c>
      <c r="S89" s="112">
        <f t="shared" si="42"/>
        <v>121648421.1653218</v>
      </c>
      <c r="T89" s="463">
        <f t="shared" si="43"/>
        <v>1.9701425382263109</v>
      </c>
      <c r="V89" s="311"/>
    </row>
    <row r="90" spans="1:26">
      <c r="A90" s="116" t="str">
        <f t="shared" si="37"/>
        <v>7113p</v>
      </c>
      <c r="B90" s="593" t="str">
        <f>+VLOOKUP(LEFT($A90,LEN(A90)-1)*1,Master!$D$30:$G$229,4,FALSE)</f>
        <v>Porez na promet nepokretnosti</v>
      </c>
      <c r="C90" s="594"/>
      <c r="D90" s="594"/>
      <c r="E90" s="594"/>
      <c r="F90" s="594"/>
      <c r="G90" s="87">
        <v>0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42"/>
        <v>0</v>
      </c>
      <c r="T90" s="463">
        <f t="shared" si="43"/>
        <v>0</v>
      </c>
      <c r="V90" s="311"/>
    </row>
    <row r="91" spans="1:26">
      <c r="A91" s="116" t="str">
        <f t="shared" si="37"/>
        <v>7114p</v>
      </c>
      <c r="B91" s="593" t="str">
        <f>+VLOOKUP(LEFT($A91,LEN(A91)-1)*1,Master!$D$30:$G$229,4,FALSE)</f>
        <v>Porez na dodatu vrijednost</v>
      </c>
      <c r="C91" s="594"/>
      <c r="D91" s="594"/>
      <c r="E91" s="594"/>
      <c r="F91" s="594"/>
      <c r="G91" s="87">
        <v>65000000</v>
      </c>
      <c r="H91" s="87">
        <v>59157257.036181271</v>
      </c>
      <c r="I91" s="87">
        <v>70779064.900745258</v>
      </c>
      <c r="J91" s="87">
        <v>77609564.108106285</v>
      </c>
      <c r="K91" s="87">
        <v>80764321.173744261</v>
      </c>
      <c r="L91" s="87">
        <v>82000000</v>
      </c>
      <c r="M91" s="87">
        <v>86587361.219999999</v>
      </c>
      <c r="N91" s="87">
        <v>99000000</v>
      </c>
      <c r="O91" s="87">
        <v>89355645.696232229</v>
      </c>
      <c r="P91" s="87">
        <v>85000000</v>
      </c>
      <c r="Q91" s="87">
        <v>80002523.512198836</v>
      </c>
      <c r="R91" s="87">
        <v>83726072.568305194</v>
      </c>
      <c r="S91" s="112">
        <f t="shared" si="42"/>
        <v>958981810.21551323</v>
      </c>
      <c r="T91" s="463">
        <f t="shared" si="43"/>
        <v>15.531075862655285</v>
      </c>
      <c r="V91" s="311"/>
    </row>
    <row r="92" spans="1:26">
      <c r="A92" s="116" t="str">
        <f t="shared" si="37"/>
        <v>7115p</v>
      </c>
      <c r="B92" s="593" t="str">
        <f>+VLOOKUP(LEFT($A92,LEN(A92)-1)*1,Master!$D$30:$G$229,4,FALSE)</f>
        <v>Akcize</v>
      </c>
      <c r="C92" s="594"/>
      <c r="D92" s="594"/>
      <c r="E92" s="594"/>
      <c r="F92" s="594"/>
      <c r="G92" s="87">
        <v>18950000</v>
      </c>
      <c r="H92" s="87">
        <v>16468285.819688315</v>
      </c>
      <c r="I92" s="87">
        <v>20008845.7876136</v>
      </c>
      <c r="J92" s="87">
        <v>19694697.412667502</v>
      </c>
      <c r="K92" s="87">
        <v>21753669.00624115</v>
      </c>
      <c r="L92" s="87">
        <v>20861971.060195781</v>
      </c>
      <c r="M92" s="87">
        <v>23890190.547238827</v>
      </c>
      <c r="N92" s="87">
        <v>31837007.557229187</v>
      </c>
      <c r="O92" s="87">
        <v>27952742.360335764</v>
      </c>
      <c r="P92" s="87">
        <v>24243081.612867884</v>
      </c>
      <c r="Q92" s="87">
        <v>19387116.28225591</v>
      </c>
      <c r="R92" s="87">
        <v>26404567.592340976</v>
      </c>
      <c r="S92" s="112">
        <f t="shared" si="42"/>
        <v>271452175.03867495</v>
      </c>
      <c r="T92" s="463">
        <f t="shared" si="43"/>
        <v>4.3962714190178307</v>
      </c>
      <c r="V92" s="311"/>
      <c r="X92" s="257"/>
      <c r="Y92" s="257"/>
      <c r="Z92" s="257"/>
    </row>
    <row r="93" spans="1:26">
      <c r="A93" s="116" t="str">
        <f t="shared" si="37"/>
        <v>7116p</v>
      </c>
      <c r="B93" s="593" t="str">
        <f>+VLOOKUP(LEFT($A93,LEN(A93)-1)*1,Master!$D$30:$G$229,4,FALSE)</f>
        <v>Porez na međunarodnu trgovinu i transakcije</v>
      </c>
      <c r="C93" s="594"/>
      <c r="D93" s="594"/>
      <c r="E93" s="594"/>
      <c r="F93" s="594"/>
      <c r="G93" s="87">
        <v>1690050.6290672496</v>
      </c>
      <c r="H93" s="87">
        <v>2149690.2071043747</v>
      </c>
      <c r="I93" s="87">
        <v>3285503.6338270181</v>
      </c>
      <c r="J93" s="87">
        <v>3112309.3959054868</v>
      </c>
      <c r="K93" s="87">
        <v>3395864.9730360894</v>
      </c>
      <c r="L93" s="87">
        <v>3721386.9341526693</v>
      </c>
      <c r="M93" s="87">
        <v>3649795.5179858184</v>
      </c>
      <c r="N93" s="87">
        <v>4254913.4315361446</v>
      </c>
      <c r="O93" s="87">
        <v>3771141.3156107357</v>
      </c>
      <c r="P93" s="87">
        <v>3431995.0529172528</v>
      </c>
      <c r="Q93" s="87">
        <v>3902366.8888178305</v>
      </c>
      <c r="R93" s="87">
        <v>3887332.176758409</v>
      </c>
      <c r="S93" s="112">
        <f t="shared" si="42"/>
        <v>40252350.156719081</v>
      </c>
      <c r="T93" s="463">
        <f t="shared" si="43"/>
        <v>0.6519021500456561</v>
      </c>
      <c r="V93" s="311"/>
    </row>
    <row r="94" spans="1:26">
      <c r="A94" s="116" t="str">
        <f t="shared" si="37"/>
        <v>7118p</v>
      </c>
      <c r="B94" s="593" t="str">
        <f>+VLOOKUP(LEFT($A94,LEN(A94)-1)*1,Master!$D$30:$G$229,4,FALSE)</f>
        <v>Ostali državni porezi</v>
      </c>
      <c r="C94" s="594"/>
      <c r="D94" s="594"/>
      <c r="E94" s="594"/>
      <c r="F94" s="594"/>
      <c r="G94" s="87">
        <v>808143.97120662592</v>
      </c>
      <c r="H94" s="87">
        <v>855310.36605466809</v>
      </c>
      <c r="I94" s="87">
        <v>938259.73639494251</v>
      </c>
      <c r="J94" s="87">
        <v>1035526.5274533973</v>
      </c>
      <c r="K94" s="87">
        <v>921348.56712938857</v>
      </c>
      <c r="L94" s="87">
        <v>1041323.5424640164</v>
      </c>
      <c r="M94" s="87">
        <v>1199869.8477860999</v>
      </c>
      <c r="N94" s="87">
        <v>1129195.9481820336</v>
      </c>
      <c r="O94" s="87">
        <v>1036996.2152735114</v>
      </c>
      <c r="P94" s="87">
        <v>962931.88456615142</v>
      </c>
      <c r="Q94" s="87">
        <v>1141207.8529142153</v>
      </c>
      <c r="R94" s="87">
        <v>1019288.8556020237</v>
      </c>
      <c r="S94" s="112">
        <f t="shared" si="42"/>
        <v>12089403.315027073</v>
      </c>
      <c r="T94" s="463">
        <f t="shared" si="43"/>
        <v>0.19579249368423984</v>
      </c>
      <c r="V94" s="311"/>
    </row>
    <row r="95" spans="1:26">
      <c r="A95" s="116" t="str">
        <f t="shared" si="37"/>
        <v>712p</v>
      </c>
      <c r="B95" s="603" t="str">
        <f>+VLOOKUP(LEFT($A95,LEN(A95)-1)*1,Master!$D$30:$G$229,4,FALSE)</f>
        <v>Doprinosi</v>
      </c>
      <c r="C95" s="604"/>
      <c r="D95" s="604"/>
      <c r="E95" s="604"/>
      <c r="F95" s="604"/>
      <c r="G95" s="81">
        <f>+SUM(G96:G99)</f>
        <v>14028547.954861166</v>
      </c>
      <c r="H95" s="81">
        <f t="shared" ref="H95:L95" si="44">+SUM(H96:H99)</f>
        <v>35494684.891336001</v>
      </c>
      <c r="I95" s="479">
        <f t="shared" si="44"/>
        <v>34746900.973094396</v>
      </c>
      <c r="J95" s="81">
        <f t="shared" si="44"/>
        <v>42833596.089660697</v>
      </c>
      <c r="K95" s="81">
        <f t="shared" si="44"/>
        <v>31865136.166640289</v>
      </c>
      <c r="L95" s="81">
        <f t="shared" si="44"/>
        <v>38887014.54653661</v>
      </c>
      <c r="M95" s="81">
        <f t="shared" ref="M95:R95" si="45">+SUM(M96:M99)</f>
        <v>41674957.146424204</v>
      </c>
      <c r="N95" s="81">
        <f t="shared" si="45"/>
        <v>39623582.115929469</v>
      </c>
      <c r="O95" s="81">
        <f t="shared" si="45"/>
        <v>38556106.773443051</v>
      </c>
      <c r="P95" s="81">
        <f t="shared" si="45"/>
        <v>41225764.80063308</v>
      </c>
      <c r="Q95" s="81">
        <f t="shared" si="45"/>
        <v>39258499.915648282</v>
      </c>
      <c r="R95" s="82">
        <f t="shared" si="45"/>
        <v>76561513.993556961</v>
      </c>
      <c r="S95" s="113">
        <f t="shared" si="42"/>
        <v>474756305.36776417</v>
      </c>
      <c r="T95" s="464">
        <f t="shared" si="43"/>
        <v>7.6888592842899008</v>
      </c>
      <c r="V95" s="311"/>
    </row>
    <row r="96" spans="1:26">
      <c r="A96" s="116" t="str">
        <f t="shared" si="37"/>
        <v>7121p</v>
      </c>
      <c r="B96" s="593" t="str">
        <f>+VLOOKUP(LEFT($A96,LEN(A96)-1)*1,Master!$D$30:$G$229,4,FALSE)</f>
        <v>Doprinosi za penzijsko i invalidsko osiguranje</v>
      </c>
      <c r="C96" s="594"/>
      <c r="D96" s="594"/>
      <c r="E96" s="594"/>
      <c r="F96" s="594"/>
      <c r="G96" s="87">
        <v>12922296.768241206</v>
      </c>
      <c r="H96" s="87">
        <v>32778046.640397433</v>
      </c>
      <c r="I96" s="87">
        <v>31885035.782585178</v>
      </c>
      <c r="J96" s="87">
        <v>39517642.627177365</v>
      </c>
      <c r="K96" s="87">
        <v>29460956.519365169</v>
      </c>
      <c r="L96" s="87">
        <v>35997729.315968178</v>
      </c>
      <c r="M96" s="87">
        <v>38602836.994617537</v>
      </c>
      <c r="N96" s="87">
        <v>36676993.713693559</v>
      </c>
      <c r="O96" s="87">
        <v>35626366.833726309</v>
      </c>
      <c r="P96" s="87">
        <v>38068802.692633055</v>
      </c>
      <c r="Q96" s="87">
        <v>36305288.307839207</v>
      </c>
      <c r="R96" s="87">
        <v>70883550.649357751</v>
      </c>
      <c r="S96" s="112">
        <f t="shared" si="42"/>
        <v>438725546.84560192</v>
      </c>
      <c r="T96" s="463">
        <f t="shared" si="43"/>
        <v>7.1053274195187051</v>
      </c>
      <c r="V96" s="311"/>
      <c r="W96" s="311"/>
    </row>
    <row r="97" spans="1:23">
      <c r="A97" s="116" t="str">
        <f t="shared" si="37"/>
        <v>7122p</v>
      </c>
      <c r="B97" s="593" t="str">
        <f>+VLOOKUP(LEFT($A97,LEN(A97)-1)*1,Master!$D$30:$G$229,4,FALSE)</f>
        <v>Doprinosi za zdravstveno osiguranje</v>
      </c>
      <c r="C97" s="594"/>
      <c r="D97" s="594"/>
      <c r="E97" s="594"/>
      <c r="F97" s="594"/>
      <c r="G97" s="87">
        <v>100023.86869410829</v>
      </c>
      <c r="H97" s="87">
        <v>100023.86869410829</v>
      </c>
      <c r="I97" s="87">
        <v>100023.86869410829</v>
      </c>
      <c r="J97" s="87">
        <v>100023.86869410829</v>
      </c>
      <c r="K97" s="87">
        <v>100023.86869410829</v>
      </c>
      <c r="L97" s="87">
        <v>100023.86869410829</v>
      </c>
      <c r="M97" s="87">
        <v>100023.86869410829</v>
      </c>
      <c r="N97" s="87">
        <v>100023.86869410829</v>
      </c>
      <c r="O97" s="87">
        <v>100023.86869410829</v>
      </c>
      <c r="P97" s="87">
        <v>100023.86869410829</v>
      </c>
      <c r="Q97" s="87">
        <v>100023.86869410829</v>
      </c>
      <c r="R97" s="87">
        <v>100023.86869410829</v>
      </c>
      <c r="S97" s="112">
        <f t="shared" si="42"/>
        <v>1200286.4243292995</v>
      </c>
      <c r="T97" s="463">
        <f t="shared" si="43"/>
        <v>1.9439096043942922E-2</v>
      </c>
      <c r="V97" s="311"/>
    </row>
    <row r="98" spans="1:23">
      <c r="A98" s="116" t="str">
        <f t="shared" si="37"/>
        <v>7123p</v>
      </c>
      <c r="B98" s="593" t="str">
        <f>+VLOOKUP(LEFT($A98,LEN(A98)-1)*1,Master!$D$30:$G$229,4,FALSE)</f>
        <v>Doprinosi za osiguranje od nezaposlenosti</v>
      </c>
      <c r="C98" s="594"/>
      <c r="D98" s="594"/>
      <c r="E98" s="594"/>
      <c r="F98" s="594"/>
      <c r="G98" s="87">
        <v>619197.91655976803</v>
      </c>
      <c r="H98" s="87">
        <v>1562283.5053246473</v>
      </c>
      <c r="I98" s="87">
        <v>1529231.4074864856</v>
      </c>
      <c r="J98" s="87">
        <v>1852310.804590398</v>
      </c>
      <c r="K98" s="87">
        <v>1381579.4426863664</v>
      </c>
      <c r="L98" s="87">
        <v>1646351.3865687051</v>
      </c>
      <c r="M98" s="87">
        <v>1773247.4402761667</v>
      </c>
      <c r="N98" s="87">
        <v>1691805.2177619261</v>
      </c>
      <c r="O98" s="87">
        <v>1673177.7559083714</v>
      </c>
      <c r="P98" s="87">
        <v>1765599.6533184864</v>
      </c>
      <c r="Q98" s="87">
        <v>1660050.5394028926</v>
      </c>
      <c r="R98" s="87">
        <v>3206078.6416049507</v>
      </c>
      <c r="S98" s="112">
        <f t="shared" si="42"/>
        <v>20360913.711489163</v>
      </c>
      <c r="T98" s="463">
        <f t="shared" si="43"/>
        <v>0.32975275663993076</v>
      </c>
      <c r="V98" s="311"/>
    </row>
    <row r="99" spans="1:23">
      <c r="A99" s="116" t="str">
        <f t="shared" si="37"/>
        <v>7124p</v>
      </c>
      <c r="B99" s="593" t="str">
        <f>+VLOOKUP(LEFT($A99,LEN(A99)-1)*1,Master!$D$30:$G$229,4,FALSE)</f>
        <v>Ostali doprinosi</v>
      </c>
      <c r="C99" s="594"/>
      <c r="D99" s="594"/>
      <c r="E99" s="594"/>
      <c r="F99" s="594"/>
      <c r="G99" s="87">
        <v>387029.40136608307</v>
      </c>
      <c r="H99" s="87">
        <v>1054330.8769198155</v>
      </c>
      <c r="I99" s="87">
        <v>1232609.9143286212</v>
      </c>
      <c r="J99" s="87">
        <v>1363618.7891988268</v>
      </c>
      <c r="K99" s="87">
        <v>922576.33589464275</v>
      </c>
      <c r="L99" s="87">
        <v>1142909.9753056148</v>
      </c>
      <c r="M99" s="87">
        <v>1198848.8428363875</v>
      </c>
      <c r="N99" s="87">
        <v>1154759.3157798722</v>
      </c>
      <c r="O99" s="87">
        <v>1156538.3151142579</v>
      </c>
      <c r="P99" s="87">
        <v>1291338.5859874277</v>
      </c>
      <c r="Q99" s="87">
        <v>1193137.199712065</v>
      </c>
      <c r="R99" s="87">
        <v>2371860.8339001467</v>
      </c>
      <c r="S99" s="112">
        <f t="shared" si="42"/>
        <v>14469558.386343762</v>
      </c>
      <c r="T99" s="463">
        <f t="shared" si="43"/>
        <v>0.23434001208732166</v>
      </c>
      <c r="V99" s="311"/>
    </row>
    <row r="100" spans="1:23">
      <c r="A100" s="116" t="str">
        <f t="shared" si="37"/>
        <v>713p</v>
      </c>
      <c r="B100" s="603" t="str">
        <f>+VLOOKUP(LEFT($A100,LEN(A100)-1)*1,Master!$D$30:$G$229,4,FALSE)</f>
        <v>Takse</v>
      </c>
      <c r="C100" s="604"/>
      <c r="D100" s="604"/>
      <c r="E100" s="604"/>
      <c r="F100" s="604"/>
      <c r="G100" s="83">
        <v>670553.32707319653</v>
      </c>
      <c r="H100" s="83">
        <v>853610.81100259756</v>
      </c>
      <c r="I100" s="83">
        <v>866806.93435184658</v>
      </c>
      <c r="J100" s="83">
        <v>1045994.3342145921</v>
      </c>
      <c r="K100" s="83">
        <v>975864.39322560804</v>
      </c>
      <c r="L100" s="83">
        <v>1069123.3509492602</v>
      </c>
      <c r="M100" s="83">
        <v>1754495.9179910745</v>
      </c>
      <c r="N100" s="83">
        <v>1873370.8901127889</v>
      </c>
      <c r="O100" s="83">
        <v>1507509.8465881622</v>
      </c>
      <c r="P100" s="83">
        <v>1219130.6368902784</v>
      </c>
      <c r="Q100" s="83">
        <v>1025348.8829897568</v>
      </c>
      <c r="R100" s="83">
        <v>1389128.8981358397</v>
      </c>
      <c r="S100" s="113">
        <f t="shared" si="42"/>
        <v>14250938.223525003</v>
      </c>
      <c r="T100" s="464">
        <f t="shared" si="43"/>
        <v>0.23079937523928679</v>
      </c>
      <c r="V100" s="311"/>
    </row>
    <row r="101" spans="1:23">
      <c r="A101" s="116" t="str">
        <f t="shared" si="37"/>
        <v>714p</v>
      </c>
      <c r="B101" s="603" t="str">
        <f>+VLOOKUP(LEFT($A101,LEN(A101)-1)*1,Master!$D$30:$G$229,4,FALSE)</f>
        <v>Naknade</v>
      </c>
      <c r="C101" s="604"/>
      <c r="D101" s="604"/>
      <c r="E101" s="604"/>
      <c r="F101" s="604"/>
      <c r="G101" s="83">
        <v>12301859.137453955</v>
      </c>
      <c r="H101" s="83">
        <v>1737839.0434846203</v>
      </c>
      <c r="I101" s="83">
        <v>2414564.2682698909</v>
      </c>
      <c r="J101" s="83">
        <v>2360898.2221326954</v>
      </c>
      <c r="K101" s="83">
        <v>1893341.290231579</v>
      </c>
      <c r="L101" s="83">
        <v>3087651.9216982825</v>
      </c>
      <c r="M101" s="83">
        <v>2833106.8014261499</v>
      </c>
      <c r="N101" s="83">
        <v>1908379.2093100648</v>
      </c>
      <c r="O101" s="83">
        <v>2810433.9965217365</v>
      </c>
      <c r="P101" s="83">
        <v>3370011.6773951356</v>
      </c>
      <c r="Q101" s="83">
        <v>2865853.2964798021</v>
      </c>
      <c r="R101" s="83">
        <v>4104318.4117466188</v>
      </c>
      <c r="S101" s="113">
        <f t="shared" si="42"/>
        <v>41688257.276150532</v>
      </c>
      <c r="T101" s="464">
        <f t="shared" si="43"/>
        <v>0.67515721303648069</v>
      </c>
      <c r="V101" s="311"/>
    </row>
    <row r="102" spans="1:23">
      <c r="A102" s="116" t="str">
        <f t="shared" si="37"/>
        <v>715p</v>
      </c>
      <c r="B102" s="603" t="str">
        <f>+VLOOKUP(LEFT($A102,LEN(A102)-1)*1,Master!$D$30:$G$229,4,FALSE)</f>
        <v>Ostali prihodi</v>
      </c>
      <c r="C102" s="604"/>
      <c r="D102" s="604"/>
      <c r="E102" s="604"/>
      <c r="F102" s="604"/>
      <c r="G102" s="83">
        <v>35476989.500013761</v>
      </c>
      <c r="H102" s="83">
        <v>1666927.9695483148</v>
      </c>
      <c r="I102" s="83">
        <v>1797638.0792588741</v>
      </c>
      <c r="J102" s="83">
        <v>1832014.0594961573</v>
      </c>
      <c r="K102" s="83">
        <v>4733890.0403573457</v>
      </c>
      <c r="L102" s="83">
        <v>2822218.6125436462</v>
      </c>
      <c r="M102" s="83">
        <v>9067540.6215341613</v>
      </c>
      <c r="N102" s="83">
        <v>9516386.4239806794</v>
      </c>
      <c r="O102" s="83">
        <v>8077599.8803823311</v>
      </c>
      <c r="P102" s="83">
        <v>7745200.2754089963</v>
      </c>
      <c r="Q102" s="83">
        <v>8762559.2854723595</v>
      </c>
      <c r="R102" s="83">
        <v>8676446.8240033779</v>
      </c>
      <c r="S102" s="113">
        <f t="shared" si="42"/>
        <v>100175411.57200001</v>
      </c>
      <c r="T102" s="464">
        <f t="shared" si="43"/>
        <v>1.6223789649855862</v>
      </c>
      <c r="V102" s="311"/>
    </row>
    <row r="103" spans="1:23">
      <c r="A103" s="116" t="str">
        <f t="shared" si="37"/>
        <v>73p</v>
      </c>
      <c r="B103" s="603" t="str">
        <f>+VLOOKUP(LEFT($A103,LEN(A103)-1)*1,Master!$D$30:$G$229,4,FALSE)</f>
        <v>Primici od otplate kredita i sredstva prenesena iz prethodne godine</v>
      </c>
      <c r="C103" s="604"/>
      <c r="D103" s="604"/>
      <c r="E103" s="604"/>
      <c r="F103" s="604"/>
      <c r="G103" s="83">
        <v>81522.336514710114</v>
      </c>
      <c r="H103" s="83">
        <v>445973.11311571056</v>
      </c>
      <c r="I103" s="83">
        <v>303147.50930105889</v>
      </c>
      <c r="J103" s="83">
        <v>411671.2919196891</v>
      </c>
      <c r="K103" s="83">
        <v>953218.81017704192</v>
      </c>
      <c r="L103" s="83">
        <v>1530930.5926958604</v>
      </c>
      <c r="M103" s="83">
        <v>158719.86425742233</v>
      </c>
      <c r="N103" s="83">
        <v>1527452.9651282593</v>
      </c>
      <c r="O103" s="83">
        <v>216436.80971001115</v>
      </c>
      <c r="P103" s="83">
        <v>263186.6897599264</v>
      </c>
      <c r="Q103" s="83">
        <v>1703592.4757162347</v>
      </c>
      <c r="R103" s="83">
        <v>2152051.5417040759</v>
      </c>
      <c r="S103" s="113">
        <f t="shared" si="42"/>
        <v>9747904</v>
      </c>
      <c r="T103" s="464">
        <f t="shared" si="43"/>
        <v>0.15787101998510025</v>
      </c>
      <c r="V103" s="311"/>
      <c r="W103" s="311"/>
    </row>
    <row r="104" spans="1:23" ht="13.5" thickBot="1">
      <c r="A104" s="116" t="str">
        <f t="shared" si="37"/>
        <v>74p</v>
      </c>
      <c r="B104" s="605" t="str">
        <f>+VLOOKUP(LEFT($A104,LEN(A104)-1)*1,Master!$D$30:$G$229,4,FALSE)</f>
        <v>Donacije i transferi</v>
      </c>
      <c r="C104" s="606"/>
      <c r="D104" s="606"/>
      <c r="E104" s="606"/>
      <c r="F104" s="606"/>
      <c r="G104" s="83">
        <v>1500000</v>
      </c>
      <c r="H104" s="83">
        <v>1500000</v>
      </c>
      <c r="I104" s="83">
        <v>10000000</v>
      </c>
      <c r="J104" s="83">
        <v>3153709.3977777776</v>
      </c>
      <c r="K104" s="83">
        <v>3153709.3977777776</v>
      </c>
      <c r="L104" s="83">
        <v>3153709.3977777776</v>
      </c>
      <c r="M104" s="83">
        <v>3153709.3977777776</v>
      </c>
      <c r="N104" s="83">
        <v>3153709.3977777776</v>
      </c>
      <c r="O104" s="83">
        <v>3153709.3977777776</v>
      </c>
      <c r="P104" s="83">
        <v>3153709.3977777776</v>
      </c>
      <c r="Q104" s="83">
        <v>3153709.3977777776</v>
      </c>
      <c r="R104" s="83">
        <v>3153709.3977777776</v>
      </c>
      <c r="S104" s="114">
        <f t="shared" si="42"/>
        <v>41383384.580000006</v>
      </c>
      <c r="T104" s="465">
        <f t="shared" si="43"/>
        <v>0.67021968354225381</v>
      </c>
      <c r="V104" s="311"/>
    </row>
    <row r="105" spans="1:23" ht="13.5" thickBot="1">
      <c r="A105" s="116" t="str">
        <f t="shared" si="37"/>
        <v>4p</v>
      </c>
      <c r="B105" s="589" t="str">
        <f>+VLOOKUP(LEFT($A105,LEN(A105)-1)*1,Master!$D$30:$G$229,4,FALSE)</f>
        <v>Izdaci budžeta</v>
      </c>
      <c r="C105" s="590"/>
      <c r="D105" s="590"/>
      <c r="E105" s="590"/>
      <c r="F105" s="590"/>
      <c r="G105" s="93">
        <f t="shared" ref="G105:L105" si="46">+G106+G116+G122+SUM(G123:G127)</f>
        <v>175509865.05999997</v>
      </c>
      <c r="H105" s="93">
        <f t="shared" si="46"/>
        <v>194904102.36999997</v>
      </c>
      <c r="I105" s="93">
        <f t="shared" si="46"/>
        <v>204056525.62</v>
      </c>
      <c r="J105" s="93">
        <f t="shared" si="46"/>
        <v>215049716.38000003</v>
      </c>
      <c r="K105" s="93">
        <f t="shared" si="46"/>
        <v>199767991.34</v>
      </c>
      <c r="L105" s="93">
        <f t="shared" si="46"/>
        <v>194478060.15000001</v>
      </c>
      <c r="M105" s="93">
        <f t="shared" ref="M105:R105" si="47">+M106+M116+M122+SUM(M123:M127)</f>
        <v>237229120.77000004</v>
      </c>
      <c r="N105" s="93">
        <f t="shared" si="47"/>
        <v>208577181.37000003</v>
      </c>
      <c r="O105" s="93">
        <f t="shared" si="47"/>
        <v>212332628.14999998</v>
      </c>
      <c r="P105" s="93">
        <f t="shared" si="47"/>
        <v>219165654.14000002</v>
      </c>
      <c r="Q105" s="93">
        <f t="shared" si="47"/>
        <v>215801622.55000001</v>
      </c>
      <c r="R105" s="93">
        <f t="shared" si="47"/>
        <v>236910680.68000001</v>
      </c>
      <c r="S105" s="450">
        <f>+SUM(G105:R105)</f>
        <v>2513783148.5799999</v>
      </c>
      <c r="T105" s="477">
        <f t="shared" si="43"/>
        <v>40.711676036990248</v>
      </c>
      <c r="V105" s="291"/>
    </row>
    <row r="106" spans="1:23">
      <c r="A106" s="116" t="str">
        <f t="shared" si="37"/>
        <v>41p</v>
      </c>
      <c r="B106" s="607" t="str">
        <f>+VLOOKUP(LEFT($A106,LEN(A106)-1)*1,Master!$D$30:$G$229,4,FALSE)</f>
        <v>Tekući izdaci</v>
      </c>
      <c r="C106" s="608"/>
      <c r="D106" s="608"/>
      <c r="E106" s="608"/>
      <c r="F106" s="608"/>
      <c r="G106" s="85">
        <f t="shared" ref="G106:L106" si="48">+SUM(G107:G115)</f>
        <v>71899625.829999968</v>
      </c>
      <c r="H106" s="85">
        <f t="shared" si="48"/>
        <v>80973595.029999986</v>
      </c>
      <c r="I106" s="85">
        <f t="shared" si="48"/>
        <v>81069361.99000001</v>
      </c>
      <c r="J106" s="85">
        <f t="shared" si="48"/>
        <v>100567396.8</v>
      </c>
      <c r="K106" s="85">
        <f t="shared" si="48"/>
        <v>84597904.25999999</v>
      </c>
      <c r="L106" s="85">
        <f t="shared" si="48"/>
        <v>78964000.50999999</v>
      </c>
      <c r="M106" s="85">
        <f t="shared" ref="M106:R106" si="49">+SUM(M107:M115)</f>
        <v>94970976.420000017</v>
      </c>
      <c r="N106" s="85">
        <f t="shared" si="49"/>
        <v>81866855.860000014</v>
      </c>
      <c r="O106" s="85">
        <f t="shared" si="49"/>
        <v>80815803.73999998</v>
      </c>
      <c r="P106" s="85">
        <f t="shared" si="49"/>
        <v>93936445.850000009</v>
      </c>
      <c r="Q106" s="85">
        <f t="shared" si="49"/>
        <v>91854698.299999997</v>
      </c>
      <c r="R106" s="86">
        <f t="shared" si="49"/>
        <v>112771922.60000001</v>
      </c>
      <c r="S106" s="111">
        <f t="shared" si="42"/>
        <v>1054288587.1899999</v>
      </c>
      <c r="T106" s="462">
        <f t="shared" si="43"/>
        <v>17.074605435007932</v>
      </c>
      <c r="V106" s="291"/>
      <c r="W106" s="291"/>
    </row>
    <row r="107" spans="1:23">
      <c r="A107" s="116" t="str">
        <f t="shared" si="37"/>
        <v>411p</v>
      </c>
      <c r="B107" s="593" t="str">
        <f>+VLOOKUP(LEFT($A107,LEN(A107)-1)*1,Master!$D$30:$G$229,4,FALSE)</f>
        <v>Bruto zarade i doprinosi na teret poslodavca</v>
      </c>
      <c r="C107" s="594"/>
      <c r="D107" s="594"/>
      <c r="E107" s="594"/>
      <c r="F107" s="594"/>
      <c r="G107" s="87">
        <v>40912611.519999981</v>
      </c>
      <c r="H107" s="87">
        <v>53719884.62999998</v>
      </c>
      <c r="I107" s="87">
        <v>53690308.509999998</v>
      </c>
      <c r="J107" s="87">
        <v>51811285.369999997</v>
      </c>
      <c r="K107" s="87">
        <v>51811014.989999995</v>
      </c>
      <c r="L107" s="87">
        <v>51811018.119999997</v>
      </c>
      <c r="M107" s="87">
        <v>51929663.729999997</v>
      </c>
      <c r="N107" s="87">
        <v>51915159.310000002</v>
      </c>
      <c r="O107" s="87">
        <v>51913746.32</v>
      </c>
      <c r="P107" s="87">
        <v>51913177.569999985</v>
      </c>
      <c r="Q107" s="87">
        <v>51907184.879999995</v>
      </c>
      <c r="R107" s="87">
        <f>63970907.57+366.55</f>
        <v>63971274.119999997</v>
      </c>
      <c r="S107" s="112">
        <f t="shared" si="42"/>
        <v>627306329.07000005</v>
      </c>
      <c r="T107" s="463">
        <f t="shared" si="43"/>
        <v>10.159465051501313</v>
      </c>
      <c r="V107" s="516"/>
    </row>
    <row r="108" spans="1:23">
      <c r="A108" s="116" t="str">
        <f t="shared" si="37"/>
        <v>412p</v>
      </c>
      <c r="B108" s="593" t="str">
        <f>+VLOOKUP(LEFT($A108,LEN(A108)-1)*1,Master!$D$30:$G$229,4,FALSE)</f>
        <v>Ostala lična primanja</v>
      </c>
      <c r="C108" s="594"/>
      <c r="D108" s="594"/>
      <c r="E108" s="594"/>
      <c r="F108" s="594"/>
      <c r="G108" s="87">
        <v>1165964.5099999995</v>
      </c>
      <c r="H108" s="87">
        <v>1655470.5600000005</v>
      </c>
      <c r="I108" s="87">
        <v>1609325.4600000002</v>
      </c>
      <c r="J108" s="87">
        <v>1540575.46</v>
      </c>
      <c r="K108" s="87">
        <v>1497392.13</v>
      </c>
      <c r="L108" s="87">
        <v>1495762.0999999996</v>
      </c>
      <c r="M108" s="87">
        <v>1729357.3499999999</v>
      </c>
      <c r="N108" s="87">
        <v>1675061.92</v>
      </c>
      <c r="O108" s="87">
        <v>1685727.83</v>
      </c>
      <c r="P108" s="87">
        <v>1678180.67</v>
      </c>
      <c r="Q108" s="87">
        <v>1850540.7499999998</v>
      </c>
      <c r="R108" s="87">
        <v>2068659.9999999998</v>
      </c>
      <c r="S108" s="112">
        <f t="shared" si="42"/>
        <v>19652018.739999998</v>
      </c>
      <c r="T108" s="463">
        <f t="shared" si="43"/>
        <v>0.31827193243287011</v>
      </c>
      <c r="V108" s="516"/>
    </row>
    <row r="109" spans="1:23">
      <c r="A109" s="116" t="str">
        <f t="shared" si="37"/>
        <v>413p</v>
      </c>
      <c r="B109" s="593" t="str">
        <f>+VLOOKUP(LEFT($A109,LEN(A109)-1)*1,Master!$D$30:$G$229,4,FALSE)</f>
        <v>Rashodi za materijal</v>
      </c>
      <c r="C109" s="594"/>
      <c r="D109" s="594"/>
      <c r="E109" s="594"/>
      <c r="F109" s="594"/>
      <c r="G109" s="87">
        <v>5182242.0599999996</v>
      </c>
      <c r="H109" s="87">
        <v>3920733.4100000006</v>
      </c>
      <c r="I109" s="87">
        <v>3493205.9000000008</v>
      </c>
      <c r="J109" s="87">
        <v>3370769.6700000009</v>
      </c>
      <c r="K109" s="87">
        <v>3856859.5300000012</v>
      </c>
      <c r="L109" s="87">
        <v>5585838.6699999999</v>
      </c>
      <c r="M109" s="87">
        <v>7274194.5</v>
      </c>
      <c r="N109" s="87">
        <v>4335388.25</v>
      </c>
      <c r="O109" s="87">
        <v>4231272.1999999993</v>
      </c>
      <c r="P109" s="87">
        <v>4144269.8699999992</v>
      </c>
      <c r="Q109" s="87">
        <v>4526021.2399999993</v>
      </c>
      <c r="R109" s="87">
        <f>3848934.29-43000</f>
        <v>3805934.29</v>
      </c>
      <c r="S109" s="112">
        <f t="shared" si="42"/>
        <v>53726729.589999996</v>
      </c>
      <c r="T109" s="463">
        <f t="shared" si="43"/>
        <v>0.8701248597479998</v>
      </c>
      <c r="V109" s="516"/>
    </row>
    <row r="110" spans="1:23">
      <c r="A110" s="116" t="str">
        <f t="shared" si="37"/>
        <v>414p</v>
      </c>
      <c r="B110" s="593" t="str">
        <f>+VLOOKUP(LEFT($A110,LEN(A110)-1)*1,Master!$D$30:$G$229,4,FALSE)</f>
        <v>Rashodi za usluge</v>
      </c>
      <c r="C110" s="594"/>
      <c r="D110" s="594"/>
      <c r="E110" s="594"/>
      <c r="F110" s="594"/>
      <c r="G110" s="87">
        <v>4903806.9999999953</v>
      </c>
      <c r="H110" s="87">
        <v>5497012.4799999967</v>
      </c>
      <c r="I110" s="87">
        <v>5255623.4299999969</v>
      </c>
      <c r="J110" s="87">
        <v>4569713.719999996</v>
      </c>
      <c r="K110" s="87">
        <v>4499440.6099999957</v>
      </c>
      <c r="L110" s="87">
        <v>4528417.7899999954</v>
      </c>
      <c r="M110" s="87">
        <v>6713144.6699999999</v>
      </c>
      <c r="N110" s="87">
        <v>6175898.5099999979</v>
      </c>
      <c r="O110" s="87">
        <v>6240994.7799999993</v>
      </c>
      <c r="P110" s="87">
        <v>6091379.0299999975</v>
      </c>
      <c r="Q110" s="87">
        <v>6109468.629999999</v>
      </c>
      <c r="R110" s="87">
        <f>5878859.37-49097</f>
        <v>5829762.3700000001</v>
      </c>
      <c r="S110" s="112">
        <f t="shared" si="42"/>
        <v>66414663.019999959</v>
      </c>
      <c r="T110" s="463">
        <f t="shared" si="43"/>
        <v>1.0756107767304759</v>
      </c>
      <c r="V110" s="516"/>
    </row>
    <row r="111" spans="1:23">
      <c r="A111" s="116" t="str">
        <f t="shared" si="37"/>
        <v>415p</v>
      </c>
      <c r="B111" s="593" t="str">
        <f>+VLOOKUP(LEFT($A111,LEN(A111)-1)*1,Master!$D$30:$G$229,4,FALSE)</f>
        <v>Rashodi za tekuće održavanje</v>
      </c>
      <c r="C111" s="594"/>
      <c r="D111" s="594"/>
      <c r="E111" s="594"/>
      <c r="F111" s="594"/>
      <c r="G111" s="87">
        <v>2513250.9200000004</v>
      </c>
      <c r="H111" s="87">
        <v>2548372.8700000006</v>
      </c>
      <c r="I111" s="87">
        <v>2555227.9700000002</v>
      </c>
      <c r="J111" s="87">
        <v>2542473.6500000004</v>
      </c>
      <c r="K111" s="87">
        <v>2537575.9700000007</v>
      </c>
      <c r="L111" s="87">
        <v>2476854.13</v>
      </c>
      <c r="M111" s="87">
        <v>3526793.7800000003</v>
      </c>
      <c r="N111" s="87">
        <v>3499062.67</v>
      </c>
      <c r="O111" s="87">
        <v>3410065.46</v>
      </c>
      <c r="P111" s="87">
        <v>3389523.09</v>
      </c>
      <c r="Q111" s="87">
        <v>3371550.8900000006</v>
      </c>
      <c r="R111" s="87">
        <v>3208370.3400000008</v>
      </c>
      <c r="S111" s="112">
        <f t="shared" si="42"/>
        <v>35579121.740000002</v>
      </c>
      <c r="T111" s="463">
        <f t="shared" si="43"/>
        <v>0.57621743497554501</v>
      </c>
      <c r="V111" s="516"/>
    </row>
    <row r="112" spans="1:23">
      <c r="A112" s="116" t="str">
        <f t="shared" si="37"/>
        <v>416p</v>
      </c>
      <c r="B112" s="593" t="str">
        <f>+VLOOKUP(LEFT($A112,LEN(A112)-1)*1,Master!$D$30:$G$229,4,FALSE)</f>
        <v>Kamate</v>
      </c>
      <c r="C112" s="594"/>
      <c r="D112" s="594"/>
      <c r="E112" s="594"/>
      <c r="F112" s="594"/>
      <c r="G112" s="87">
        <v>5442120.379999999</v>
      </c>
      <c r="H112" s="87">
        <v>2441310.6099999994</v>
      </c>
      <c r="I112" s="87">
        <v>2001828.5300000005</v>
      </c>
      <c r="J112" s="87">
        <v>24590093.790000003</v>
      </c>
      <c r="K112" s="87">
        <v>10610307.359999999</v>
      </c>
      <c r="L112" s="87">
        <v>3076552.5300000007</v>
      </c>
      <c r="M112" s="87">
        <v>9738888.0899999999</v>
      </c>
      <c r="N112" s="87">
        <v>2779747.3099999996</v>
      </c>
      <c r="O112" s="87">
        <v>1876426.6100000003</v>
      </c>
      <c r="P112" s="87">
        <v>14798289.619999999</v>
      </c>
      <c r="Q112" s="87">
        <v>8831135.459999999</v>
      </c>
      <c r="R112" s="87">
        <v>23741109.09</v>
      </c>
      <c r="S112" s="112">
        <f t="shared" si="42"/>
        <v>109927809.38000001</v>
      </c>
      <c r="T112" s="463">
        <f t="shared" si="43"/>
        <v>1.7803227639037349</v>
      </c>
      <c r="V112" s="516"/>
    </row>
    <row r="113" spans="1:22">
      <c r="A113" s="116" t="str">
        <f t="shared" si="37"/>
        <v>417p</v>
      </c>
      <c r="B113" s="593" t="str">
        <f>+VLOOKUP(LEFT($A113,LEN(A113)-1)*1,Master!$D$30:$G$229,4,FALSE)</f>
        <v>Renta</v>
      </c>
      <c r="C113" s="594"/>
      <c r="D113" s="594"/>
      <c r="E113" s="594"/>
      <c r="F113" s="594"/>
      <c r="G113" s="87">
        <v>1013549.2999999997</v>
      </c>
      <c r="H113" s="87">
        <v>924144.61999999965</v>
      </c>
      <c r="I113" s="87">
        <v>907422.25999999966</v>
      </c>
      <c r="J113" s="87">
        <v>908352.60999999964</v>
      </c>
      <c r="K113" s="87">
        <v>914133.31999999983</v>
      </c>
      <c r="L113" s="87">
        <v>900023.33999999985</v>
      </c>
      <c r="M113" s="87">
        <v>1080755.29</v>
      </c>
      <c r="N113" s="87">
        <v>1073045.7599999998</v>
      </c>
      <c r="O113" s="87">
        <v>1082703.83</v>
      </c>
      <c r="P113" s="87">
        <v>1160848.45</v>
      </c>
      <c r="Q113" s="87">
        <v>1121692.7700000003</v>
      </c>
      <c r="R113" s="87">
        <f>1082716.93+84917.8-0.01</f>
        <v>1167634.72</v>
      </c>
      <c r="S113" s="112">
        <f t="shared" si="42"/>
        <v>12254306.269999998</v>
      </c>
      <c r="T113" s="463">
        <f t="shared" si="43"/>
        <v>0.19846315988080193</v>
      </c>
      <c r="V113" s="516"/>
    </row>
    <row r="114" spans="1:22">
      <c r="A114" s="116" t="str">
        <f t="shared" si="37"/>
        <v>418p</v>
      </c>
      <c r="B114" s="593" t="str">
        <f>+VLOOKUP(LEFT($A114,LEN(A114)-1)*1,Master!$D$30:$G$229,4,FALSE)</f>
        <v>Subvencije</v>
      </c>
      <c r="C114" s="594"/>
      <c r="D114" s="594"/>
      <c r="E114" s="594"/>
      <c r="F114" s="594"/>
      <c r="G114" s="87">
        <v>5902017.9700000007</v>
      </c>
      <c r="H114" s="87">
        <v>5336017.9700000007</v>
      </c>
      <c r="I114" s="87">
        <v>5216117.9700000007</v>
      </c>
      <c r="J114" s="87">
        <v>5169451.3000000007</v>
      </c>
      <c r="K114" s="87">
        <v>4981951.32</v>
      </c>
      <c r="L114" s="87">
        <v>4982351.3599999994</v>
      </c>
      <c r="M114" s="87">
        <v>5318459.6400000006</v>
      </c>
      <c r="N114" s="87">
        <v>4749126.3100000005</v>
      </c>
      <c r="O114" s="87">
        <v>4841793.18</v>
      </c>
      <c r="P114" s="87">
        <v>4841792.9800000004</v>
      </c>
      <c r="Q114" s="87">
        <v>4841792.9800000004</v>
      </c>
      <c r="R114" s="87">
        <v>4792392.9800000004</v>
      </c>
      <c r="S114" s="112">
        <f t="shared" si="42"/>
        <v>60973265.960000008</v>
      </c>
      <c r="T114" s="463">
        <f t="shared" si="43"/>
        <v>0.98748527775078565</v>
      </c>
      <c r="V114" s="516"/>
    </row>
    <row r="115" spans="1:22">
      <c r="A115" s="116" t="str">
        <f t="shared" si="37"/>
        <v>419p</v>
      </c>
      <c r="B115" s="593" t="str">
        <f>+VLOOKUP(LEFT($A115,LEN(A115)-1)*1,Master!$D$30:$G$229,4,FALSE)</f>
        <v>Ostali izdaci</v>
      </c>
      <c r="C115" s="594"/>
      <c r="D115" s="594"/>
      <c r="E115" s="594"/>
      <c r="F115" s="594"/>
      <c r="G115" s="87">
        <v>4864062.17</v>
      </c>
      <c r="H115" s="87">
        <v>4930647.88</v>
      </c>
      <c r="I115" s="87">
        <v>6340301.9600000009</v>
      </c>
      <c r="J115" s="87">
        <v>6064681.2299999986</v>
      </c>
      <c r="K115" s="87">
        <v>3889229.03</v>
      </c>
      <c r="L115" s="87">
        <v>4107182.4699999997</v>
      </c>
      <c r="M115" s="87">
        <v>7659719.3700000038</v>
      </c>
      <c r="N115" s="87">
        <v>5664365.820000004</v>
      </c>
      <c r="O115" s="87">
        <v>5533073.530000004</v>
      </c>
      <c r="P115" s="87">
        <v>5918984.570000004</v>
      </c>
      <c r="Q115" s="87">
        <v>9295310.6999999993</v>
      </c>
      <c r="R115" s="87">
        <f>4255973.43-69188.7-0.04</f>
        <v>4186784.6899999995</v>
      </c>
      <c r="S115" s="112">
        <f t="shared" si="42"/>
        <v>68454343.420000017</v>
      </c>
      <c r="T115" s="463">
        <f t="shared" si="43"/>
        <v>1.1086441780844105</v>
      </c>
      <c r="V115" s="516"/>
    </row>
    <row r="116" spans="1:22">
      <c r="A116" s="116" t="str">
        <f t="shared" si="37"/>
        <v>42p</v>
      </c>
      <c r="B116" s="613" t="str">
        <f>+VLOOKUP(LEFT($A116,LEN(A116)-1)*1,Master!$D$30:$G$229,4,FALSE)</f>
        <v>Transferi za socijalnu zaštitu</v>
      </c>
      <c r="C116" s="614"/>
      <c r="D116" s="614"/>
      <c r="E116" s="614"/>
      <c r="F116" s="614"/>
      <c r="G116" s="84">
        <f t="shared" ref="G116:L116" si="50">+SUM(G117:G121)</f>
        <v>64631162.970000006</v>
      </c>
      <c r="H116" s="84">
        <f t="shared" si="50"/>
        <v>64593275.310000002</v>
      </c>
      <c r="I116" s="84">
        <f t="shared" si="50"/>
        <v>64593275.430000007</v>
      </c>
      <c r="J116" s="84">
        <f t="shared" si="50"/>
        <v>64693275.430000007</v>
      </c>
      <c r="K116" s="84">
        <f t="shared" si="50"/>
        <v>64693275.430000007</v>
      </c>
      <c r="L116" s="84">
        <f t="shared" si="50"/>
        <v>64793279.390000008</v>
      </c>
      <c r="M116" s="84">
        <f t="shared" ref="M116:R116" si="51">+SUM(M117:M121)</f>
        <v>66194886.530000009</v>
      </c>
      <c r="N116" s="84">
        <f t="shared" si="51"/>
        <v>66197971.850000009</v>
      </c>
      <c r="O116" s="84">
        <f t="shared" si="51"/>
        <v>66197971.850000009</v>
      </c>
      <c r="P116" s="84">
        <f t="shared" si="51"/>
        <v>66197971.760000005</v>
      </c>
      <c r="Q116" s="84">
        <f t="shared" si="51"/>
        <v>66197971.850000009</v>
      </c>
      <c r="R116" s="84">
        <f t="shared" si="51"/>
        <v>66197971.939999998</v>
      </c>
      <c r="S116" s="113">
        <f t="shared" si="42"/>
        <v>785182289.74000001</v>
      </c>
      <c r="T116" s="464">
        <f t="shared" si="43"/>
        <v>12.716326397499433</v>
      </c>
      <c r="V116" s="311"/>
    </row>
    <row r="117" spans="1:22">
      <c r="A117" s="116" t="str">
        <f t="shared" si="37"/>
        <v>421p</v>
      </c>
      <c r="B117" s="593" t="str">
        <f>+VLOOKUP(LEFT($A117,LEN(A117)-1)*1,Master!$D$30:$G$229,4,FALSE)</f>
        <v>Prava iz oblasti socijalne zaštite</v>
      </c>
      <c r="C117" s="594"/>
      <c r="D117" s="594"/>
      <c r="E117" s="594"/>
      <c r="F117" s="594"/>
      <c r="G117" s="87">
        <v>15844748.540000001</v>
      </c>
      <c r="H117" s="87">
        <v>15844748.42</v>
      </c>
      <c r="I117" s="87">
        <v>15844748.540000001</v>
      </c>
      <c r="J117" s="87">
        <v>15844748.540000001</v>
      </c>
      <c r="K117" s="87">
        <v>15844748.540000001</v>
      </c>
      <c r="L117" s="87">
        <v>15844748.540000001</v>
      </c>
      <c r="M117" s="87">
        <v>15846148.98</v>
      </c>
      <c r="N117" s="87">
        <v>15849234.300000001</v>
      </c>
      <c r="O117" s="87">
        <v>15849234.300000001</v>
      </c>
      <c r="P117" s="87">
        <v>15849234.300000001</v>
      </c>
      <c r="Q117" s="87">
        <v>15849234.300000001</v>
      </c>
      <c r="R117" s="87">
        <v>15849234.41</v>
      </c>
      <c r="S117" s="112">
        <f t="shared" si="42"/>
        <v>190160811.71000004</v>
      </c>
      <c r="T117" s="463">
        <f t="shared" si="43"/>
        <v>3.0797268116153282</v>
      </c>
      <c r="V117" s="516"/>
    </row>
    <row r="118" spans="1:22">
      <c r="A118" s="116" t="str">
        <f t="shared" ref="A118:A134" si="52">+CONCATENATE(A42,"p")</f>
        <v>422p</v>
      </c>
      <c r="B118" s="593" t="str">
        <f>+VLOOKUP(LEFT($A118,LEN(A118)-1)*1,Master!$D$30:$G$229,4,FALSE)</f>
        <v>Sredstva za tehnološke viškove</v>
      </c>
      <c r="C118" s="594"/>
      <c r="D118" s="594"/>
      <c r="E118" s="594"/>
      <c r="F118" s="594"/>
      <c r="G118" s="87">
        <v>1909150.6700000002</v>
      </c>
      <c r="H118" s="87">
        <v>1909150.6700000002</v>
      </c>
      <c r="I118" s="87">
        <v>1909150.6700000002</v>
      </c>
      <c r="J118" s="87">
        <v>1909150.6700000002</v>
      </c>
      <c r="K118" s="87">
        <v>1909150.6700000002</v>
      </c>
      <c r="L118" s="87">
        <v>1909154.6300000001</v>
      </c>
      <c r="M118" s="87">
        <v>2859361.33</v>
      </c>
      <c r="N118" s="87">
        <v>2859361.33</v>
      </c>
      <c r="O118" s="87">
        <v>2859361.33</v>
      </c>
      <c r="P118" s="87">
        <v>2859361.33</v>
      </c>
      <c r="Q118" s="87">
        <v>2859361.33</v>
      </c>
      <c r="R118" s="87">
        <v>2859361.37</v>
      </c>
      <c r="S118" s="112">
        <f t="shared" si="42"/>
        <v>28611075.999999996</v>
      </c>
      <c r="T118" s="463">
        <f t="shared" si="43"/>
        <v>0.46336727885207135</v>
      </c>
      <c r="V118" s="516"/>
    </row>
    <row r="119" spans="1:22">
      <c r="A119" s="116" t="str">
        <f t="shared" si="52"/>
        <v>423p</v>
      </c>
      <c r="B119" s="593" t="str">
        <f>+VLOOKUP(LEFT($A119,LEN(A119)-1)*1,Master!$D$30:$G$229,4,FALSE)</f>
        <v>Prava iz oblasti penzijskog i invalidskog osiguranja</v>
      </c>
      <c r="C119" s="594"/>
      <c r="D119" s="594"/>
      <c r="E119" s="594"/>
      <c r="F119" s="594"/>
      <c r="G119" s="87">
        <v>44272263.760000005</v>
      </c>
      <c r="H119" s="87">
        <v>44134376.220000006</v>
      </c>
      <c r="I119" s="87">
        <v>44134376.220000006</v>
      </c>
      <c r="J119" s="87">
        <v>44134376.220000006</v>
      </c>
      <c r="K119" s="87">
        <v>44134376.220000006</v>
      </c>
      <c r="L119" s="87">
        <v>44134376.220000006</v>
      </c>
      <c r="M119" s="87">
        <v>44134376.220000006</v>
      </c>
      <c r="N119" s="87">
        <v>44134376.220000006</v>
      </c>
      <c r="O119" s="87">
        <v>44134376.220000006</v>
      </c>
      <c r="P119" s="87">
        <v>44134376.130000003</v>
      </c>
      <c r="Q119" s="87">
        <v>44134376.220000006</v>
      </c>
      <c r="R119" s="87">
        <v>44134376.159999996</v>
      </c>
      <c r="S119" s="112">
        <f t="shared" si="42"/>
        <v>529750402.03000009</v>
      </c>
      <c r="T119" s="463">
        <f t="shared" si="43"/>
        <v>8.5795096367376029</v>
      </c>
      <c r="V119" s="516"/>
    </row>
    <row r="120" spans="1:22">
      <c r="A120" s="116" t="str">
        <f t="shared" si="52"/>
        <v>424p</v>
      </c>
      <c r="B120" s="593" t="str">
        <f>+VLOOKUP(LEFT($A120,LEN(A120)-1)*1,Master!$D$30:$G$229,4,FALSE)</f>
        <v>Ostala prava iz oblasti zdravstvene zaštite</v>
      </c>
      <c r="C120" s="594"/>
      <c r="D120" s="594"/>
      <c r="E120" s="594"/>
      <c r="F120" s="594"/>
      <c r="G120" s="87">
        <v>1755000</v>
      </c>
      <c r="H120" s="87">
        <v>1755000</v>
      </c>
      <c r="I120" s="87">
        <v>1755000</v>
      </c>
      <c r="J120" s="87">
        <v>1755000</v>
      </c>
      <c r="K120" s="87">
        <v>1755000</v>
      </c>
      <c r="L120" s="87">
        <v>1755000</v>
      </c>
      <c r="M120" s="87">
        <v>1755000</v>
      </c>
      <c r="N120" s="87">
        <v>1755000</v>
      </c>
      <c r="O120" s="87">
        <v>1755000</v>
      </c>
      <c r="P120" s="87">
        <v>1755000</v>
      </c>
      <c r="Q120" s="87">
        <v>1755000</v>
      </c>
      <c r="R120" s="87">
        <v>1755000</v>
      </c>
      <c r="S120" s="112">
        <f t="shared" si="42"/>
        <v>21060000</v>
      </c>
      <c r="T120" s="463">
        <f t="shared" si="43"/>
        <v>0.34107472548829071</v>
      </c>
      <c r="V120" s="516"/>
    </row>
    <row r="121" spans="1:22">
      <c r="A121" s="116" t="str">
        <f t="shared" si="52"/>
        <v>425p</v>
      </c>
      <c r="B121" s="593" t="str">
        <f>+VLOOKUP(LEFT($A121,LEN(A121)-1)*1,Master!$D$30:$G$229,4,FALSE)</f>
        <v>Ostala prava iz zdravstvenog osiguranja</v>
      </c>
      <c r="C121" s="594"/>
      <c r="D121" s="594"/>
      <c r="E121" s="594"/>
      <c r="F121" s="594"/>
      <c r="G121" s="87">
        <v>850000</v>
      </c>
      <c r="H121" s="87">
        <v>950000</v>
      </c>
      <c r="I121" s="87">
        <v>950000</v>
      </c>
      <c r="J121" s="87">
        <v>1050000</v>
      </c>
      <c r="K121" s="87">
        <v>1050000</v>
      </c>
      <c r="L121" s="87">
        <v>1150000</v>
      </c>
      <c r="M121" s="87">
        <v>1600000</v>
      </c>
      <c r="N121" s="87">
        <v>1600000</v>
      </c>
      <c r="O121" s="87">
        <v>1600000</v>
      </c>
      <c r="P121" s="87">
        <v>1600000</v>
      </c>
      <c r="Q121" s="87">
        <v>1600000</v>
      </c>
      <c r="R121" s="87">
        <v>1600000</v>
      </c>
      <c r="S121" s="112">
        <f t="shared" si="42"/>
        <v>15600000</v>
      </c>
      <c r="T121" s="463">
        <f t="shared" si="43"/>
        <v>0.25264794480614128</v>
      </c>
      <c r="V121" s="516"/>
    </row>
    <row r="122" spans="1:22">
      <c r="A122" s="116" t="str">
        <f t="shared" si="52"/>
        <v>43p</v>
      </c>
      <c r="B122" s="609" t="str">
        <f>+VLOOKUP(LEFT($A122,LEN(A122)-1)*1,Master!$D$30:$G$229,4,FALSE)</f>
        <v xml:space="preserve">Transferi institucijama, pojedincima, nevladinom i javnom sektoru </v>
      </c>
      <c r="C122" s="610"/>
      <c r="D122" s="610"/>
      <c r="E122" s="610"/>
      <c r="F122" s="610"/>
      <c r="G122" s="83">
        <v>13426609.789999997</v>
      </c>
      <c r="H122" s="83">
        <v>24954537.810000002</v>
      </c>
      <c r="I122" s="83">
        <v>33895566.079999998</v>
      </c>
      <c r="J122" s="83">
        <v>24784469.770000003</v>
      </c>
      <c r="K122" s="83">
        <v>25016309.34</v>
      </c>
      <c r="L122" s="83">
        <v>25865702.82</v>
      </c>
      <c r="M122" s="83">
        <v>44313993.49000001</v>
      </c>
      <c r="N122" s="83">
        <v>30937460.280000001</v>
      </c>
      <c r="O122" s="83">
        <v>36630444.020000003</v>
      </c>
      <c r="P122" s="83">
        <v>31446133.059999999</v>
      </c>
      <c r="Q122" s="83">
        <v>30458525.310000002</v>
      </c>
      <c r="R122" s="83">
        <f>31380558.45-680724.2+0.04</f>
        <v>30699834.289999999</v>
      </c>
      <c r="S122" s="113">
        <f>+SUM(G122:R122)</f>
        <v>352429586.06000006</v>
      </c>
      <c r="T122" s="464">
        <f t="shared" si="43"/>
        <v>5.7077314491626998</v>
      </c>
      <c r="V122" s="516"/>
    </row>
    <row r="123" spans="1:22">
      <c r="A123" s="116" t="str">
        <f t="shared" si="52"/>
        <v>44p</v>
      </c>
      <c r="B123" s="609" t="str">
        <f>+VLOOKUP(LEFT($A123,LEN(A123)-1)*1,Master!$D$30:$G$229,4,FALSE)</f>
        <v>Kapitalni izdaci</v>
      </c>
      <c r="C123" s="610"/>
      <c r="D123" s="610"/>
      <c r="E123" s="610"/>
      <c r="F123" s="610"/>
      <c r="G123" s="83">
        <f>20412001.55-G134</f>
        <v>20405334.879999999</v>
      </c>
      <c r="H123" s="83">
        <f>18094316.04-H134</f>
        <v>18087649.369999997</v>
      </c>
      <c r="I123" s="83">
        <f>19062944.96-I134</f>
        <v>18677278.289999999</v>
      </c>
      <c r="J123" s="83">
        <f>19443197.22-J134</f>
        <v>19136530.549999997</v>
      </c>
      <c r="K123" s="83">
        <f>19674125.2-K134</f>
        <v>19667458.529999997</v>
      </c>
      <c r="L123" s="83">
        <f>18915702.28-L134</f>
        <v>18909035.630000003</v>
      </c>
      <c r="M123" s="83">
        <f>26124418.27-M134</f>
        <v>26114418.27</v>
      </c>
      <c r="N123" s="83">
        <f>23948047.32-N134</f>
        <v>23938047.32</v>
      </c>
      <c r="O123" s="83">
        <f>22585312.23-O134</f>
        <v>22575312.23</v>
      </c>
      <c r="P123" s="83">
        <f>21462007.16-P134</f>
        <v>21452007.16</v>
      </c>
      <c r="Q123" s="83">
        <f>21427329.81-Q134</f>
        <v>21417329.809999999</v>
      </c>
      <c r="R123" s="83">
        <f>20634123.89+74001-R134</f>
        <v>20698124.890000001</v>
      </c>
      <c r="S123" s="113">
        <f>+SUM(G123:R123)</f>
        <v>251078526.93000001</v>
      </c>
      <c r="T123" s="464">
        <f t="shared" si="43"/>
        <v>4.0663124239626862</v>
      </c>
      <c r="U123" s="311"/>
      <c r="V123" s="516"/>
    </row>
    <row r="124" spans="1:22">
      <c r="A124" s="116" t="str">
        <f t="shared" si="52"/>
        <v>451p</v>
      </c>
      <c r="B124" s="611" t="str">
        <f>+VLOOKUP(LEFT($A124,LEN(A124)-1)*1,Master!$D$30:$G$229,4,FALSE)</f>
        <v>Pozajmice i krediti</v>
      </c>
      <c r="C124" s="612"/>
      <c r="D124" s="612"/>
      <c r="E124" s="612"/>
      <c r="F124" s="612"/>
      <c r="G124" s="87">
        <v>1607</v>
      </c>
      <c r="H124" s="87">
        <v>1001600</v>
      </c>
      <c r="I124" s="87">
        <v>501600</v>
      </c>
      <c r="J124" s="87">
        <v>501600</v>
      </c>
      <c r="K124" s="87">
        <v>491600</v>
      </c>
      <c r="L124" s="87">
        <v>491600</v>
      </c>
      <c r="M124" s="87">
        <v>2400</v>
      </c>
      <c r="N124" s="87">
        <v>2400</v>
      </c>
      <c r="O124" s="87">
        <v>502400</v>
      </c>
      <c r="P124" s="87">
        <v>502400</v>
      </c>
      <c r="Q124" s="87">
        <v>262400</v>
      </c>
      <c r="R124" s="87">
        <v>262400</v>
      </c>
      <c r="S124" s="112">
        <f t="shared" si="42"/>
        <v>4524007</v>
      </c>
      <c r="T124" s="463">
        <f t="shared" si="43"/>
        <v>7.3268017361448515E-2</v>
      </c>
      <c r="U124" s="311"/>
      <c r="V124" s="516"/>
    </row>
    <row r="125" spans="1:22">
      <c r="A125" s="116" t="str">
        <f t="shared" si="52"/>
        <v>47p</v>
      </c>
      <c r="B125" s="611" t="str">
        <f>+VLOOKUP(LEFT($A125,LEN(A125)-1)*1,Master!$D$30:$G$229,4,FALSE)</f>
        <v>Rezerve</v>
      </c>
      <c r="C125" s="612"/>
      <c r="D125" s="612"/>
      <c r="E125" s="612"/>
      <c r="F125" s="612"/>
      <c r="G125" s="87">
        <v>2554609.09</v>
      </c>
      <c r="H125" s="87">
        <v>3237333.25</v>
      </c>
      <c r="I125" s="87">
        <v>3237333.25</v>
      </c>
      <c r="J125" s="87">
        <v>3237333.25</v>
      </c>
      <c r="K125" s="87">
        <v>3237333.25</v>
      </c>
      <c r="L125" s="87">
        <v>3237333.25</v>
      </c>
      <c r="M125" s="87">
        <v>3237333.25</v>
      </c>
      <c r="N125" s="87">
        <v>3237333.25</v>
      </c>
      <c r="O125" s="87">
        <v>3237333.25</v>
      </c>
      <c r="P125" s="87">
        <v>3237333.25</v>
      </c>
      <c r="Q125" s="87">
        <v>3237333.25</v>
      </c>
      <c r="R125" s="87">
        <f>3237333.25+682724.2-0.04</f>
        <v>3920057.41</v>
      </c>
      <c r="S125" s="112">
        <f t="shared" si="42"/>
        <v>38847999</v>
      </c>
      <c r="T125" s="463">
        <f t="shared" si="43"/>
        <v>0.62915814789621993</v>
      </c>
      <c r="U125" s="311"/>
      <c r="V125" s="516"/>
    </row>
    <row r="126" spans="1:22">
      <c r="A126" s="116" t="str">
        <f t="shared" si="52"/>
        <v>462p</v>
      </c>
      <c r="B126" s="611" t="str">
        <f>+VLOOKUP(LEFT($A126,LEN(A126)-1)*1,Master!$D$30:$G$229,4,FALSE)</f>
        <v>Otplata garancija</v>
      </c>
      <c r="C126" s="612"/>
      <c r="D126" s="612"/>
      <c r="E126" s="612"/>
      <c r="F126" s="612"/>
      <c r="G126" s="87">
        <v>0.16</v>
      </c>
      <c r="H126" s="87">
        <v>0.16</v>
      </c>
      <c r="I126" s="87">
        <v>0.16</v>
      </c>
      <c r="J126" s="87">
        <v>0.16</v>
      </c>
      <c r="K126" s="87">
        <v>0.16</v>
      </c>
      <c r="L126" s="87">
        <v>0.16</v>
      </c>
      <c r="M126" s="87">
        <v>0.16</v>
      </c>
      <c r="N126" s="87">
        <v>0.16</v>
      </c>
      <c r="O126" s="87">
        <v>0.16</v>
      </c>
      <c r="P126" s="87">
        <v>0.16</v>
      </c>
      <c r="Q126" s="87">
        <v>0.16</v>
      </c>
      <c r="R126" s="87">
        <v>0.24</v>
      </c>
      <c r="S126" s="112">
        <f t="shared" si="42"/>
        <v>1.9999999999999998</v>
      </c>
      <c r="T126" s="463">
        <f t="shared" si="43"/>
        <v>3.23907621546335E-8</v>
      </c>
      <c r="U126" s="311"/>
      <c r="V126" s="516"/>
    </row>
    <row r="127" spans="1:22">
      <c r="A127" s="117" t="str">
        <f t="shared" si="52"/>
        <v>4630p</v>
      </c>
      <c r="B127" s="611" t="str">
        <f>+VLOOKUP(LEFT($A127,LEN(A127)-1)*1,Master!$D$30:$G$229,4,FALSE)</f>
        <v>Otplata obaveza iz prethodnog perioda</v>
      </c>
      <c r="C127" s="612"/>
      <c r="D127" s="612"/>
      <c r="E127" s="612"/>
      <c r="F127" s="612"/>
      <c r="G127" s="87">
        <v>2590915.3400000045</v>
      </c>
      <c r="H127" s="87">
        <v>2056111.4400000044</v>
      </c>
      <c r="I127" s="87">
        <v>2082110.4200000043</v>
      </c>
      <c r="J127" s="87">
        <v>2129110.4200000046</v>
      </c>
      <c r="K127" s="87">
        <v>2064110.3700000043</v>
      </c>
      <c r="L127" s="87">
        <v>2217108.3900000043</v>
      </c>
      <c r="M127" s="87">
        <v>2395112.6500000046</v>
      </c>
      <c r="N127" s="87">
        <v>2397112.6500000046</v>
      </c>
      <c r="O127" s="87">
        <v>2373362.9000000046</v>
      </c>
      <c r="P127" s="87">
        <v>2393362.9000000046</v>
      </c>
      <c r="Q127" s="87">
        <v>2373363.8700000048</v>
      </c>
      <c r="R127" s="87">
        <v>2360369.3100000061</v>
      </c>
      <c r="S127" s="103">
        <f>+SUM(G127:R127)</f>
        <v>27432150.66000006</v>
      </c>
      <c r="T127" s="471">
        <f t="shared" si="43"/>
        <v>0.44427413370906715</v>
      </c>
      <c r="U127" s="311"/>
      <c r="V127" s="516"/>
    </row>
    <row r="128" spans="1:22" ht="13.5" thickBot="1">
      <c r="A128" s="116" t="str">
        <f t="shared" si="52"/>
        <v>1005p</v>
      </c>
      <c r="B128" s="611" t="str">
        <f>+VLOOKUP(LEFT($A128,LEN(A128)-1)*1,Master!$D$30:$G$229,4,FALSE)</f>
        <v>Neto povećanje obaveza</v>
      </c>
      <c r="C128" s="612"/>
      <c r="D128" s="612"/>
      <c r="E128" s="612"/>
      <c r="F128" s="612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43"/>
        <v>0</v>
      </c>
      <c r="U128" s="311"/>
      <c r="V128" s="311"/>
    </row>
    <row r="129" spans="1:22" ht="13.5" thickBot="1">
      <c r="A129" s="117" t="str">
        <f t="shared" si="52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93">
        <f t="shared" ref="G129:L129" si="53">+G86-G105</f>
        <v>-22397133.607592493</v>
      </c>
      <c r="H129" s="93">
        <f t="shared" si="53"/>
        <v>-67071345.814519361</v>
      </c>
      <c r="I129" s="93">
        <f t="shared" si="53"/>
        <v>-2316292.9897459149</v>
      </c>
      <c r="J129" s="93">
        <f t="shared" si="53"/>
        <v>-17885734.609765023</v>
      </c>
      <c r="K129" s="93">
        <f t="shared" si="53"/>
        <v>-41471663.368712515</v>
      </c>
      <c r="L129" s="93">
        <f t="shared" si="53"/>
        <v>-27277595.668724924</v>
      </c>
      <c r="M129" s="93">
        <f t="shared" ref="M129:R129" si="54">+M86-M105</f>
        <v>-55367145.076071084</v>
      </c>
      <c r="N129" s="93">
        <f t="shared" si="54"/>
        <v>-6467668.1569713652</v>
      </c>
      <c r="O129" s="93">
        <f t="shared" si="54"/>
        <v>-27310745.93416518</v>
      </c>
      <c r="P129" s="93">
        <f t="shared" si="54"/>
        <v>-41600384.900887519</v>
      </c>
      <c r="Q129" s="93">
        <f t="shared" si="54"/>
        <v>-46834285.210350275</v>
      </c>
      <c r="R129" s="93">
        <f t="shared" si="54"/>
        <v>-10316938.668598384</v>
      </c>
      <c r="S129" s="106">
        <f t="shared" si="42"/>
        <v>-366316934.00610411</v>
      </c>
      <c r="T129" s="469">
        <f t="shared" si="43"/>
        <v>-5.932642341303147</v>
      </c>
      <c r="U129" s="311"/>
      <c r="V129" s="311"/>
    </row>
    <row r="130" spans="1:22" ht="13.5" thickBot="1">
      <c r="A130" s="117" t="str">
        <f t="shared" si="52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94">
        <f>+G129+G112</f>
        <v>-16955013.227592494</v>
      </c>
      <c r="H130" s="94">
        <f t="shared" ref="H130:L130" si="55">+H129+H112</f>
        <v>-64630035.204519361</v>
      </c>
      <c r="I130" s="94">
        <f t="shared" si="55"/>
        <v>-314464.45974591444</v>
      </c>
      <c r="J130" s="94">
        <f t="shared" si="55"/>
        <v>6704359.1802349798</v>
      </c>
      <c r="K130" s="94">
        <f t="shared" si="55"/>
        <v>-30861356.008712515</v>
      </c>
      <c r="L130" s="94">
        <f t="shared" si="55"/>
        <v>-24201043.138724923</v>
      </c>
      <c r="M130" s="94">
        <f t="shared" ref="M130:R130" si="56">+M129+M112</f>
        <v>-45628256.98607108</v>
      </c>
      <c r="N130" s="94">
        <f t="shared" si="56"/>
        <v>-3687920.8469713656</v>
      </c>
      <c r="O130" s="94">
        <f t="shared" si="56"/>
        <v>-25434319.32416518</v>
      </c>
      <c r="P130" s="94">
        <f t="shared" si="56"/>
        <v>-26802095.280887522</v>
      </c>
      <c r="Q130" s="94">
        <f t="shared" si="56"/>
        <v>-38003149.750350274</v>
      </c>
      <c r="R130" s="94">
        <f t="shared" si="56"/>
        <v>13424170.421401616</v>
      </c>
      <c r="S130" s="106">
        <f t="shared" si="42"/>
        <v>-256389124.626104</v>
      </c>
      <c r="T130" s="469">
        <f t="shared" si="43"/>
        <v>-4.1523195773994104</v>
      </c>
      <c r="U130" s="311"/>
      <c r="V130" s="311"/>
    </row>
    <row r="131" spans="1:22">
      <c r="A131" s="117" t="str">
        <f t="shared" si="52"/>
        <v>46p</v>
      </c>
      <c r="B131" s="613" t="str">
        <f>+VLOOKUP(LEFT($A131,LEN(A131)-1)*1,Master!$D$30:$G$226,4,FALSE)</f>
        <v>Otplata dugova</v>
      </c>
      <c r="C131" s="614"/>
      <c r="D131" s="614"/>
      <c r="E131" s="614"/>
      <c r="F131" s="614"/>
      <c r="G131" s="84">
        <f>+SUM(G132:G133)</f>
        <v>30842089.259999998</v>
      </c>
      <c r="H131" s="84">
        <f t="shared" ref="H131:L131" si="57">+SUM(H132:H133)</f>
        <v>6803111.790000001</v>
      </c>
      <c r="I131" s="84">
        <f t="shared" si="57"/>
        <v>9004349.7899999991</v>
      </c>
      <c r="J131" s="84">
        <f t="shared" si="57"/>
        <v>7976370.0700000003</v>
      </c>
      <c r="K131" s="84">
        <f t="shared" si="57"/>
        <v>92780108.99000001</v>
      </c>
      <c r="L131" s="84">
        <f t="shared" si="57"/>
        <v>14226825.530000001</v>
      </c>
      <c r="M131" s="483">
        <f t="shared" ref="M131" si="58">+SUM(M132:M133)</f>
        <v>40968432.359999999</v>
      </c>
      <c r="N131" s="84">
        <f t="shared" ref="N131:R131" si="59">+SUM(N132:N133)</f>
        <v>9320542.290000001</v>
      </c>
      <c r="O131" s="84">
        <f t="shared" si="59"/>
        <v>19467352.800000001</v>
      </c>
      <c r="P131" s="84">
        <f t="shared" si="59"/>
        <v>19749872.740000002</v>
      </c>
      <c r="Q131" s="84">
        <f t="shared" si="59"/>
        <v>64752298.200000003</v>
      </c>
      <c r="R131" s="84">
        <f t="shared" si="59"/>
        <v>22194542.870000001</v>
      </c>
      <c r="S131" s="104">
        <f t="shared" si="42"/>
        <v>338085896.69000006</v>
      </c>
      <c r="T131" s="470">
        <f t="shared" si="43"/>
        <v>5.4754299337608927</v>
      </c>
      <c r="U131" s="311"/>
      <c r="V131" s="311"/>
    </row>
    <row r="132" spans="1:22">
      <c r="A132" s="117" t="str">
        <f t="shared" si="52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96">
        <v>2477159.06</v>
      </c>
      <c r="H132" s="96">
        <v>2428191.7600000002</v>
      </c>
      <c r="I132" s="96">
        <v>938890.91</v>
      </c>
      <c r="J132" s="96">
        <v>2699238.12</v>
      </c>
      <c r="K132" s="96">
        <v>45296973.57</v>
      </c>
      <c r="L132" s="96">
        <v>3740213.81</v>
      </c>
      <c r="M132" s="96">
        <v>2522037.56</v>
      </c>
      <c r="N132" s="96">
        <v>2461861.56</v>
      </c>
      <c r="O132" s="96">
        <v>746378.5</v>
      </c>
      <c r="P132" s="96">
        <v>12943542.380000001</v>
      </c>
      <c r="Q132" s="96">
        <v>19547811.449999999</v>
      </c>
      <c r="R132" s="96">
        <v>753598.01</v>
      </c>
      <c r="S132" s="103">
        <f t="shared" si="42"/>
        <v>96555896.690000013</v>
      </c>
      <c r="T132" s="471">
        <f t="shared" si="43"/>
        <v>1.5637595421565773</v>
      </c>
      <c r="U132" s="311"/>
      <c r="V132" s="311"/>
    </row>
    <row r="133" spans="1:22" ht="13.5" thickBot="1">
      <c r="A133" s="117" t="str">
        <f t="shared" si="52"/>
        <v>4612p</v>
      </c>
      <c r="B133" s="611" t="str">
        <f>+VLOOKUP(LEFT($A133,LEN(A133)-1)*1,Master!$D$30:$G$226,4,FALSE)</f>
        <v>Otplata hartija od vrijednosti i kredita nerezidentima</v>
      </c>
      <c r="C133" s="612"/>
      <c r="D133" s="612"/>
      <c r="E133" s="612"/>
      <c r="F133" s="612"/>
      <c r="G133" s="96">
        <v>28364930.199999999</v>
      </c>
      <c r="H133" s="96">
        <v>4374920.03</v>
      </c>
      <c r="I133" s="96">
        <v>8065458.8799999999</v>
      </c>
      <c r="J133" s="96">
        <v>5277131.95</v>
      </c>
      <c r="K133" s="96">
        <v>47483135.420000002</v>
      </c>
      <c r="L133" s="96">
        <v>10486611.720000001</v>
      </c>
      <c r="M133" s="96">
        <v>38446394.799999997</v>
      </c>
      <c r="N133" s="96">
        <v>6858680.7300000004</v>
      </c>
      <c r="O133" s="96">
        <v>18720974.300000001</v>
      </c>
      <c r="P133" s="96">
        <v>6806330.3600000003</v>
      </c>
      <c r="Q133" s="96">
        <v>45204486.75</v>
      </c>
      <c r="R133" s="96">
        <v>21440944.859999999</v>
      </c>
      <c r="S133" s="103">
        <f t="shared" si="42"/>
        <v>241530000</v>
      </c>
      <c r="T133" s="471">
        <f t="shared" si="43"/>
        <v>3.9116703916043147</v>
      </c>
      <c r="U133" s="311"/>
      <c r="V133" s="311"/>
    </row>
    <row r="134" spans="1:22" ht="13.5" thickBot="1">
      <c r="A134" s="117" t="str">
        <f t="shared" si="52"/>
        <v>4418p</v>
      </c>
      <c r="B134" s="589" t="str">
        <f>+VLOOKUP(LEFT($A134,LEN(A134)-1)*1,Master!$D$30:$G$226,4,FALSE)</f>
        <v>Izdaci za kupovinu hartija od vrijednosti</v>
      </c>
      <c r="C134" s="590"/>
      <c r="D134" s="590"/>
      <c r="E134" s="590"/>
      <c r="F134" s="590"/>
      <c r="G134" s="93">
        <v>6666.67</v>
      </c>
      <c r="H134" s="93">
        <v>6666.67</v>
      </c>
      <c r="I134" s="93">
        <v>385666.67</v>
      </c>
      <c r="J134" s="93">
        <v>306666.67</v>
      </c>
      <c r="K134" s="93">
        <v>6666.67</v>
      </c>
      <c r="L134" s="93">
        <v>6666.65</v>
      </c>
      <c r="M134" s="93">
        <v>10000</v>
      </c>
      <c r="N134" s="93">
        <v>10000</v>
      </c>
      <c r="O134" s="93">
        <v>10000</v>
      </c>
      <c r="P134" s="93">
        <v>10000</v>
      </c>
      <c r="Q134" s="93">
        <v>10000</v>
      </c>
      <c r="R134" s="93">
        <v>10000</v>
      </c>
      <c r="S134" s="448">
        <f t="shared" si="42"/>
        <v>779000</v>
      </c>
      <c r="T134" s="478">
        <f t="shared" si="43"/>
        <v>1.2616201859229747E-2</v>
      </c>
      <c r="U134" s="311"/>
      <c r="V134" s="311"/>
    </row>
    <row r="135" spans="1:22" ht="13.5" thickBot="1">
      <c r="A135" s="117" t="s">
        <v>856</v>
      </c>
      <c r="B135" s="589" t="s">
        <v>113</v>
      </c>
      <c r="C135" s="590"/>
      <c r="D135" s="590"/>
      <c r="E135" s="590"/>
      <c r="F135" s="590"/>
      <c r="G135" s="93">
        <v>0</v>
      </c>
      <c r="H135" s="93">
        <v>0</v>
      </c>
      <c r="I135" s="93">
        <v>0</v>
      </c>
      <c r="J135" s="93">
        <v>0</v>
      </c>
      <c r="K135" s="93">
        <v>0</v>
      </c>
      <c r="L135" s="93">
        <v>0</v>
      </c>
      <c r="M135" s="93">
        <v>0</v>
      </c>
      <c r="N135" s="93">
        <v>0</v>
      </c>
      <c r="O135" s="93">
        <v>0</v>
      </c>
      <c r="P135" s="93">
        <v>0</v>
      </c>
      <c r="Q135" s="93">
        <v>0</v>
      </c>
      <c r="R135" s="93">
        <v>0</v>
      </c>
      <c r="S135" s="448">
        <f t="shared" si="42"/>
        <v>0</v>
      </c>
      <c r="T135" s="478">
        <f t="shared" si="43"/>
        <v>0</v>
      </c>
      <c r="U135" s="311"/>
      <c r="V135" s="311"/>
    </row>
    <row r="136" spans="1:22" ht="13.5" thickBot="1">
      <c r="A136" s="117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77">
        <f t="shared" ref="G136:L136" si="60">+G129-G131-G134</f>
        <v>-53245889.537592493</v>
      </c>
      <c r="H136" s="77">
        <f t="shared" si="60"/>
        <v>-73881124.274519369</v>
      </c>
      <c r="I136" s="77">
        <f t="shared" si="60"/>
        <v>-11706309.449745914</v>
      </c>
      <c r="J136" s="77">
        <f t="shared" si="60"/>
        <v>-26168771.349765025</v>
      </c>
      <c r="K136" s="77">
        <f t="shared" si="60"/>
        <v>-134258439.02871251</v>
      </c>
      <c r="L136" s="77">
        <f t="shared" si="60"/>
        <v>-41511087.848724924</v>
      </c>
      <c r="M136" s="77">
        <f t="shared" ref="M136:R136" si="61">+M129-M131-M134</f>
        <v>-96345577.436071083</v>
      </c>
      <c r="N136" s="77">
        <f t="shared" si="61"/>
        <v>-15798210.446971366</v>
      </c>
      <c r="O136" s="77">
        <f t="shared" si="61"/>
        <v>-46788098.734165177</v>
      </c>
      <c r="P136" s="77">
        <f t="shared" si="61"/>
        <v>-61360257.640887521</v>
      </c>
      <c r="Q136" s="77">
        <f t="shared" si="61"/>
        <v>-111596583.41035028</v>
      </c>
      <c r="R136" s="77">
        <f t="shared" si="61"/>
        <v>-32521481.538598385</v>
      </c>
      <c r="S136" s="109">
        <f t="shared" si="42"/>
        <v>-705181830.69610417</v>
      </c>
      <c r="T136" s="473">
        <f t="shared" si="43"/>
        <v>-11.420688476923269</v>
      </c>
      <c r="U136" s="311"/>
      <c r="V136" s="311"/>
    </row>
    <row r="137" spans="1:22" ht="13.5" thickBot="1">
      <c r="A137" s="117" t="str">
        <f>+CONCATENATE(A61,"p")</f>
        <v>1003p</v>
      </c>
      <c r="B137" s="589" t="str">
        <f>+VLOOKUP(LEFT($A137,LEN(A137)-1)*1,Master!$D$30:$G$226,4,FALSE)</f>
        <v>Finansiranje</v>
      </c>
      <c r="C137" s="590"/>
      <c r="D137" s="590"/>
      <c r="E137" s="590"/>
      <c r="F137" s="590"/>
      <c r="G137" s="93">
        <f t="shared" ref="G137:L137" si="62">+SUM(G138:G142)</f>
        <v>53245889.537592493</v>
      </c>
      <c r="H137" s="93">
        <f t="shared" si="62"/>
        <v>73881124.274519369</v>
      </c>
      <c r="I137" s="93">
        <f t="shared" si="62"/>
        <v>11706309.449745908</v>
      </c>
      <c r="J137" s="93">
        <f t="shared" si="62"/>
        <v>26168771.349765025</v>
      </c>
      <c r="K137" s="93">
        <f t="shared" si="62"/>
        <v>134258439.02871251</v>
      </c>
      <c r="L137" s="93">
        <f t="shared" si="62"/>
        <v>41511087.848724924</v>
      </c>
      <c r="M137" s="93">
        <f t="shared" ref="M137:R137" si="63">+SUM(M138:M142)</f>
        <v>96345577.436071083</v>
      </c>
      <c r="N137" s="93">
        <f t="shared" si="63"/>
        <v>15798210.446971366</v>
      </c>
      <c r="O137" s="93">
        <f t="shared" si="63"/>
        <v>46788098.734165192</v>
      </c>
      <c r="P137" s="93">
        <f t="shared" si="63"/>
        <v>61360257.640887521</v>
      </c>
      <c r="Q137" s="93">
        <f t="shared" si="63"/>
        <v>111596583.41035028</v>
      </c>
      <c r="R137" s="93">
        <f t="shared" si="63"/>
        <v>32521481.538598385</v>
      </c>
      <c r="S137" s="110">
        <f t="shared" si="42"/>
        <v>705181830.69610417</v>
      </c>
      <c r="T137" s="474">
        <f t="shared" si="43"/>
        <v>11.420688476923269</v>
      </c>
      <c r="U137" s="311"/>
      <c r="V137" s="311"/>
    </row>
    <row r="138" spans="1:22">
      <c r="A138" s="117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96">
        <v>0</v>
      </c>
      <c r="H138" s="96">
        <v>0</v>
      </c>
      <c r="I138" s="96">
        <v>100000000</v>
      </c>
      <c r="J138" s="96">
        <v>0</v>
      </c>
      <c r="K138" s="96">
        <v>0</v>
      </c>
      <c r="L138" s="96">
        <v>0</v>
      </c>
      <c r="M138" s="96">
        <v>0</v>
      </c>
      <c r="N138" s="96">
        <v>0</v>
      </c>
      <c r="O138" s="96">
        <v>0</v>
      </c>
      <c r="P138" s="96">
        <v>0</v>
      </c>
      <c r="Q138" s="96">
        <v>0</v>
      </c>
      <c r="R138" s="96">
        <v>0</v>
      </c>
      <c r="S138" s="103">
        <f t="shared" si="42"/>
        <v>100000000</v>
      </c>
      <c r="T138" s="471">
        <f t="shared" si="43"/>
        <v>1.6195381077316748</v>
      </c>
      <c r="U138" s="311"/>
      <c r="V138" s="311"/>
    </row>
    <row r="139" spans="1:22">
      <c r="A139" s="117" t="str">
        <f>+CONCATENATE(A63,"p")</f>
        <v>7512p</v>
      </c>
      <c r="B139" s="611" t="str">
        <f>+VLOOKUP(LEFT($A139,LEN(A139)-1)*1,Master!$D$30:$G$226,4,FALSE)</f>
        <v>Pozajmice i krediti od inostranih izvora</v>
      </c>
      <c r="C139" s="612"/>
      <c r="D139" s="612"/>
      <c r="E139" s="612"/>
      <c r="F139" s="612"/>
      <c r="G139" s="96">
        <v>0</v>
      </c>
      <c r="H139" s="96">
        <v>0</v>
      </c>
      <c r="I139" s="96">
        <v>0</v>
      </c>
      <c r="J139" s="96">
        <v>0</v>
      </c>
      <c r="K139" s="96">
        <v>0</v>
      </c>
      <c r="L139" s="96">
        <v>0</v>
      </c>
      <c r="M139" s="96">
        <v>0</v>
      </c>
      <c r="N139" s="96">
        <v>0</v>
      </c>
      <c r="O139" s="517">
        <v>499181830.68901968</v>
      </c>
      <c r="P139" s="96">
        <v>0</v>
      </c>
      <c r="Q139" s="96">
        <v>0</v>
      </c>
      <c r="R139" s="96">
        <v>0</v>
      </c>
      <c r="S139" s="103">
        <f t="shared" si="42"/>
        <v>499181830.68901968</v>
      </c>
      <c r="T139" s="471">
        <f t="shared" si="43"/>
        <v>8.084439974881283</v>
      </c>
      <c r="U139" s="311"/>
      <c r="V139" s="311"/>
    </row>
    <row r="140" spans="1:22">
      <c r="A140" s="117" t="str">
        <f>+CONCATENATE(A64,"p")</f>
        <v>72p</v>
      </c>
      <c r="B140" s="611" t="str">
        <f>+VLOOKUP(LEFT($A140,LEN(A140)-1)*1,Master!$D$30:$G$226,4,FALSE)</f>
        <v>Primici od prodaje imovine</v>
      </c>
      <c r="C140" s="612"/>
      <c r="D140" s="612"/>
      <c r="E140" s="612"/>
      <c r="F140" s="612"/>
      <c r="G140" s="96">
        <v>500000</v>
      </c>
      <c r="H140" s="96">
        <v>500000</v>
      </c>
      <c r="I140" s="96">
        <v>500000</v>
      </c>
      <c r="J140" s="96">
        <v>500000</v>
      </c>
      <c r="K140" s="96">
        <v>500000</v>
      </c>
      <c r="L140" s="96">
        <v>500000</v>
      </c>
      <c r="M140" s="96">
        <v>500000</v>
      </c>
      <c r="N140" s="96">
        <v>500000</v>
      </c>
      <c r="O140" s="96">
        <v>500000</v>
      </c>
      <c r="P140" s="96">
        <v>500000</v>
      </c>
      <c r="Q140" s="96">
        <v>500000</v>
      </c>
      <c r="R140" s="96">
        <v>500000</v>
      </c>
      <c r="S140" s="103">
        <f t="shared" si="42"/>
        <v>6000000</v>
      </c>
      <c r="T140" s="471">
        <f t="shared" si="43"/>
        <v>9.7172286463900498E-2</v>
      </c>
      <c r="U140" s="311"/>
      <c r="V140" s="311"/>
    </row>
    <row r="141" spans="1:22">
      <c r="A141" s="117" t="s">
        <v>855</v>
      </c>
      <c r="B141" s="519" t="s">
        <v>101</v>
      </c>
      <c r="C141" s="520"/>
      <c r="D141" s="520"/>
      <c r="E141" s="520"/>
      <c r="F141" s="520"/>
      <c r="G141" s="96">
        <v>0</v>
      </c>
      <c r="H141" s="96">
        <v>0</v>
      </c>
      <c r="I141" s="96">
        <v>0</v>
      </c>
      <c r="J141" s="96">
        <v>0</v>
      </c>
      <c r="K141" s="96">
        <v>0</v>
      </c>
      <c r="L141" s="96">
        <v>0</v>
      </c>
      <c r="M141" s="96">
        <v>0</v>
      </c>
      <c r="N141" s="96">
        <v>0</v>
      </c>
      <c r="O141" s="96">
        <v>0</v>
      </c>
      <c r="P141" s="96">
        <v>0</v>
      </c>
      <c r="Q141" s="96">
        <v>0</v>
      </c>
      <c r="R141" s="96">
        <v>0</v>
      </c>
      <c r="S141" s="103">
        <f t="shared" si="42"/>
        <v>0</v>
      </c>
      <c r="T141" s="471">
        <f t="shared" si="43"/>
        <v>0</v>
      </c>
      <c r="U141" s="311"/>
      <c r="V141" s="311"/>
    </row>
    <row r="142" spans="1:22" ht="13.5" thickBot="1">
      <c r="A142" s="117" t="str">
        <f t="shared" ref="A142" si="64">+CONCATENATE(A66,"p")</f>
        <v>1004p</v>
      </c>
      <c r="B142" s="98" t="str">
        <f>+VLOOKUP(LEFT($A142,LEN(A142)-1)*1,Master!$D$30:$G$226,4,FALSE)</f>
        <v>Povećanje / smanjenje depozita</v>
      </c>
      <c r="C142" s="99"/>
      <c r="D142" s="99"/>
      <c r="E142" s="99"/>
      <c r="F142" s="99"/>
      <c r="G142" s="97">
        <f>-G136-SUM(G138:G140)</f>
        <v>52745889.537592493</v>
      </c>
      <c r="H142" s="97">
        <f t="shared" ref="H142:L142" si="65">-H136-SUM(H138:H140)</f>
        <v>73381124.274519369</v>
      </c>
      <c r="I142" s="97">
        <f t="shared" si="65"/>
        <v>-88793690.550254092</v>
      </c>
      <c r="J142" s="97">
        <f t="shared" si="65"/>
        <v>25668771.349765025</v>
      </c>
      <c r="K142" s="97">
        <f t="shared" si="65"/>
        <v>133758439.02871251</v>
      </c>
      <c r="L142" s="97">
        <f t="shared" si="65"/>
        <v>41011087.848724924</v>
      </c>
      <c r="M142" s="97">
        <f t="shared" ref="M142:R142" si="66">-M136-SUM(M138:M140)</f>
        <v>95845577.436071083</v>
      </c>
      <c r="N142" s="97">
        <f t="shared" si="66"/>
        <v>15298210.446971366</v>
      </c>
      <c r="O142" s="97">
        <f t="shared" si="66"/>
        <v>-452893731.95485449</v>
      </c>
      <c r="P142" s="97">
        <f t="shared" si="66"/>
        <v>60860257.640887521</v>
      </c>
      <c r="Q142" s="97">
        <f t="shared" si="66"/>
        <v>111096583.41035028</v>
      </c>
      <c r="R142" s="97">
        <f t="shared" si="66"/>
        <v>32021481.538598385</v>
      </c>
      <c r="S142" s="105">
        <f>+SUM(G142:R142)</f>
        <v>100000000.00708437</v>
      </c>
      <c r="T142" s="475">
        <f t="shared" si="43"/>
        <v>1.6195381078464091</v>
      </c>
      <c r="U142" s="311"/>
      <c r="V142" s="311"/>
    </row>
    <row r="144" spans="1:22">
      <c r="G144" s="311"/>
    </row>
    <row r="145" spans="7:19"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</row>
    <row r="146" spans="7:19">
      <c r="N146" s="311"/>
    </row>
    <row r="148" spans="7:19">
      <c r="S148" s="484"/>
    </row>
    <row r="149" spans="7:19">
      <c r="S149" s="311"/>
    </row>
    <row r="150" spans="7:19">
      <c r="S150" s="311"/>
    </row>
  </sheetData>
  <sheetProtection algorithmName="SHA-512" hashValue="GHJHoiHWR6HsSizlBPnkMN/ju9PetTc/CuE8GX7L4luYTm5s0CKO3toG39O4WEewDs6cuZq2ukFSo7ZYaGSVBw==" saltValue="HdfZqmkSLofl+uBWDclvhA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zoomScaleNormal="100" workbookViewId="0">
      <pane ySplit="1" topLeftCell="A32" activePane="bottomLeft" state="frozen"/>
      <selection pane="bottomLeft" activeCell="A65" sqref="A65:XFD6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573" t="str">
        <f>+Master!G252</f>
        <v>Ostvarenje budžeta</v>
      </c>
      <c r="C7" s="526"/>
      <c r="D7" s="526"/>
      <c r="E7" s="526"/>
      <c r="F7" s="526"/>
      <c r="G7" s="534">
        <v>2022</v>
      </c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8"/>
      <c r="S7" s="235" t="str">
        <f>+Master!G249</f>
        <v>BDP</v>
      </c>
      <c r="T7" s="236">
        <v>5796761000</v>
      </c>
    </row>
    <row r="8" spans="1:23" ht="16.5" customHeight="1">
      <c r="A8" s="144"/>
      <c r="B8" s="527"/>
      <c r="C8" s="528"/>
      <c r="D8" s="528"/>
      <c r="E8" s="528"/>
      <c r="F8" s="529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4" t="str">
        <f>+Master!G247</f>
        <v>Jan - Dec</v>
      </c>
      <c r="T8" s="538"/>
    </row>
    <row r="9" spans="1:23" ht="13.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5" t="str">
        <f>+VLOOKUP($A10,Master!$D$30:$G$226,4,FALSE)</f>
        <v>Prihodi budžeta</v>
      </c>
      <c r="C10" s="546"/>
      <c r="D10" s="546"/>
      <c r="E10" s="546"/>
      <c r="F10" s="546"/>
      <c r="G10" s="151">
        <f>+G11+G19+SUM(G24:G28)</f>
        <v>107737140.52</v>
      </c>
      <c r="H10" s="151">
        <f t="shared" ref="H10:R10" si="1">+H11+H19+SUM(H24:H28)</f>
        <v>124125176.16</v>
      </c>
      <c r="I10" s="151">
        <f t="shared" si="1"/>
        <v>183509113.04000002</v>
      </c>
      <c r="J10" s="151">
        <f t="shared" si="1"/>
        <v>179621542.80000001</v>
      </c>
      <c r="K10" s="151">
        <f t="shared" si="1"/>
        <v>153918991.34</v>
      </c>
      <c r="L10" s="151">
        <f t="shared" si="1"/>
        <v>165473395.99000001</v>
      </c>
      <c r="M10" s="151">
        <f t="shared" si="1"/>
        <v>165561147.76999998</v>
      </c>
      <c r="N10" s="151">
        <f t="shared" si="1"/>
        <v>193094863.54999995</v>
      </c>
      <c r="O10" s="151">
        <f t="shared" si="1"/>
        <v>174498819.30000001</v>
      </c>
      <c r="P10" s="151">
        <f t="shared" si="1"/>
        <v>168016384.53</v>
      </c>
      <c r="Q10" s="151">
        <f t="shared" si="1"/>
        <v>161479932</v>
      </c>
      <c r="R10" s="151">
        <f t="shared" si="1"/>
        <v>218371031.25000003</v>
      </c>
      <c r="S10" s="239">
        <f>+SUM(G10:R10)</f>
        <v>1995407538.2499998</v>
      </c>
      <c r="T10" s="461">
        <f>+S10/$T$7*100</f>
        <v>34.422801599893454</v>
      </c>
      <c r="V10" s="311"/>
    </row>
    <row r="11" spans="1:23">
      <c r="A11" s="150">
        <v>711</v>
      </c>
      <c r="B11" s="569" t="str">
        <f>+VLOOKUP($A11,Master!$D$30:$G$226,4,FALSE)</f>
        <v>Porezi</v>
      </c>
      <c r="C11" s="570"/>
      <c r="D11" s="570"/>
      <c r="E11" s="570"/>
      <c r="F11" s="570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6" si="3">+S11/$T$7*100</f>
        <v>23.825946169076147</v>
      </c>
      <c r="V11" s="311"/>
    </row>
    <row r="12" spans="1:23">
      <c r="A12" s="150">
        <v>7111</v>
      </c>
      <c r="B12" s="555" t="str">
        <f>+VLOOKUP($A12,Master!$D$30:$G$226,4,FALSE)</f>
        <v>Porez na dohodak fizičkih lica</v>
      </c>
      <c r="C12" s="556"/>
      <c r="D12" s="556"/>
      <c r="E12" s="556"/>
      <c r="F12" s="556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5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55" t="str">
        <f>+VLOOKUP($A13,Master!$D$30:$G$226,4,FALSE)</f>
        <v>Porez na dobit pravnih lica</v>
      </c>
      <c r="C13" s="556"/>
      <c r="D13" s="556"/>
      <c r="E13" s="556"/>
      <c r="F13" s="556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55" t="str">
        <f>+VLOOKUP($A14,Master!$D$30:$G$226,4,FALSE)</f>
        <v>Porez na promet nepokretnosti</v>
      </c>
      <c r="C14" s="556"/>
      <c r="D14" s="556"/>
      <c r="E14" s="556"/>
      <c r="F14" s="556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55" t="str">
        <f>+VLOOKUP($A15,Master!$D$30:$G$226,4,FALSE)</f>
        <v>Porez na dodatu vrijednost</v>
      </c>
      <c r="C15" s="556"/>
      <c r="D15" s="556"/>
      <c r="E15" s="556"/>
      <c r="F15" s="556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55" t="str">
        <f>+VLOOKUP($A16,Master!$D$30:$G$226,4,FALSE)</f>
        <v>Akcize</v>
      </c>
      <c r="C16" s="556"/>
      <c r="D16" s="556"/>
      <c r="E16" s="556"/>
      <c r="F16" s="556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55" t="str">
        <f>+VLOOKUP($A17,Master!$D$30:$G$226,4,FALSE)</f>
        <v>Porez na međunarodnu trgovinu i transakcije</v>
      </c>
      <c r="C17" s="556"/>
      <c r="D17" s="556"/>
      <c r="E17" s="556"/>
      <c r="F17" s="556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55" t="str">
        <f>+VLOOKUP($A18,Master!$D$30:$G$226,4,FALSE)</f>
        <v>Ostali državni porezi</v>
      </c>
      <c r="C18" s="556"/>
      <c r="D18" s="556"/>
      <c r="E18" s="556"/>
      <c r="F18" s="556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57" t="str">
        <f>+VLOOKUP($A19,Master!$D$30:$G$226,4,FALSE)</f>
        <v>Doprinosi</v>
      </c>
      <c r="C19" s="558"/>
      <c r="D19" s="558"/>
      <c r="E19" s="558"/>
      <c r="F19" s="558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55" t="str">
        <f>+VLOOKUP($A20,Master!$D$30:$G$226,4,FALSE)</f>
        <v>Doprinosi za penzijsko i invalidsko osiguranje</v>
      </c>
      <c r="C20" s="556"/>
      <c r="D20" s="556"/>
      <c r="E20" s="556"/>
      <c r="F20" s="556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55" t="str">
        <f>+VLOOKUP($A21,Master!$D$30:$G$226,4,FALSE)</f>
        <v>Doprinosi za zdravstveno osiguranje</v>
      </c>
      <c r="C21" s="556"/>
      <c r="D21" s="556"/>
      <c r="E21" s="556"/>
      <c r="F21" s="556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55" t="str">
        <f>+VLOOKUP($A22,Master!$D$30:$G$226,4,FALSE)</f>
        <v>Doprinosi za osiguranje od nezaposlenosti</v>
      </c>
      <c r="C22" s="556"/>
      <c r="D22" s="556"/>
      <c r="E22" s="556"/>
      <c r="F22" s="556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55" t="str">
        <f>+VLOOKUP($A23,Master!$D$30:$G$226,4,FALSE)</f>
        <v>Ostali doprinosi</v>
      </c>
      <c r="C23" s="556"/>
      <c r="D23" s="556"/>
      <c r="E23" s="556"/>
      <c r="F23" s="556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57" t="str">
        <f>+VLOOKUP($A24,Master!$D$30:$G$226,4,FALSE)</f>
        <v>Takse</v>
      </c>
      <c r="C24" s="558"/>
      <c r="D24" s="558"/>
      <c r="E24" s="558"/>
      <c r="F24" s="558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57" t="str">
        <f>+VLOOKUP($A25,Master!$D$30:$G$226,4,FALSE)</f>
        <v>Naknade</v>
      </c>
      <c r="C25" s="558"/>
      <c r="D25" s="558"/>
      <c r="E25" s="558"/>
      <c r="F25" s="558"/>
      <c r="G25" s="175">
        <v>12539806.32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72750276.989999995</v>
      </c>
      <c r="T25" s="464">
        <f t="shared" si="3"/>
        <v>1.2550159820285844</v>
      </c>
      <c r="V25" s="311"/>
    </row>
    <row r="26" spans="1:23">
      <c r="A26" s="150">
        <v>715</v>
      </c>
      <c r="B26" s="557" t="str">
        <f>+VLOOKUP($A26,Master!$D$30:$G$226,4,FALSE)</f>
        <v>Ostali prihodi</v>
      </c>
      <c r="C26" s="558"/>
      <c r="D26" s="558"/>
      <c r="E26" s="558"/>
      <c r="F26" s="558"/>
      <c r="G26" s="175">
        <v>1326069.82</v>
      </c>
      <c r="H26" s="175">
        <v>1641264.93</v>
      </c>
      <c r="I26" s="175">
        <v>1734944.49</v>
      </c>
      <c r="J26" s="175">
        <v>1799637.23</v>
      </c>
      <c r="K26" s="175">
        <v>3456607.14</v>
      </c>
      <c r="L26" s="175">
        <v>2860866.92</v>
      </c>
      <c r="M26" s="175">
        <v>3218905.03</v>
      </c>
      <c r="N26" s="175">
        <v>3738359.41</v>
      </c>
      <c r="O26" s="175">
        <v>1547779.56</v>
      </c>
      <c r="P26" s="175">
        <v>1869202.61</v>
      </c>
      <c r="Q26" s="175">
        <v>3172754.72</v>
      </c>
      <c r="R26" s="175">
        <v>3199096.44</v>
      </c>
      <c r="S26" s="243">
        <f t="shared" si="4"/>
        <v>29565488.299999997</v>
      </c>
      <c r="T26" s="464">
        <f t="shared" si="3"/>
        <v>0.51003462623351214</v>
      </c>
      <c r="V26" s="311"/>
    </row>
    <row r="27" spans="1:23">
      <c r="A27" s="150">
        <v>73</v>
      </c>
      <c r="B27" s="557" t="str">
        <f>+VLOOKUP($A27,Master!$D$30:$G$226,4,FALSE)</f>
        <v>Primici od otplate kredita i sredstva prenesena iz prethodne godine</v>
      </c>
      <c r="C27" s="558"/>
      <c r="D27" s="558"/>
      <c r="E27" s="558"/>
      <c r="F27" s="558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0</v>
      </c>
      <c r="T27" s="464">
        <f t="shared" si="3"/>
        <v>0</v>
      </c>
      <c r="V27" s="311"/>
    </row>
    <row r="28" spans="1:23" ht="13.5" thickBot="1">
      <c r="A28" s="150">
        <v>74</v>
      </c>
      <c r="B28" s="557" t="str">
        <f>+VLOOKUP($A28,Master!$D$30:$G$226,4,FALSE)</f>
        <v>Donacije i transferi</v>
      </c>
      <c r="C28" s="558"/>
      <c r="D28" s="558"/>
      <c r="E28" s="558"/>
      <c r="F28" s="558"/>
      <c r="G28" s="175">
        <v>944708.16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34391205.840000004</v>
      </c>
      <c r="T28" s="465">
        <f t="shared" si="3"/>
        <v>0.59328314277576744</v>
      </c>
      <c r="V28" s="311"/>
    </row>
    <row r="29" spans="1:23" ht="13.5" thickBot="1">
      <c r="A29" s="150">
        <v>4</v>
      </c>
      <c r="B29" s="545" t="str">
        <f>+VLOOKUP($A29,Master!$D$30:$G$226,4,FALSE)</f>
        <v>Izdaci budžeta</v>
      </c>
      <c r="C29" s="546"/>
      <c r="D29" s="546"/>
      <c r="E29" s="546"/>
      <c r="F29" s="546"/>
      <c r="G29" s="151">
        <f>+G30+G40+G46+SUM(G47:G51)</f>
        <v>135514208.74000001</v>
      </c>
      <c r="H29" s="151">
        <f t="shared" ref="H29:R29" si="6">+H30+H40+H46+SUM(H47:H51)</f>
        <v>151117239.72000003</v>
      </c>
      <c r="I29" s="151">
        <f t="shared" si="6"/>
        <v>151932686.03</v>
      </c>
      <c r="J29" s="151">
        <f t="shared" si="6"/>
        <v>202361770.57999992</v>
      </c>
      <c r="K29" s="151">
        <f t="shared" si="6"/>
        <v>146024098.92000002</v>
      </c>
      <c r="L29" s="151">
        <f t="shared" si="6"/>
        <v>188293050.02000004</v>
      </c>
      <c r="M29" s="151">
        <f t="shared" si="6"/>
        <v>178169359.26999998</v>
      </c>
      <c r="N29" s="151">
        <f t="shared" si="6"/>
        <v>146940336.30000001</v>
      </c>
      <c r="O29" s="151">
        <f t="shared" si="6"/>
        <v>187439297.08999997</v>
      </c>
      <c r="P29" s="151">
        <f t="shared" si="6"/>
        <v>187515169.22</v>
      </c>
      <c r="Q29" s="151">
        <f t="shared" si="6"/>
        <v>201134206.55999997</v>
      </c>
      <c r="R29" s="151">
        <f t="shared" si="6"/>
        <v>369326518.45000005</v>
      </c>
      <c r="S29" s="245">
        <f t="shared" si="4"/>
        <v>2245767940.8999996</v>
      </c>
      <c r="T29" s="466">
        <f t="shared" si="3"/>
        <v>38.741772187951163</v>
      </c>
      <c r="V29" s="291"/>
    </row>
    <row r="30" spans="1:23">
      <c r="A30" s="150">
        <v>41</v>
      </c>
      <c r="B30" s="563" t="str">
        <f>+VLOOKUP($A30,Master!$D$30:$G$226,4,FALSE)</f>
        <v>Tekući izdaci</v>
      </c>
      <c r="C30" s="564"/>
      <c r="D30" s="564"/>
      <c r="E30" s="564"/>
      <c r="F30" s="564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55" t="str">
        <f>+VLOOKUP($A31,Master!$D$30:$G$226,4,FALSE)</f>
        <v>Bruto zarade i doprinosi na teret poslodavca</v>
      </c>
      <c r="C31" s="556"/>
      <c r="D31" s="556"/>
      <c r="E31" s="556"/>
      <c r="F31" s="556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55" t="str">
        <f>+VLOOKUP($A32,Master!$D$30:$G$226,4,FALSE)</f>
        <v>Ostala lična primanja</v>
      </c>
      <c r="C32" s="556"/>
      <c r="D32" s="556"/>
      <c r="E32" s="556"/>
      <c r="F32" s="556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55" t="str">
        <f>+VLOOKUP($A33,Master!$D$30:$G$226,4,FALSE)</f>
        <v>Rashodi za materijal</v>
      </c>
      <c r="C33" s="556"/>
      <c r="D33" s="556"/>
      <c r="E33" s="556"/>
      <c r="F33" s="556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574" t="str">
        <f>+VLOOKUP($A34,Master!$D$30:$G$226,4,FALSE)</f>
        <v>Rashodi za usluge</v>
      </c>
      <c r="C34" s="575"/>
      <c r="D34" s="575"/>
      <c r="E34" s="575"/>
      <c r="F34" s="575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55" t="str">
        <f>+VLOOKUP($A35,Master!$D$30:$G$226,4,FALSE)</f>
        <v>Rashodi za tekuće održavanje</v>
      </c>
      <c r="C35" s="556"/>
      <c r="D35" s="556"/>
      <c r="E35" s="556"/>
      <c r="F35" s="556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55" t="str">
        <f>+VLOOKUP($A36,Master!$D$30:$G$226,4,FALSE)</f>
        <v>Kamate</v>
      </c>
      <c r="C36" s="556"/>
      <c r="D36" s="556"/>
      <c r="E36" s="556"/>
      <c r="F36" s="556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55" t="str">
        <f>+VLOOKUP($A37,Master!$D$30:$G$226,4,FALSE)</f>
        <v>Renta</v>
      </c>
      <c r="C37" s="556"/>
      <c r="D37" s="556"/>
      <c r="E37" s="556"/>
      <c r="F37" s="556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55" t="str">
        <f>+VLOOKUP($A38,Master!$D$30:$G$226,4,FALSE)</f>
        <v>Subvencije</v>
      </c>
      <c r="C38" s="556"/>
      <c r="D38" s="556"/>
      <c r="E38" s="556"/>
      <c r="F38" s="556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55" t="str">
        <f>+VLOOKUP($A39,Master!$D$30:$G$226,4,FALSE)</f>
        <v>Ostali izdaci</v>
      </c>
      <c r="C39" s="556"/>
      <c r="D39" s="556"/>
      <c r="E39" s="556"/>
      <c r="F39" s="556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51" t="str">
        <f>+VLOOKUP($A40,Master!$D$30:$G$226,4,FALSE)</f>
        <v>Transferi za socijalnu zaštitu</v>
      </c>
      <c r="C40" s="552"/>
      <c r="D40" s="552"/>
      <c r="E40" s="552"/>
      <c r="F40" s="552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55" t="str">
        <f>+VLOOKUP($A41,Master!$D$30:$G$226,4,FALSE)</f>
        <v>Prava iz oblasti socijalne zaštite</v>
      </c>
      <c r="C41" s="556"/>
      <c r="D41" s="556"/>
      <c r="E41" s="556"/>
      <c r="F41" s="556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55" t="str">
        <f>+VLOOKUP($A42,Master!$D$30:$G$226,4,FALSE)</f>
        <v>Sredstva za tehnološke viškove</v>
      </c>
      <c r="C42" s="556"/>
      <c r="D42" s="556"/>
      <c r="E42" s="556"/>
      <c r="F42" s="556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55" t="str">
        <f>+VLOOKUP($A43,Master!$D$30:$G$226,4,FALSE)</f>
        <v>Prava iz oblasti penzijskog i invalidskog osiguranja</v>
      </c>
      <c r="C43" s="556"/>
      <c r="D43" s="556"/>
      <c r="E43" s="556"/>
      <c r="F43" s="556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55" t="str">
        <f>+VLOOKUP($A44,Master!$D$30:$G$226,4,FALSE)</f>
        <v>Ostala prava iz oblasti zdravstvene zaštite</v>
      </c>
      <c r="C44" s="556"/>
      <c r="D44" s="556"/>
      <c r="E44" s="556"/>
      <c r="F44" s="556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576" t="str">
        <f>+VLOOKUP($A45,Master!$D$30:$G$226,4,FALSE)</f>
        <v>Ostala prava iz zdravstvenog osiguranja</v>
      </c>
      <c r="C45" s="577"/>
      <c r="D45" s="577"/>
      <c r="E45" s="577"/>
      <c r="F45" s="577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53" t="str">
        <f>+VLOOKUP($A46,Master!$D$30:$G$226,4,FALSE)</f>
        <v xml:space="preserve">Transferi institucijama, pojedincima, nevladinom i javnom sektoru </v>
      </c>
      <c r="C46" s="554"/>
      <c r="D46" s="554"/>
      <c r="E46" s="554"/>
      <c r="F46" s="554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53" t="str">
        <f>+VLOOKUP($A47,Master!$D$30:$G$226,4,FALSE)</f>
        <v>Kapitalni izdaci</v>
      </c>
      <c r="C47" s="554"/>
      <c r="D47" s="554"/>
      <c r="E47" s="554"/>
      <c r="F47" s="554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578" t="str">
        <f>+VLOOKUP($A48,Master!$D$30:$G$226,4,FALSE)</f>
        <v>Pozajmice i krediti</v>
      </c>
      <c r="C48" s="579"/>
      <c r="D48" s="579"/>
      <c r="E48" s="579"/>
      <c r="F48" s="579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3">
        <f t="shared" si="3"/>
        <v>0</v>
      </c>
      <c r="U48" s="500"/>
      <c r="V48" s="291"/>
    </row>
    <row r="49" spans="1:22" s="360" customFormat="1">
      <c r="A49" s="359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585" t="str">
        <f>+VLOOKUP($A51,Master!$D$30:$G$226,4,TRUE)</f>
        <v>Otplata obaveza iz prethodnog perioda</v>
      </c>
      <c r="C51" s="586"/>
      <c r="D51" s="586"/>
      <c r="E51" s="586"/>
      <c r="F51" s="586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587" t="str">
        <f>+VLOOKUP($A52,Master!$D$30:$G$228,4,FALSE)</f>
        <v>Neto povećanje obaveza</v>
      </c>
      <c r="C52" s="588"/>
      <c r="D52" s="588"/>
      <c r="E52" s="588"/>
      <c r="F52" s="588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47" t="str">
        <f>+VLOOKUP($A53,Master!$D$30:$G$226,4,FALSE)</f>
        <v>Suficit / deficit</v>
      </c>
      <c r="C53" s="548"/>
      <c r="D53" s="548"/>
      <c r="E53" s="548"/>
      <c r="F53" s="548"/>
      <c r="G53" s="151">
        <f t="shared" ref="G53:R53" si="9">+G10-G29</f>
        <v>-27777068.220000014</v>
      </c>
      <c r="H53" s="151">
        <f t="shared" si="9"/>
        <v>-26992063.560000032</v>
      </c>
      <c r="I53" s="151">
        <f t="shared" si="9"/>
        <v>31576427.01000002</v>
      </c>
      <c r="J53" s="151">
        <f t="shared" si="9"/>
        <v>-22740227.779999912</v>
      </c>
      <c r="K53" s="151">
        <f t="shared" si="9"/>
        <v>7894892.4199999869</v>
      </c>
      <c r="L53" s="151">
        <f t="shared" si="9"/>
        <v>-22819654.030000031</v>
      </c>
      <c r="M53" s="151">
        <f t="shared" si="9"/>
        <v>-12608211.5</v>
      </c>
      <c r="N53" s="151">
        <f t="shared" si="9"/>
        <v>46154527.24999994</v>
      </c>
      <c r="O53" s="151">
        <f t="shared" si="9"/>
        <v>-12940477.789999962</v>
      </c>
      <c r="P53" s="151">
        <f t="shared" si="9"/>
        <v>-19498784.689999998</v>
      </c>
      <c r="Q53" s="151">
        <f t="shared" si="9"/>
        <v>-39654274.559999973</v>
      </c>
      <c r="R53" s="151">
        <f t="shared" si="9"/>
        <v>-150955487.20000002</v>
      </c>
      <c r="S53" s="248">
        <f>SUM(G53:R53)</f>
        <v>-250360402.64999998</v>
      </c>
      <c r="T53" s="469">
        <f t="shared" si="3"/>
        <v>-4.3189705880577103</v>
      </c>
      <c r="V53" s="291"/>
    </row>
    <row r="54" spans="1:22" ht="13.5" thickBot="1">
      <c r="A54" s="144">
        <v>1001</v>
      </c>
      <c r="B54" s="549" t="str">
        <f>+VLOOKUP($A54,Master!$D$30:$G$226,4,FALSE)</f>
        <v>Primarni suficit/deficit</v>
      </c>
      <c r="C54" s="550"/>
      <c r="D54" s="550"/>
      <c r="E54" s="550"/>
      <c r="F54" s="550"/>
      <c r="G54" s="205">
        <f t="shared" ref="G54:R54" si="10">+G53+G36</f>
        <v>-23922305.970000014</v>
      </c>
      <c r="H54" s="205">
        <f t="shared" si="10"/>
        <v>-25721719.370000031</v>
      </c>
      <c r="I54" s="205">
        <f t="shared" si="10"/>
        <v>32525509.570000019</v>
      </c>
      <c r="J54" s="205">
        <f t="shared" si="10"/>
        <v>4455393.2900000885</v>
      </c>
      <c r="K54" s="205">
        <f t="shared" si="10"/>
        <v>12483366.199999988</v>
      </c>
      <c r="L54" s="205">
        <f t="shared" si="10"/>
        <v>-21602855.00000003</v>
      </c>
      <c r="M54" s="205">
        <f t="shared" si="10"/>
        <v>-8824148.6799999997</v>
      </c>
      <c r="N54" s="205">
        <f t="shared" si="10"/>
        <v>47485591.829999939</v>
      </c>
      <c r="O54" s="205">
        <f t="shared" si="10"/>
        <v>624055.04000003822</v>
      </c>
      <c r="P54" s="205">
        <f t="shared" si="10"/>
        <v>-18651652.409999996</v>
      </c>
      <c r="Q54" s="205">
        <f t="shared" si="10"/>
        <v>-29405799.019999973</v>
      </c>
      <c r="R54" s="205">
        <f t="shared" si="10"/>
        <v>-127849878.23000002</v>
      </c>
      <c r="S54" s="248">
        <f t="shared" si="4"/>
        <v>-158404442.75</v>
      </c>
      <c r="T54" s="469">
        <f t="shared" si="3"/>
        <v>-2.7326371183838698</v>
      </c>
      <c r="V54" s="291"/>
    </row>
    <row r="55" spans="1:22">
      <c r="A55" s="144">
        <v>46</v>
      </c>
      <c r="B55" s="571" t="str">
        <f>+VLOOKUP($A55,Master!$D$30:$G$226,4,FALSE)</f>
        <v>Otplata dugova</v>
      </c>
      <c r="C55" s="572"/>
      <c r="D55" s="572"/>
      <c r="E55" s="572"/>
      <c r="F55" s="572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39" t="str">
        <f>+VLOOKUP($A56,Master!$D$30:$G$226,4,FALSE)</f>
        <v>Otplata hartija od vrijednosti i kredita rezidentima</v>
      </c>
      <c r="C56" s="540"/>
      <c r="D56" s="540"/>
      <c r="E56" s="540"/>
      <c r="F56" s="540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23" t="str">
        <f>+VLOOKUP($A57,Master!$D$30:$G$226,4,FALSE)</f>
        <v>Otplata hartija od vrijednosti i kredita nerezidentima</v>
      </c>
      <c r="C57" s="524"/>
      <c r="D57" s="524"/>
      <c r="E57" s="524"/>
      <c r="F57" s="524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61" t="str">
        <f>+VLOOKUP($A58,Master!$D$30:$G$226,4,FALSE)</f>
        <v>Izdaci za kupovinu hartija od vrijednosti</v>
      </c>
      <c r="C58" s="562"/>
      <c r="D58" s="562"/>
      <c r="E58" s="562"/>
      <c r="F58" s="562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50">
        <v>451</v>
      </c>
      <c r="B59" s="561" t="str">
        <f>+VLOOKUP($A59,Master!$D$30:$G$226,4,FALSE)</f>
        <v>Pozajmice i krediti</v>
      </c>
      <c r="C59" s="562"/>
      <c r="D59" s="562"/>
      <c r="E59" s="562"/>
      <c r="F59" s="562"/>
      <c r="G59" s="459">
        <v>5063275.62</v>
      </c>
      <c r="H59" s="459">
        <v>1133077.69</v>
      </c>
      <c r="I59" s="459">
        <v>130819.33</v>
      </c>
      <c r="J59" s="459">
        <v>464635.33</v>
      </c>
      <c r="K59" s="459">
        <v>722142.79</v>
      </c>
      <c r="L59" s="459">
        <v>956574.97</v>
      </c>
      <c r="M59" s="459">
        <v>271871.64</v>
      </c>
      <c r="N59" s="459">
        <v>12519446.189999999</v>
      </c>
      <c r="O59" s="459">
        <v>36205.230000000003</v>
      </c>
      <c r="P59" s="459">
        <v>1061879.26</v>
      </c>
      <c r="Q59" s="459">
        <v>245090.2</v>
      </c>
      <c r="R59" s="459">
        <v>516876.49</v>
      </c>
      <c r="S59" s="249">
        <f>SUM(G59:R59)</f>
        <v>23121894.740000002</v>
      </c>
      <c r="T59" s="472"/>
      <c r="V59" s="291"/>
    </row>
    <row r="60" spans="1:22" ht="13.5" thickBot="1">
      <c r="A60" s="144">
        <v>1002</v>
      </c>
      <c r="B60" s="543" t="str">
        <f>+VLOOKUP($A60,Master!$D$30:$G$226,4,FALSE)</f>
        <v>Nedostajuća sredstva</v>
      </c>
      <c r="C60" s="544"/>
      <c r="D60" s="544"/>
      <c r="E60" s="544"/>
      <c r="F60" s="544"/>
      <c r="G60" s="217">
        <f>+G53-G55-G58-G59</f>
        <v>-61271602.81000001</v>
      </c>
      <c r="H60" s="217">
        <f t="shared" ref="H60:S60" si="12">+H53-H55-H58-H59</f>
        <v>-42334142.380000032</v>
      </c>
      <c r="I60" s="217">
        <f t="shared" si="12"/>
        <v>19773924.69000002</v>
      </c>
      <c r="J60" s="217">
        <f t="shared" si="12"/>
        <v>-80679088.739999905</v>
      </c>
      <c r="K60" s="217">
        <f t="shared" si="12"/>
        <v>-31909236.520000011</v>
      </c>
      <c r="L60" s="217">
        <f t="shared" si="12"/>
        <v>-35404405.57000003</v>
      </c>
      <c r="M60" s="217">
        <f t="shared" si="12"/>
        <v>-43279692.560000002</v>
      </c>
      <c r="N60" s="217">
        <f t="shared" si="12"/>
        <v>19689613.629999943</v>
      </c>
      <c r="O60" s="217">
        <f t="shared" si="12"/>
        <v>-38035996.949999958</v>
      </c>
      <c r="P60" s="217">
        <f t="shared" si="12"/>
        <v>-26618944.029999997</v>
      </c>
      <c r="Q60" s="217">
        <f t="shared" si="12"/>
        <v>-97663650.139999971</v>
      </c>
      <c r="R60" s="217">
        <f t="shared" si="12"/>
        <v>-175018531.01000005</v>
      </c>
      <c r="S60" s="249">
        <f t="shared" si="12"/>
        <v>-592751752.38999999</v>
      </c>
      <c r="T60" s="473">
        <f t="shared" si="3"/>
        <v>-10.225568250786948</v>
      </c>
      <c r="V60" s="291"/>
    </row>
    <row r="61" spans="1:22" ht="13.5" thickBot="1">
      <c r="A61" s="144">
        <v>1003</v>
      </c>
      <c r="B61" s="545" t="str">
        <f>+VLOOKUP($A61,Master!$D$30:$G$226,4,FALSE)</f>
        <v>Finansiranje</v>
      </c>
      <c r="C61" s="546"/>
      <c r="D61" s="546"/>
      <c r="E61" s="546"/>
      <c r="F61" s="546"/>
      <c r="G61" s="151">
        <f>+SUM(G62:G66)</f>
        <v>61271602.810000002</v>
      </c>
      <c r="H61" s="151">
        <f t="shared" ref="H61:R61" si="13">+SUM(H62:H66)</f>
        <v>42334142.380000032</v>
      </c>
      <c r="I61" s="151">
        <f t="shared" si="13"/>
        <v>-19773924.69000002</v>
      </c>
      <c r="J61" s="151">
        <f t="shared" si="13"/>
        <v>80679088.739999905</v>
      </c>
      <c r="K61" s="151">
        <f t="shared" si="13"/>
        <v>31909236.520000011</v>
      </c>
      <c r="L61" s="151">
        <f t="shared" si="13"/>
        <v>35404405.57000003</v>
      </c>
      <c r="M61" s="151">
        <f t="shared" si="13"/>
        <v>43279692.560000002</v>
      </c>
      <c r="N61" s="151">
        <f t="shared" si="13"/>
        <v>-19689613.629999943</v>
      </c>
      <c r="O61" s="151">
        <f t="shared" si="13"/>
        <v>38035996.949999958</v>
      </c>
      <c r="P61" s="151">
        <f t="shared" si="13"/>
        <v>26618944.029999997</v>
      </c>
      <c r="Q61" s="151">
        <f t="shared" si="13"/>
        <v>97663650.139999971</v>
      </c>
      <c r="R61" s="151">
        <f t="shared" si="13"/>
        <v>175018531.01000005</v>
      </c>
      <c r="S61" s="252">
        <f t="shared" si="4"/>
        <v>592751752.38999987</v>
      </c>
      <c r="T61" s="474">
        <f t="shared" si="3"/>
        <v>10.225568250786946</v>
      </c>
      <c r="V61" s="291"/>
    </row>
    <row r="62" spans="1:22">
      <c r="A62" s="144">
        <v>7511</v>
      </c>
      <c r="B62" s="539" t="str">
        <f>+VLOOKUP($A62,Master!$D$30:$G$226,4,FALSE)</f>
        <v>Pozajmice i krediti od domaćih izvora</v>
      </c>
      <c r="C62" s="540"/>
      <c r="D62" s="540"/>
      <c r="E62" s="540"/>
      <c r="F62" s="540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52000000</v>
      </c>
      <c r="R62" s="211">
        <v>53000000</v>
      </c>
      <c r="S62" s="250">
        <f t="shared" si="4"/>
        <v>105000000</v>
      </c>
      <c r="T62" s="471">
        <f t="shared" si="3"/>
        <v>1.8113563764315967</v>
      </c>
      <c r="V62" s="291"/>
    </row>
    <row r="63" spans="1:22">
      <c r="A63" s="144">
        <v>7512</v>
      </c>
      <c r="B63" s="539" t="str">
        <f>+VLOOKUP($A63,Master!$D$30:$G$226,4,FALSE)</f>
        <v>Pozajmice i krediti od inostranih izvora</v>
      </c>
      <c r="C63" s="540"/>
      <c r="D63" s="540"/>
      <c r="E63" s="540"/>
      <c r="F63" s="540"/>
      <c r="G63" s="211">
        <v>17854744.760000002</v>
      </c>
      <c r="H63" s="211">
        <v>11882727.800000001</v>
      </c>
      <c r="I63" s="211">
        <v>1402734.23</v>
      </c>
      <c r="J63" s="211">
        <v>8517591.6899999995</v>
      </c>
      <c r="K63" s="211">
        <v>11751788.779999999</v>
      </c>
      <c r="L63" s="211">
        <v>22366566.559999999</v>
      </c>
      <c r="M63" s="211">
        <v>8724081.3399999999</v>
      </c>
      <c r="N63" s="211">
        <v>15376543.26</v>
      </c>
      <c r="O63" s="211">
        <v>2997713.2</v>
      </c>
      <c r="P63" s="211">
        <v>885932.07</v>
      </c>
      <c r="Q63" s="211">
        <v>1836262.97</v>
      </c>
      <c r="R63" s="211">
        <v>7590650.9500000002</v>
      </c>
      <c r="S63" s="250">
        <f t="shared" si="4"/>
        <v>111187337.61000001</v>
      </c>
      <c r="T63" s="471">
        <f t="shared" si="3"/>
        <v>1.9180942186507259</v>
      </c>
      <c r="V63" s="291"/>
    </row>
    <row r="64" spans="1:22">
      <c r="A64" s="144">
        <v>72</v>
      </c>
      <c r="B64" s="523" t="str">
        <f>+VLOOKUP($A64,Master!$D$30:$G$226,4,FALSE)</f>
        <v>Primici od prodaje imovine</v>
      </c>
      <c r="C64" s="524"/>
      <c r="D64" s="524"/>
      <c r="E64" s="524"/>
      <c r="F64" s="524"/>
      <c r="G64" s="211">
        <v>710212.98</v>
      </c>
      <c r="H64" s="211">
        <v>70539.22</v>
      </c>
      <c r="I64" s="211">
        <v>383792.48</v>
      </c>
      <c r="J64" s="211">
        <v>766267.74</v>
      </c>
      <c r="K64" s="211">
        <v>26413.63</v>
      </c>
      <c r="L64" s="211">
        <v>243495.38999999998</v>
      </c>
      <c r="M64" s="211">
        <v>209628.7</v>
      </c>
      <c r="N64" s="211">
        <v>313064.5</v>
      </c>
      <c r="O64" s="211">
        <v>705089.56</v>
      </c>
      <c r="P64" s="211">
        <v>574867.06000000006</v>
      </c>
      <c r="Q64" s="211">
        <v>363375.9</v>
      </c>
      <c r="R64" s="211">
        <v>148667.54</v>
      </c>
      <c r="S64" s="250">
        <f t="shared" si="4"/>
        <v>4515414.7</v>
      </c>
      <c r="T64" s="471">
        <f t="shared" si="3"/>
        <v>7.7895478181694913E-2</v>
      </c>
      <c r="V64" s="291"/>
    </row>
    <row r="65" spans="1:22">
      <c r="A65" s="144">
        <v>73</v>
      </c>
      <c r="B65" s="523" t="s">
        <v>101</v>
      </c>
      <c r="C65" s="524"/>
      <c r="D65" s="524"/>
      <c r="E65" s="524"/>
      <c r="F65" s="524"/>
      <c r="G65" s="211">
        <v>78071.73</v>
      </c>
      <c r="H65" s="211">
        <v>522875.5</v>
      </c>
      <c r="I65" s="211">
        <v>671874.17</v>
      </c>
      <c r="J65" s="211">
        <v>2383498.4</v>
      </c>
      <c r="K65" s="211">
        <v>848688.86</v>
      </c>
      <c r="L65" s="211">
        <v>3642096.41</v>
      </c>
      <c r="M65" s="211">
        <v>215690.69</v>
      </c>
      <c r="N65" s="211">
        <v>2452206.16</v>
      </c>
      <c r="O65" s="211">
        <v>1142900.81</v>
      </c>
      <c r="P65" s="211">
        <v>327625.15999999997</v>
      </c>
      <c r="Q65" s="211">
        <v>947680.03</v>
      </c>
      <c r="R65" s="211">
        <v>1811357.71</v>
      </c>
      <c r="S65" s="250">
        <f t="shared" si="4"/>
        <v>15044565.630000003</v>
      </c>
      <c r="T65" s="471">
        <f t="shared" si="3"/>
        <v>0.2595339989004205</v>
      </c>
      <c r="V65" s="291"/>
    </row>
    <row r="66" spans="1:22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42628573.340000004</v>
      </c>
      <c r="H66" s="225">
        <f t="shared" ref="H66:S66" si="14">-H60-SUM(H62:H65)</f>
        <v>29857999.860000029</v>
      </c>
      <c r="I66" s="225">
        <f t="shared" si="14"/>
        <v>-22232325.570000019</v>
      </c>
      <c r="J66" s="225">
        <f t="shared" si="14"/>
        <v>69011730.909999907</v>
      </c>
      <c r="K66" s="225">
        <f t="shared" si="14"/>
        <v>19282345.250000011</v>
      </c>
      <c r="L66" s="225">
        <f t="shared" si="14"/>
        <v>9152247.2100000307</v>
      </c>
      <c r="M66" s="225">
        <f t="shared" si="14"/>
        <v>34130291.830000006</v>
      </c>
      <c r="N66" s="225">
        <f t="shared" si="14"/>
        <v>-37831427.549999945</v>
      </c>
      <c r="O66" s="225">
        <f t="shared" si="14"/>
        <v>33190293.379999958</v>
      </c>
      <c r="P66" s="225">
        <f t="shared" si="14"/>
        <v>24830519.739999998</v>
      </c>
      <c r="Q66" s="225">
        <f t="shared" si="14"/>
        <v>42516331.239999972</v>
      </c>
      <c r="R66" s="225">
        <f t="shared" si="14"/>
        <v>112467854.81000005</v>
      </c>
      <c r="S66" s="225">
        <f t="shared" si="14"/>
        <v>357004434.44999999</v>
      </c>
      <c r="T66" s="475">
        <f t="shared" si="3"/>
        <v>6.1586881786225094</v>
      </c>
      <c r="V66" s="291"/>
    </row>
    <row r="67" spans="1:22">
      <c r="R67" s="312"/>
      <c r="V67" s="291"/>
    </row>
    <row r="68" spans="1:22">
      <c r="V68" s="291"/>
    </row>
    <row r="69" spans="1:22" hidden="1">
      <c r="G69" s="311"/>
      <c r="V69" s="291"/>
    </row>
    <row r="70" spans="1:22" ht="9" hidden="1" customHeight="1">
      <c r="V70" s="291"/>
    </row>
    <row r="71" spans="1:22" hidden="1">
      <c r="V71" s="291"/>
    </row>
    <row r="72" spans="1:22" hidden="1">
      <c r="V72" s="291"/>
    </row>
    <row r="73" spans="1:22" hidden="1">
      <c r="V73" s="291"/>
    </row>
    <row r="74" spans="1:22" hidden="1">
      <c r="V74" s="291"/>
    </row>
    <row r="75" spans="1:22" hidden="1">
      <c r="V75" s="291"/>
    </row>
    <row r="76" spans="1:22" hidden="1">
      <c r="V76" s="291"/>
    </row>
    <row r="77" spans="1:22">
      <c r="V77" s="291"/>
    </row>
    <row r="79" spans="1:22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15">+CONCATENATE(G6,"p")</f>
        <v>2022-01p</v>
      </c>
      <c r="H82" s="68" t="str">
        <f t="shared" si="15"/>
        <v>2022-02p</v>
      </c>
      <c r="I82" s="68" t="str">
        <f t="shared" si="15"/>
        <v>2022-03p</v>
      </c>
      <c r="J82" s="68" t="str">
        <f t="shared" si="15"/>
        <v>2022-04p</v>
      </c>
      <c r="K82" s="68" t="str">
        <f t="shared" si="15"/>
        <v>2022-05p</v>
      </c>
      <c r="L82" s="68" t="str">
        <f t="shared" si="15"/>
        <v>2022-06p</v>
      </c>
      <c r="M82" s="68" t="str">
        <f t="shared" si="15"/>
        <v>2022-07p</v>
      </c>
      <c r="N82" s="68" t="str">
        <f t="shared" si="15"/>
        <v>2022-08p</v>
      </c>
      <c r="O82" s="68" t="str">
        <f t="shared" si="15"/>
        <v>2022-09p</v>
      </c>
      <c r="P82" s="68" t="str">
        <f t="shared" si="15"/>
        <v>2022-10p</v>
      </c>
      <c r="Q82" s="68" t="str">
        <f t="shared" si="15"/>
        <v>2022-11p</v>
      </c>
      <c r="R82" s="68" t="str">
        <f t="shared" si="15"/>
        <v>2022-12p</v>
      </c>
    </row>
    <row r="83" spans="1:26" ht="15.75" customHeight="1" thickBot="1">
      <c r="B83" s="595" t="str">
        <f>+Master!G253</f>
        <v>Plan ostvarenja budžeta</v>
      </c>
      <c r="C83" s="596"/>
      <c r="D83" s="596"/>
      <c r="E83" s="596"/>
      <c r="F83" s="596"/>
      <c r="G83" s="580">
        <v>2022</v>
      </c>
      <c r="H83" s="581"/>
      <c r="I83" s="581"/>
      <c r="J83" s="581"/>
      <c r="K83" s="581"/>
      <c r="L83" s="581"/>
      <c r="M83" s="581"/>
      <c r="N83" s="581"/>
      <c r="O83" s="581"/>
      <c r="P83" s="581"/>
      <c r="Q83" s="581"/>
      <c r="R83" s="582"/>
      <c r="S83" s="107" t="str">
        <f>+S7</f>
        <v>BDP</v>
      </c>
      <c r="T83" s="108">
        <v>5700400000</v>
      </c>
    </row>
    <row r="84" spans="1:26" ht="15.75" customHeight="1">
      <c r="B84" s="597"/>
      <c r="C84" s="598"/>
      <c r="D84" s="598"/>
      <c r="E84" s="598"/>
      <c r="F84" s="599"/>
      <c r="G84" s="71" t="str">
        <f t="shared" ref="G84:R84" si="16">+G8</f>
        <v>Januar</v>
      </c>
      <c r="H84" s="71" t="str">
        <f t="shared" si="16"/>
        <v>Februar</v>
      </c>
      <c r="I84" s="71" t="str">
        <f t="shared" si="16"/>
        <v>Mart</v>
      </c>
      <c r="J84" s="71" t="str">
        <f t="shared" si="16"/>
        <v>April</v>
      </c>
      <c r="K84" s="71" t="str">
        <f t="shared" si="16"/>
        <v>Maj</v>
      </c>
      <c r="L84" s="71" t="str">
        <f t="shared" si="16"/>
        <v>Jun</v>
      </c>
      <c r="M84" s="71" t="str">
        <f t="shared" si="16"/>
        <v>Jul</v>
      </c>
      <c r="N84" s="71" t="str">
        <f t="shared" si="16"/>
        <v>Avgust</v>
      </c>
      <c r="O84" s="71" t="str">
        <f t="shared" si="16"/>
        <v>Septembar</v>
      </c>
      <c r="P84" s="71" t="str">
        <f t="shared" si="16"/>
        <v>Oktobar</v>
      </c>
      <c r="Q84" s="71" t="str">
        <f t="shared" si="16"/>
        <v>Novembar</v>
      </c>
      <c r="R84" s="71" t="str">
        <f t="shared" si="16"/>
        <v>Decembar</v>
      </c>
      <c r="S84" s="580" t="str">
        <f>+Master!G247</f>
        <v>Jan - Dec</v>
      </c>
      <c r="T84" s="582">
        <f>+T8</f>
        <v>0</v>
      </c>
    </row>
    <row r="85" spans="1:26" ht="13.5" thickBot="1">
      <c r="B85" s="600"/>
      <c r="C85" s="601"/>
      <c r="D85" s="601"/>
      <c r="E85" s="601"/>
      <c r="F85" s="602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17">+CONCATENATE(A10,"p")</f>
        <v>7p</v>
      </c>
      <c r="B86" s="589" t="str">
        <f>+VLOOKUP(LEFT($A86,LEN(A86)-1)*1,Master!$D$30:$G$226,4,FALSE)</f>
        <v>Prihodi budžeta</v>
      </c>
      <c r="C86" s="590"/>
      <c r="D86" s="590"/>
      <c r="E86" s="590"/>
      <c r="F86" s="590"/>
      <c r="G86" s="93">
        <f t="shared" ref="G86:Q86" si="18">+G87+G95+SUM(G100:G104)</f>
        <v>107815206.69999999</v>
      </c>
      <c r="H86" s="93">
        <f t="shared" si="18"/>
        <v>124649774.65000001</v>
      </c>
      <c r="I86" s="93">
        <f t="shared" si="18"/>
        <v>184180987.21000001</v>
      </c>
      <c r="J86" s="93">
        <f t="shared" si="18"/>
        <v>181957324.32000002</v>
      </c>
      <c r="K86" s="93">
        <f t="shared" si="18"/>
        <v>154730235.27000001</v>
      </c>
      <c r="L86" s="93">
        <f t="shared" si="18"/>
        <v>169061326.09000003</v>
      </c>
      <c r="M86" s="93">
        <f t="shared" si="18"/>
        <v>165802775.70999998</v>
      </c>
      <c r="N86" s="93">
        <f t="shared" si="18"/>
        <v>194390474.26999995</v>
      </c>
      <c r="O86" s="93">
        <f t="shared" si="18"/>
        <v>175603806.03</v>
      </c>
      <c r="P86" s="93">
        <f t="shared" si="18"/>
        <v>140445093.07000002</v>
      </c>
      <c r="Q86" s="93">
        <f t="shared" si="18"/>
        <v>136281404.65000004</v>
      </c>
      <c r="R86" s="93">
        <f>+R87+R95+SUM(R100:R104)</f>
        <v>196108732.88999999</v>
      </c>
      <c r="S86" s="452">
        <f>+SUM(G86:R86)</f>
        <v>1931027140.8600001</v>
      </c>
      <c r="T86" s="476">
        <f>+S86/$T$83*100</f>
        <v>33.875291924426357</v>
      </c>
      <c r="U86" s="258"/>
    </row>
    <row r="87" spans="1:26">
      <c r="A87" s="116" t="str">
        <f t="shared" si="17"/>
        <v>711p</v>
      </c>
      <c r="B87" s="591" t="str">
        <f>+VLOOKUP(LEFT($A87,LEN(A87)-1)*1,Master!$D$30:$G$226,4,FALSE)</f>
        <v>Porezi</v>
      </c>
      <c r="C87" s="592"/>
      <c r="D87" s="592"/>
      <c r="E87" s="592"/>
      <c r="F87" s="592"/>
      <c r="G87" s="79">
        <f t="shared" ref="G87:R87" si="19">+SUM(G88:G94)</f>
        <v>80559495.530000001</v>
      </c>
      <c r="H87" s="79">
        <f t="shared" si="19"/>
        <v>83215985.099999994</v>
      </c>
      <c r="I87" s="79">
        <f t="shared" si="19"/>
        <v>136363333.32000002</v>
      </c>
      <c r="J87" s="79">
        <f t="shared" si="19"/>
        <v>133978505.54000001</v>
      </c>
      <c r="K87" s="79">
        <f t="shared" si="19"/>
        <v>112630389.3</v>
      </c>
      <c r="L87" s="79">
        <f t="shared" si="19"/>
        <v>115551273.18000002</v>
      </c>
      <c r="M87" s="79">
        <f t="shared" si="19"/>
        <v>118591394.48</v>
      </c>
      <c r="N87" s="79">
        <f t="shared" si="19"/>
        <v>138239036.15999997</v>
      </c>
      <c r="O87" s="79">
        <f t="shared" si="19"/>
        <v>121261181.33999999</v>
      </c>
      <c r="P87" s="79">
        <f t="shared" si="19"/>
        <v>82469774.326666653</v>
      </c>
      <c r="Q87" s="79">
        <f t="shared" si="19"/>
        <v>76569750.026666671</v>
      </c>
      <c r="R87" s="80">
        <f t="shared" si="19"/>
        <v>98169750.026666671</v>
      </c>
      <c r="S87" s="111">
        <f t="shared" ref="S87:S139" si="20">+SUM(G87:R87)</f>
        <v>1297599868.3300002</v>
      </c>
      <c r="T87" s="462">
        <f t="shared" ref="T87:T140" si="21">+S87/$T$83*100</f>
        <v>22.763312545259986</v>
      </c>
      <c r="V87" s="311"/>
    </row>
    <row r="88" spans="1:26">
      <c r="A88" s="116" t="str">
        <f t="shared" si="17"/>
        <v>7111p</v>
      </c>
      <c r="B88" s="593" t="str">
        <f>+VLOOKUP(LEFT($A88,LEN(A88)-1)*1,Master!$D$30:$G$229,4,FALSE)</f>
        <v>Porez na dohodak fizičkih lica</v>
      </c>
      <c r="C88" s="594"/>
      <c r="D88" s="594"/>
      <c r="E88" s="594"/>
      <c r="F88" s="594"/>
      <c r="G88" s="87">
        <v>6139790.5700000003</v>
      </c>
      <c r="H88" s="87">
        <v>7672775.8099999996</v>
      </c>
      <c r="I88" s="87">
        <v>6664350.6399999997</v>
      </c>
      <c r="J88" s="87">
        <v>8050769.3899999997</v>
      </c>
      <c r="K88" s="87">
        <v>8176244.7699999996</v>
      </c>
      <c r="L88" s="87">
        <v>7322347.5800000001</v>
      </c>
      <c r="M88" s="87">
        <v>8156090.4900000002</v>
      </c>
      <c r="N88" s="87">
        <v>7377958</v>
      </c>
      <c r="O88" s="87">
        <v>5598868.9900000002</v>
      </c>
      <c r="P88" s="87">
        <v>7376898.6899999995</v>
      </c>
      <c r="Q88" s="87">
        <v>6576898.6899999995</v>
      </c>
      <c r="R88" s="87">
        <v>15676898.689999999</v>
      </c>
      <c r="S88" s="112">
        <f t="shared" si="20"/>
        <v>94789892.310000002</v>
      </c>
      <c r="T88" s="463">
        <f t="shared" si="21"/>
        <v>1.6628638746403763</v>
      </c>
      <c r="V88" s="311"/>
    </row>
    <row r="89" spans="1:26">
      <c r="A89" s="116" t="str">
        <f t="shared" si="17"/>
        <v>7112p</v>
      </c>
      <c r="B89" s="593" t="str">
        <f>+VLOOKUP(LEFT($A89,LEN(A89)-1)*1,Master!$D$30:$G$229,4,FALSE)</f>
        <v>Porez na dobit pravnih lica</v>
      </c>
      <c r="C89" s="594"/>
      <c r="D89" s="594"/>
      <c r="E89" s="594"/>
      <c r="F89" s="594"/>
      <c r="G89" s="87">
        <v>395935.5</v>
      </c>
      <c r="H89" s="87">
        <v>2173083.29</v>
      </c>
      <c r="I89" s="87">
        <v>38679260.32</v>
      </c>
      <c r="J89" s="87">
        <v>28771681.68</v>
      </c>
      <c r="K89" s="87">
        <v>2149499.0699999998</v>
      </c>
      <c r="L89" s="87">
        <v>3024620.31</v>
      </c>
      <c r="M89" s="87">
        <v>1873254.93</v>
      </c>
      <c r="N89" s="87">
        <v>2349199.71</v>
      </c>
      <c r="O89" s="87">
        <v>2622669.34</v>
      </c>
      <c r="P89" s="87">
        <v>448381.46333333803</v>
      </c>
      <c r="Q89" s="87">
        <v>348381.46333333803</v>
      </c>
      <c r="R89" s="87">
        <v>1448381.463333338</v>
      </c>
      <c r="S89" s="112">
        <f t="shared" si="20"/>
        <v>84284348.540000007</v>
      </c>
      <c r="T89" s="463">
        <f t="shared" si="21"/>
        <v>1.4785690221738825</v>
      </c>
      <c r="V89" s="311"/>
    </row>
    <row r="90" spans="1:26">
      <c r="A90" s="116" t="str">
        <f t="shared" si="17"/>
        <v>7113p</v>
      </c>
      <c r="B90" s="593" t="str">
        <f>+VLOOKUP(LEFT($A90,LEN(A90)-1)*1,Master!$D$30:$G$229,4,FALSE)</f>
        <v>Porez na promet nepokretnosti</v>
      </c>
      <c r="C90" s="594"/>
      <c r="D90" s="594"/>
      <c r="E90" s="594"/>
      <c r="F90" s="594"/>
      <c r="G90" s="87">
        <v>146340.34</v>
      </c>
      <c r="H90" s="87">
        <v>168193.65</v>
      </c>
      <c r="I90" s="87">
        <v>233459.66</v>
      </c>
      <c r="J90" s="87">
        <v>245580.28</v>
      </c>
      <c r="K90" s="87">
        <v>189584.64000000001</v>
      </c>
      <c r="L90" s="87">
        <v>263126.03999999998</v>
      </c>
      <c r="M90" s="87">
        <v>180172.4</v>
      </c>
      <c r="N90" s="87">
        <v>55084.76</v>
      </c>
      <c r="O90" s="87">
        <v>0</v>
      </c>
      <c r="P90" s="87">
        <v>24.3</v>
      </c>
      <c r="Q90" s="87">
        <v>0</v>
      </c>
      <c r="R90" s="87">
        <v>0</v>
      </c>
      <c r="S90" s="112">
        <f t="shared" si="20"/>
        <v>1481566.07</v>
      </c>
      <c r="T90" s="463">
        <f t="shared" si="21"/>
        <v>2.5990563293803944E-2</v>
      </c>
      <c r="V90" s="311"/>
    </row>
    <row r="91" spans="1:26">
      <c r="A91" s="116" t="str">
        <f t="shared" si="17"/>
        <v>7114p</v>
      </c>
      <c r="B91" s="593" t="str">
        <f>+VLOOKUP(LEFT($A91,LEN(A91)-1)*1,Master!$D$30:$G$229,4,FALSE)</f>
        <v>Porez na dodatu vrijednost</v>
      </c>
      <c r="C91" s="594"/>
      <c r="D91" s="594"/>
      <c r="E91" s="594"/>
      <c r="F91" s="594"/>
      <c r="G91" s="87">
        <v>50270008.859999999</v>
      </c>
      <c r="H91" s="87">
        <v>54121445.460000001</v>
      </c>
      <c r="I91" s="87">
        <v>67019753.909999996</v>
      </c>
      <c r="J91" s="87">
        <v>73487462.640000001</v>
      </c>
      <c r="K91" s="87">
        <v>76474660.090000004</v>
      </c>
      <c r="L91" s="87">
        <v>79678383.590000004</v>
      </c>
      <c r="M91" s="87">
        <v>83883709.769999996</v>
      </c>
      <c r="N91" s="87">
        <v>95638013.599999994</v>
      </c>
      <c r="O91" s="87">
        <v>84609670.859999999</v>
      </c>
      <c r="P91" s="87">
        <v>49878315.989999972</v>
      </c>
      <c r="Q91" s="87">
        <v>44878315.990000002</v>
      </c>
      <c r="R91" s="87">
        <v>54878315.990000002</v>
      </c>
      <c r="S91" s="112">
        <f t="shared" si="20"/>
        <v>814818056.75000012</v>
      </c>
      <c r="T91" s="463">
        <f t="shared" si="21"/>
        <v>14.294050535927305</v>
      </c>
      <c r="V91" s="311"/>
    </row>
    <row r="92" spans="1:26">
      <c r="A92" s="116" t="str">
        <f t="shared" si="17"/>
        <v>7115p</v>
      </c>
      <c r="B92" s="593" t="str">
        <f>+VLOOKUP(LEFT($A92,LEN(A92)-1)*1,Master!$D$30:$G$229,4,FALSE)</f>
        <v>Akcize</v>
      </c>
      <c r="C92" s="594"/>
      <c r="D92" s="594"/>
      <c r="E92" s="594"/>
      <c r="F92" s="594"/>
      <c r="G92" s="87">
        <v>21096875.199999999</v>
      </c>
      <c r="H92" s="87">
        <v>16062530.34</v>
      </c>
      <c r="I92" s="87">
        <v>19528829.140000001</v>
      </c>
      <c r="J92" s="87">
        <v>19259652.579999998</v>
      </c>
      <c r="K92" s="87">
        <v>21309575.899999999</v>
      </c>
      <c r="L92" s="87">
        <v>20484664.210000001</v>
      </c>
      <c r="M92" s="87">
        <v>19630528.800000001</v>
      </c>
      <c r="N92" s="87">
        <v>27418018.539999999</v>
      </c>
      <c r="O92" s="87">
        <v>23606498.559999999</v>
      </c>
      <c r="P92" s="87">
        <v>23617898.436666675</v>
      </c>
      <c r="Q92" s="87">
        <v>23617898.436666675</v>
      </c>
      <c r="R92" s="87">
        <v>25317898.436666675</v>
      </c>
      <c r="S92" s="112">
        <f t="shared" si="20"/>
        <v>260950868.58000001</v>
      </c>
      <c r="T92" s="463">
        <f t="shared" si="21"/>
        <v>4.577764167075995</v>
      </c>
      <c r="V92" s="311"/>
      <c r="X92" s="257"/>
      <c r="Y92" s="257"/>
      <c r="Z92" s="257"/>
    </row>
    <row r="93" spans="1:26">
      <c r="A93" s="116" t="str">
        <f t="shared" si="17"/>
        <v>7116p</v>
      </c>
      <c r="B93" s="593" t="str">
        <f>+VLOOKUP(LEFT($A93,LEN(A93)-1)*1,Master!$D$30:$G$229,4,FALSE)</f>
        <v>Porez na međunarodnu trgovinu i transakcije</v>
      </c>
      <c r="C93" s="594"/>
      <c r="D93" s="594"/>
      <c r="E93" s="594"/>
      <c r="F93" s="594"/>
      <c r="G93" s="87">
        <v>1689510.83</v>
      </c>
      <c r="H93" s="87">
        <v>2149003.6</v>
      </c>
      <c r="I93" s="87">
        <v>3284454.25</v>
      </c>
      <c r="J93" s="87">
        <v>3111315.33</v>
      </c>
      <c r="K93" s="87">
        <v>3394780.34</v>
      </c>
      <c r="L93" s="87">
        <v>3720198.33</v>
      </c>
      <c r="M93" s="87">
        <v>3648629.78</v>
      </c>
      <c r="N93" s="87">
        <v>4253554.42</v>
      </c>
      <c r="O93" s="87">
        <v>3769936.82</v>
      </c>
      <c r="P93" s="87">
        <v>215355.98999999961</v>
      </c>
      <c r="Q93" s="87">
        <v>215355.98999999961</v>
      </c>
      <c r="R93" s="87">
        <v>215355.98999999961</v>
      </c>
      <c r="S93" s="112">
        <f t="shared" si="20"/>
        <v>29667451.669999998</v>
      </c>
      <c r="T93" s="463">
        <f t="shared" si="21"/>
        <v>0.52044508578345383</v>
      </c>
      <c r="V93" s="311"/>
    </row>
    <row r="94" spans="1:26">
      <c r="A94" s="116" t="str">
        <f t="shared" si="17"/>
        <v>7118p</v>
      </c>
      <c r="B94" s="593" t="str">
        <f>+VLOOKUP(LEFT($A94,LEN(A94)-1)*1,Master!$D$30:$G$229,4,FALSE)</f>
        <v>Ostali državni porezi</v>
      </c>
      <c r="C94" s="594"/>
      <c r="D94" s="594"/>
      <c r="E94" s="594"/>
      <c r="F94" s="594"/>
      <c r="G94" s="87">
        <v>821034.23</v>
      </c>
      <c r="H94" s="87">
        <v>868952.95</v>
      </c>
      <c r="I94" s="87">
        <v>953225.4</v>
      </c>
      <c r="J94" s="87">
        <v>1052043.6399999999</v>
      </c>
      <c r="K94" s="87">
        <v>936044.49</v>
      </c>
      <c r="L94" s="87">
        <v>1057933.1200000001</v>
      </c>
      <c r="M94" s="87">
        <v>1219008.31</v>
      </c>
      <c r="N94" s="87">
        <v>1147207.1299999999</v>
      </c>
      <c r="O94" s="87">
        <v>1053536.77</v>
      </c>
      <c r="P94" s="87">
        <v>932899.45666666597</v>
      </c>
      <c r="Q94" s="87">
        <v>932899.45666666597</v>
      </c>
      <c r="R94" s="87">
        <v>632899.45666666597</v>
      </c>
      <c r="S94" s="112">
        <f t="shared" si="20"/>
        <v>11607684.409999996</v>
      </c>
      <c r="T94" s="463">
        <f t="shared" si="21"/>
        <v>0.2036292963651673</v>
      </c>
      <c r="V94" s="311"/>
    </row>
    <row r="95" spans="1:26">
      <c r="A95" s="116" t="str">
        <f t="shared" si="17"/>
        <v>712p</v>
      </c>
      <c r="B95" s="603" t="str">
        <f>+VLOOKUP(LEFT($A95,LEN(A95)-1)*1,Master!$D$30:$G$229,4,FALSE)</f>
        <v>Doprinosi</v>
      </c>
      <c r="C95" s="604"/>
      <c r="D95" s="604"/>
      <c r="E95" s="604"/>
      <c r="F95" s="604"/>
      <c r="G95" s="81">
        <f>+SUM(G96:G99)</f>
        <v>11731802.159999998</v>
      </c>
      <c r="H95" s="81">
        <f t="shared" ref="H95:R95" si="22">+SUM(H96:H99)</f>
        <v>34984293.990000002</v>
      </c>
      <c r="I95" s="479">
        <f t="shared" si="22"/>
        <v>37056759.600000001</v>
      </c>
      <c r="J95" s="81">
        <f t="shared" si="22"/>
        <v>37592490.479999997</v>
      </c>
      <c r="K95" s="81">
        <f t="shared" si="22"/>
        <v>33463530.389999997</v>
      </c>
      <c r="L95" s="81">
        <f t="shared" si="22"/>
        <v>37796292.359999999</v>
      </c>
      <c r="M95" s="81">
        <f t="shared" si="22"/>
        <v>36710432.280000001</v>
      </c>
      <c r="N95" s="81">
        <f t="shared" si="22"/>
        <v>39015024.850000001</v>
      </c>
      <c r="O95" s="81">
        <f t="shared" si="22"/>
        <v>38998261.349999994</v>
      </c>
      <c r="P95" s="81">
        <f t="shared" si="22"/>
        <v>46105466.860000037</v>
      </c>
      <c r="Q95" s="81">
        <f t="shared" si="22"/>
        <v>45141802.740000039</v>
      </c>
      <c r="R95" s="82">
        <f t="shared" si="22"/>
        <v>79469130.979999989</v>
      </c>
      <c r="S95" s="113">
        <f t="shared" si="20"/>
        <v>478065288.03999996</v>
      </c>
      <c r="T95" s="464">
        <f t="shared" si="21"/>
        <v>8.3865217886464105</v>
      </c>
      <c r="V95" s="311"/>
    </row>
    <row r="96" spans="1:26">
      <c r="A96" s="116" t="str">
        <f t="shared" si="17"/>
        <v>7121p</v>
      </c>
      <c r="B96" s="593" t="str">
        <f>+VLOOKUP(LEFT($A96,LEN(A96)-1)*1,Master!$D$30:$G$229,4,FALSE)</f>
        <v>Doprinosi za penzijsko i invalidsko osiguranje</v>
      </c>
      <c r="C96" s="594"/>
      <c r="D96" s="594"/>
      <c r="E96" s="594"/>
      <c r="F96" s="594"/>
      <c r="G96" s="87">
        <v>7550452.8499999996</v>
      </c>
      <c r="H96" s="87">
        <v>24366605.109999999</v>
      </c>
      <c r="I96" s="87">
        <v>31891479.559999999</v>
      </c>
      <c r="J96" s="87">
        <v>32988975.75</v>
      </c>
      <c r="K96" s="87">
        <v>29598378.829999998</v>
      </c>
      <c r="L96" s="87">
        <v>33851315.109999999</v>
      </c>
      <c r="M96" s="87">
        <v>32996526.960000001</v>
      </c>
      <c r="N96" s="87">
        <v>35394821.75</v>
      </c>
      <c r="O96" s="87">
        <v>35762026.799999997</v>
      </c>
      <c r="P96" s="87">
        <v>41374533.736666702</v>
      </c>
      <c r="Q96" s="87">
        <v>40410869.616666704</v>
      </c>
      <c r="R96" s="87">
        <v>72638197.856666654</v>
      </c>
      <c r="S96" s="112">
        <f t="shared" si="20"/>
        <v>418824183.93000007</v>
      </c>
      <c r="T96" s="463">
        <f t="shared" si="21"/>
        <v>7.3472771021331846</v>
      </c>
      <c r="V96" s="311"/>
      <c r="W96" s="311"/>
    </row>
    <row r="97" spans="1:23">
      <c r="A97" s="116" t="str">
        <f t="shared" si="17"/>
        <v>7122p</v>
      </c>
      <c r="B97" s="593" t="str">
        <f>+VLOOKUP(LEFT($A97,LEN(A97)-1)*1,Master!$D$30:$G$229,4,FALSE)</f>
        <v>Doprinosi za zdravstveno osiguranje</v>
      </c>
      <c r="C97" s="594"/>
      <c r="D97" s="594"/>
      <c r="E97" s="594"/>
      <c r="F97" s="594"/>
      <c r="G97" s="87">
        <v>3618221.62</v>
      </c>
      <c r="H97" s="87">
        <v>8815681.4700000007</v>
      </c>
      <c r="I97" s="87">
        <v>2582574.44</v>
      </c>
      <c r="J97" s="87">
        <v>1899377.01</v>
      </c>
      <c r="K97" s="87">
        <v>1480944.7</v>
      </c>
      <c r="L97" s="87">
        <v>1150315.93</v>
      </c>
      <c r="M97" s="87">
        <v>951006.28</v>
      </c>
      <c r="N97" s="87">
        <v>823067.88</v>
      </c>
      <c r="O97" s="87">
        <v>668162.97</v>
      </c>
      <c r="P97" s="87">
        <v>162054.15333333486</v>
      </c>
      <c r="Q97" s="87">
        <v>162054.15333333501</v>
      </c>
      <c r="R97" s="87">
        <v>162054.15333333486</v>
      </c>
      <c r="S97" s="112">
        <f t="shared" si="20"/>
        <v>22475514.760000005</v>
      </c>
      <c r="T97" s="463">
        <f t="shared" si="21"/>
        <v>0.39427960774682491</v>
      </c>
      <c r="V97" s="311"/>
    </row>
    <row r="98" spans="1:23">
      <c r="A98" s="116" t="str">
        <f t="shared" si="17"/>
        <v>7123p</v>
      </c>
      <c r="B98" s="593" t="str">
        <f>+VLOOKUP(LEFT($A98,LEN(A98)-1)*1,Master!$D$30:$G$229,4,FALSE)</f>
        <v>Doprinosi za osiguranje od nezaposlenosti</v>
      </c>
      <c r="C98" s="594"/>
      <c r="D98" s="594"/>
      <c r="E98" s="594"/>
      <c r="F98" s="594"/>
      <c r="G98" s="87">
        <v>333527.59999999998</v>
      </c>
      <c r="H98" s="87">
        <v>1107968.99</v>
      </c>
      <c r="I98" s="87">
        <v>1459655.88</v>
      </c>
      <c r="J98" s="87">
        <v>1501790.24</v>
      </c>
      <c r="K98" s="87">
        <v>1379492.12</v>
      </c>
      <c r="L98" s="87">
        <v>1561408.27</v>
      </c>
      <c r="M98" s="87">
        <v>1571588.31</v>
      </c>
      <c r="N98" s="87">
        <v>1597593.61</v>
      </c>
      <c r="O98" s="87">
        <v>1507262.14</v>
      </c>
      <c r="P98" s="87">
        <v>2577754.3266666699</v>
      </c>
      <c r="Q98" s="87">
        <v>2677754.3266666699</v>
      </c>
      <c r="R98" s="87">
        <v>3377754.3266666699</v>
      </c>
      <c r="S98" s="112">
        <f t="shared" si="20"/>
        <v>20653550.140000008</v>
      </c>
      <c r="T98" s="463">
        <f t="shared" si="21"/>
        <v>0.36231755911865848</v>
      </c>
      <c r="V98" s="311"/>
    </row>
    <row r="99" spans="1:23">
      <c r="A99" s="116" t="str">
        <f t="shared" si="17"/>
        <v>7124p</v>
      </c>
      <c r="B99" s="593" t="str">
        <f>+VLOOKUP(LEFT($A99,LEN(A99)-1)*1,Master!$D$30:$G$229,4,FALSE)</f>
        <v>Ostali doprinosi</v>
      </c>
      <c r="C99" s="594"/>
      <c r="D99" s="594"/>
      <c r="E99" s="594"/>
      <c r="F99" s="594"/>
      <c r="G99" s="87">
        <v>229600.09</v>
      </c>
      <c r="H99" s="87">
        <v>694038.42</v>
      </c>
      <c r="I99" s="87">
        <v>1123049.72</v>
      </c>
      <c r="J99" s="87">
        <v>1202347.48</v>
      </c>
      <c r="K99" s="87">
        <v>1004714.74</v>
      </c>
      <c r="L99" s="87">
        <v>1233253.05</v>
      </c>
      <c r="M99" s="87">
        <v>1191310.73</v>
      </c>
      <c r="N99" s="87">
        <v>1199541.6100000001</v>
      </c>
      <c r="O99" s="87">
        <v>1060809.44</v>
      </c>
      <c r="P99" s="87">
        <v>1991124.6433333298</v>
      </c>
      <c r="Q99" s="87">
        <v>1891124.6433333298</v>
      </c>
      <c r="R99" s="87">
        <v>3291124.6433333298</v>
      </c>
      <c r="S99" s="112">
        <f t="shared" si="20"/>
        <v>16112039.209999993</v>
      </c>
      <c r="T99" s="463">
        <f t="shared" si="21"/>
        <v>0.28264751964774393</v>
      </c>
      <c r="V99" s="311"/>
    </row>
    <row r="100" spans="1:23">
      <c r="A100" s="116" t="str">
        <f t="shared" si="17"/>
        <v>713p</v>
      </c>
      <c r="B100" s="603" t="str">
        <f>+VLOOKUP(LEFT($A100,LEN(A100)-1)*1,Master!$D$30:$G$229,4,FALSE)</f>
        <v>Takse</v>
      </c>
      <c r="C100" s="604"/>
      <c r="D100" s="604"/>
      <c r="E100" s="604"/>
      <c r="F100" s="604"/>
      <c r="G100" s="83">
        <v>635258.53</v>
      </c>
      <c r="H100" s="83">
        <v>808672.01</v>
      </c>
      <c r="I100" s="83">
        <v>976895.25</v>
      </c>
      <c r="J100" s="83">
        <v>1014885.9700000001</v>
      </c>
      <c r="K100" s="83">
        <v>989967.5199999999</v>
      </c>
      <c r="L100" s="83">
        <v>1292686.0099999998</v>
      </c>
      <c r="M100" s="83">
        <v>1450241.7799999998</v>
      </c>
      <c r="N100" s="83">
        <v>1794328.3</v>
      </c>
      <c r="O100" s="83">
        <v>1183872.1599999999</v>
      </c>
      <c r="P100" s="83">
        <v>1076581.8733333331</v>
      </c>
      <c r="Q100" s="83">
        <v>876581.87333333003</v>
      </c>
      <c r="R100" s="83">
        <v>1276581.87333333</v>
      </c>
      <c r="S100" s="113">
        <f t="shared" si="20"/>
        <v>13376553.149999993</v>
      </c>
      <c r="T100" s="464">
        <f t="shared" si="21"/>
        <v>0.23465990369096892</v>
      </c>
      <c r="V100" s="311"/>
    </row>
    <row r="101" spans="1:23">
      <c r="A101" s="116" t="str">
        <f t="shared" si="17"/>
        <v>714p</v>
      </c>
      <c r="B101" s="603" t="str">
        <f>+VLOOKUP(LEFT($A101,LEN(A101)-1)*1,Master!$D$30:$G$229,4,FALSE)</f>
        <v>Naknade</v>
      </c>
      <c r="C101" s="604"/>
      <c r="D101" s="604"/>
      <c r="E101" s="604"/>
      <c r="F101" s="604"/>
      <c r="G101" s="83">
        <v>12538803.32</v>
      </c>
      <c r="H101" s="83">
        <v>2358745.7999999998</v>
      </c>
      <c r="I101" s="83">
        <v>2432089.7200000002</v>
      </c>
      <c r="J101" s="83">
        <v>3083781.29</v>
      </c>
      <c r="K101" s="83">
        <v>2678608.52</v>
      </c>
      <c r="L101" s="83">
        <v>4570368.01</v>
      </c>
      <c r="M101" s="83">
        <v>3736951.12</v>
      </c>
      <c r="N101" s="83">
        <v>3318573.4699999997</v>
      </c>
      <c r="O101" s="83">
        <v>9160845.5500000007</v>
      </c>
      <c r="P101" s="83">
        <v>3515025.5066666701</v>
      </c>
      <c r="Q101" s="83">
        <v>3115025.5066666701</v>
      </c>
      <c r="R101" s="83">
        <v>4215025.5066666696</v>
      </c>
      <c r="S101" s="113">
        <f t="shared" si="20"/>
        <v>54723843.32</v>
      </c>
      <c r="T101" s="464">
        <f t="shared" si="21"/>
        <v>0.96000005824152701</v>
      </c>
      <c r="V101" s="311"/>
    </row>
    <row r="102" spans="1:23">
      <c r="A102" s="116" t="str">
        <f t="shared" si="17"/>
        <v>715p</v>
      </c>
      <c r="B102" s="603" t="str">
        <f>+VLOOKUP(LEFT($A102,LEN(A102)-1)*1,Master!$D$30:$G$229,4,FALSE)</f>
        <v>Ostali prihodi</v>
      </c>
      <c r="C102" s="604"/>
      <c r="D102" s="604"/>
      <c r="E102" s="604"/>
      <c r="F102" s="604"/>
      <c r="G102" s="83">
        <v>1280630.6100000001</v>
      </c>
      <c r="H102" s="83">
        <v>1589565.7</v>
      </c>
      <c r="I102" s="83">
        <v>1733963.47</v>
      </c>
      <c r="J102" s="83">
        <v>3432683.27</v>
      </c>
      <c r="K102" s="83">
        <v>3422423.95</v>
      </c>
      <c r="L102" s="83">
        <v>2748963.77</v>
      </c>
      <c r="M102" s="83">
        <v>3152431.28</v>
      </c>
      <c r="N102" s="83">
        <v>3601917.47</v>
      </c>
      <c r="O102" s="83">
        <v>2166236.2000000002</v>
      </c>
      <c r="P102" s="83">
        <v>2305486.89</v>
      </c>
      <c r="Q102" s="83">
        <v>2005486.8900000001</v>
      </c>
      <c r="R102" s="83">
        <v>3205486.89</v>
      </c>
      <c r="S102" s="113">
        <f t="shared" si="20"/>
        <v>30645276.390000001</v>
      </c>
      <c r="T102" s="464">
        <f t="shared" si="21"/>
        <v>0.53759870167005819</v>
      </c>
      <c r="V102" s="311"/>
    </row>
    <row r="103" spans="1:23">
      <c r="A103" s="116" t="str">
        <f t="shared" si="17"/>
        <v>73p</v>
      </c>
      <c r="B103" s="603" t="str">
        <f>+VLOOKUP(LEFT($A103,LEN(A103)-1)*1,Master!$D$30:$G$229,4,FALSE)</f>
        <v>Primici od otplate kredita i sredstva prenesena iz prethodne godine</v>
      </c>
      <c r="C103" s="604"/>
      <c r="D103" s="604"/>
      <c r="E103" s="604"/>
      <c r="F103" s="604"/>
      <c r="G103" s="83">
        <v>124509.95</v>
      </c>
      <c r="H103" s="83">
        <v>574574.73</v>
      </c>
      <c r="I103" s="83">
        <v>672855.19</v>
      </c>
      <c r="J103" s="83">
        <v>750452.36</v>
      </c>
      <c r="K103" s="83">
        <v>894295.88</v>
      </c>
      <c r="L103" s="83">
        <v>3753999.56</v>
      </c>
      <c r="M103" s="83">
        <v>308101.69</v>
      </c>
      <c r="N103" s="83">
        <v>1524959.660000002</v>
      </c>
      <c r="O103" s="83">
        <v>1144155.6099999999</v>
      </c>
      <c r="P103" s="83">
        <v>0</v>
      </c>
      <c r="Q103" s="83">
        <v>0</v>
      </c>
      <c r="R103" s="83">
        <v>0</v>
      </c>
      <c r="S103" s="113">
        <f t="shared" si="20"/>
        <v>9747904.6300000027</v>
      </c>
      <c r="T103" s="464">
        <f t="shared" si="21"/>
        <v>0.17100387043014531</v>
      </c>
      <c r="V103" s="311"/>
      <c r="W103" s="311"/>
    </row>
    <row r="104" spans="1:23" ht="13.5" thickBot="1">
      <c r="A104" s="116" t="str">
        <f t="shared" si="17"/>
        <v>74p</v>
      </c>
      <c r="B104" s="605" t="str">
        <f>+VLOOKUP(LEFT($A104,LEN(A104)-1)*1,Master!$D$30:$G$229,4,FALSE)</f>
        <v>Donacije i transferi</v>
      </c>
      <c r="C104" s="606"/>
      <c r="D104" s="606"/>
      <c r="E104" s="606"/>
      <c r="F104" s="606"/>
      <c r="G104" s="83">
        <v>944706.6</v>
      </c>
      <c r="H104" s="83">
        <v>1117937.32</v>
      </c>
      <c r="I104" s="83">
        <v>4945090.66</v>
      </c>
      <c r="J104" s="83">
        <v>2104525.41</v>
      </c>
      <c r="K104" s="83">
        <v>651019.71</v>
      </c>
      <c r="L104" s="83">
        <v>3347743.2</v>
      </c>
      <c r="M104" s="83">
        <v>1853223.08</v>
      </c>
      <c r="N104" s="83">
        <v>6896634.3600000003</v>
      </c>
      <c r="O104" s="83">
        <v>1689253.82</v>
      </c>
      <c r="P104" s="83">
        <v>4972757.6133333296</v>
      </c>
      <c r="Q104" s="83">
        <v>8572757.6133333296</v>
      </c>
      <c r="R104" s="83">
        <v>9772757.6133333296</v>
      </c>
      <c r="S104" s="114">
        <f t="shared" si="20"/>
        <v>46868406.999999985</v>
      </c>
      <c r="T104" s="465">
        <f t="shared" si="21"/>
        <v>0.82219505648726388</v>
      </c>
      <c r="V104" s="311"/>
    </row>
    <row r="105" spans="1:23" ht="13.5" thickBot="1">
      <c r="A105" s="116" t="str">
        <f t="shared" si="17"/>
        <v>4p</v>
      </c>
      <c r="B105" s="589" t="str">
        <f>+VLOOKUP(LEFT($A105,LEN(A105)-1)*1,Master!$D$30:$G$229,4,FALSE)</f>
        <v>Izdaci budžeta</v>
      </c>
      <c r="C105" s="590"/>
      <c r="D105" s="590"/>
      <c r="E105" s="590"/>
      <c r="F105" s="590"/>
      <c r="G105" s="93">
        <f t="shared" ref="G105:R105" si="23">+G106+G116+G122+SUM(G123:G127)</f>
        <v>135523250.91000003</v>
      </c>
      <c r="H105" s="93">
        <f t="shared" si="23"/>
        <v>150834089.17000002</v>
      </c>
      <c r="I105" s="93">
        <f t="shared" si="23"/>
        <v>152224116.23999998</v>
      </c>
      <c r="J105" s="93">
        <f t="shared" si="23"/>
        <v>202240908.68999994</v>
      </c>
      <c r="K105" s="93">
        <f t="shared" si="23"/>
        <v>146275241.75</v>
      </c>
      <c r="L105" s="93">
        <f t="shared" si="23"/>
        <v>179868475.11000001</v>
      </c>
      <c r="M105" s="93">
        <f t="shared" si="23"/>
        <v>178564947.84</v>
      </c>
      <c r="N105" s="93">
        <f t="shared" si="23"/>
        <v>147040975.11000001</v>
      </c>
      <c r="O105" s="93">
        <f t="shared" si="23"/>
        <v>202134465.49000001</v>
      </c>
      <c r="P105" s="93">
        <f t="shared" si="23"/>
        <v>289006911.81666666</v>
      </c>
      <c r="Q105" s="93">
        <f t="shared" si="23"/>
        <v>289006911.81666666</v>
      </c>
      <c r="R105" s="93">
        <f t="shared" si="23"/>
        <v>311543750.08666664</v>
      </c>
      <c r="S105" s="450">
        <f>+SUM(G105:R105)</f>
        <v>2384264044.0300002</v>
      </c>
      <c r="T105" s="477">
        <f t="shared" si="21"/>
        <v>41.826258578871659</v>
      </c>
      <c r="V105" s="291"/>
    </row>
    <row r="106" spans="1:23">
      <c r="A106" s="116" t="str">
        <f t="shared" si="17"/>
        <v>41p</v>
      </c>
      <c r="B106" s="607" t="str">
        <f>+VLOOKUP(LEFT($A106,LEN(A106)-1)*1,Master!$D$30:$G$229,4,FALSE)</f>
        <v>Tekući izdaci</v>
      </c>
      <c r="C106" s="608"/>
      <c r="D106" s="608"/>
      <c r="E106" s="608"/>
      <c r="F106" s="608"/>
      <c r="G106" s="85">
        <f t="shared" ref="G106:R106" si="24">+SUM(G107:G115)</f>
        <v>50898622.75</v>
      </c>
      <c r="H106" s="85">
        <f t="shared" si="24"/>
        <v>61674016.410000004</v>
      </c>
      <c r="I106" s="85">
        <f t="shared" si="24"/>
        <v>59813922.179999992</v>
      </c>
      <c r="J106" s="85">
        <f t="shared" si="24"/>
        <v>96816184.329999983</v>
      </c>
      <c r="K106" s="85">
        <f t="shared" si="24"/>
        <v>58712954.390000008</v>
      </c>
      <c r="L106" s="85">
        <f t="shared" si="24"/>
        <v>71887625.940000013</v>
      </c>
      <c r="M106" s="85">
        <f t="shared" si="24"/>
        <v>67839356.109999999</v>
      </c>
      <c r="N106" s="85">
        <f t="shared" si="24"/>
        <v>64016075.760000005</v>
      </c>
      <c r="O106" s="85">
        <f t="shared" si="24"/>
        <v>80374470.550000012</v>
      </c>
      <c r="P106" s="85">
        <f t="shared" si="24"/>
        <v>107720251.61000003</v>
      </c>
      <c r="Q106" s="85">
        <f t="shared" si="24"/>
        <v>107720251.61000003</v>
      </c>
      <c r="R106" s="86">
        <f t="shared" si="24"/>
        <v>130257088.88000003</v>
      </c>
      <c r="S106" s="111">
        <f t="shared" si="20"/>
        <v>957730820.51999998</v>
      </c>
      <c r="T106" s="462">
        <f t="shared" si="21"/>
        <v>16.801116071152901</v>
      </c>
      <c r="V106" s="291"/>
      <c r="W106" s="291"/>
    </row>
    <row r="107" spans="1:23">
      <c r="A107" s="116" t="str">
        <f t="shared" si="17"/>
        <v>411p</v>
      </c>
      <c r="B107" s="593" t="str">
        <f>+VLOOKUP(LEFT($A107,LEN(A107)-1)*1,Master!$D$30:$G$229,4,FALSE)</f>
        <v>Bruto zarade i doprinosi na teret poslodavca</v>
      </c>
      <c r="C107" s="594"/>
      <c r="D107" s="594"/>
      <c r="E107" s="594"/>
      <c r="F107" s="594"/>
      <c r="G107" s="87">
        <v>44240125.009999998</v>
      </c>
      <c r="H107" s="87">
        <v>44550830.43</v>
      </c>
      <c r="I107" s="87">
        <v>40375934.009999998</v>
      </c>
      <c r="J107" s="87">
        <v>46977114.019999973</v>
      </c>
      <c r="K107" s="87">
        <v>41754372.079999998</v>
      </c>
      <c r="L107" s="87">
        <v>47101871.300000019</v>
      </c>
      <c r="M107" s="87">
        <v>44920963.490000002</v>
      </c>
      <c r="N107" s="87">
        <v>43889720.369999997</v>
      </c>
      <c r="O107" s="87">
        <v>44535467.409999996</v>
      </c>
      <c r="P107" s="87">
        <v>53967463.813333347</v>
      </c>
      <c r="Q107" s="87">
        <v>53967463.813333347</v>
      </c>
      <c r="R107" s="87">
        <v>53967463.813333347</v>
      </c>
      <c r="S107" s="112">
        <f t="shared" si="20"/>
        <v>560248789.56000006</v>
      </c>
      <c r="T107" s="463">
        <f t="shared" si="21"/>
        <v>9.828236431829346</v>
      </c>
      <c r="V107" s="311"/>
    </row>
    <row r="108" spans="1:23">
      <c r="A108" s="116" t="str">
        <f t="shared" si="17"/>
        <v>412p</v>
      </c>
      <c r="B108" s="593" t="str">
        <f>+VLOOKUP(LEFT($A108,LEN(A108)-1)*1,Master!$D$30:$G$229,4,FALSE)</f>
        <v>Ostala lična primanja</v>
      </c>
      <c r="C108" s="594"/>
      <c r="D108" s="594"/>
      <c r="E108" s="594"/>
      <c r="F108" s="594"/>
      <c r="G108" s="87">
        <v>137001.32999999999</v>
      </c>
      <c r="H108" s="87">
        <v>1212395.8600000001</v>
      </c>
      <c r="I108" s="87">
        <v>946225.55</v>
      </c>
      <c r="J108" s="87">
        <v>1448549.91</v>
      </c>
      <c r="K108" s="87">
        <v>1078145.3399999999</v>
      </c>
      <c r="L108" s="87">
        <v>2203226.2300000004</v>
      </c>
      <c r="M108" s="87">
        <v>1651284.02</v>
      </c>
      <c r="N108" s="87">
        <v>1322412.92</v>
      </c>
      <c r="O108" s="87">
        <v>1530315.4199999992</v>
      </c>
      <c r="P108" s="87">
        <v>2596726.726666667</v>
      </c>
      <c r="Q108" s="87">
        <v>2596726.726666667</v>
      </c>
      <c r="R108" s="87">
        <v>2586888.726666667</v>
      </c>
      <c r="S108" s="112">
        <f t="shared" si="20"/>
        <v>19309898.760000002</v>
      </c>
      <c r="T108" s="463">
        <f t="shared" si="21"/>
        <v>0.33874638200828017</v>
      </c>
      <c r="V108" s="311"/>
    </row>
    <row r="109" spans="1:23">
      <c r="A109" s="116" t="str">
        <f t="shared" si="17"/>
        <v>413p</v>
      </c>
      <c r="B109" s="593" t="str">
        <f>+VLOOKUP(LEFT($A109,LEN(A109)-1)*1,Master!$D$30:$G$229,4,FALSE)</f>
        <v>Rashodi za materijal</v>
      </c>
      <c r="C109" s="594"/>
      <c r="D109" s="594"/>
      <c r="E109" s="594"/>
      <c r="F109" s="594"/>
      <c r="G109" s="87">
        <v>140825.03</v>
      </c>
      <c r="H109" s="87">
        <v>3489117.82</v>
      </c>
      <c r="I109" s="87">
        <v>2628375.67</v>
      </c>
      <c r="J109" s="87">
        <v>2038640.9</v>
      </c>
      <c r="K109" s="87">
        <v>1012773.5900000001</v>
      </c>
      <c r="L109" s="87">
        <v>4898255.55</v>
      </c>
      <c r="M109" s="87">
        <v>2338020.8000000012</v>
      </c>
      <c r="N109" s="87">
        <v>4632464.3099999996</v>
      </c>
      <c r="O109" s="87">
        <v>2320647.6999999997</v>
      </c>
      <c r="P109" s="87">
        <v>8236382.3600000003</v>
      </c>
      <c r="Q109" s="87">
        <v>8236382.3600000003</v>
      </c>
      <c r="R109" s="87">
        <v>8210640.7600000063</v>
      </c>
      <c r="S109" s="112">
        <f t="shared" si="20"/>
        <v>48182526.850000001</v>
      </c>
      <c r="T109" s="463">
        <f t="shared" si="21"/>
        <v>0.84524817293523258</v>
      </c>
      <c r="V109" s="311"/>
    </row>
    <row r="110" spans="1:23">
      <c r="A110" s="116" t="str">
        <f t="shared" si="17"/>
        <v>414p</v>
      </c>
      <c r="B110" s="593" t="str">
        <f>+VLOOKUP(LEFT($A110,LEN(A110)-1)*1,Master!$D$30:$G$229,4,FALSE)</f>
        <v>Rashodi za usluge</v>
      </c>
      <c r="C110" s="594"/>
      <c r="D110" s="594"/>
      <c r="E110" s="594"/>
      <c r="F110" s="594"/>
      <c r="G110" s="87">
        <v>1088181.68</v>
      </c>
      <c r="H110" s="87">
        <v>2912682.95</v>
      </c>
      <c r="I110" s="87">
        <v>4471137.08</v>
      </c>
      <c r="J110" s="87">
        <v>6152655.29</v>
      </c>
      <c r="K110" s="87">
        <v>2627348.3200000003</v>
      </c>
      <c r="L110" s="87">
        <v>5667722.6900000004</v>
      </c>
      <c r="M110" s="87">
        <v>3971417.36</v>
      </c>
      <c r="N110" s="87">
        <v>4243743.3099999996</v>
      </c>
      <c r="O110" s="87">
        <v>4864024.1500000004</v>
      </c>
      <c r="P110" s="87">
        <v>10058637.546666674</v>
      </c>
      <c r="Q110" s="87">
        <v>10058637.546666674</v>
      </c>
      <c r="R110" s="87">
        <v>10058637.546666674</v>
      </c>
      <c r="S110" s="112">
        <f t="shared" si="20"/>
        <v>66174825.470000021</v>
      </c>
      <c r="T110" s="463">
        <f t="shared" si="21"/>
        <v>1.1608803850606979</v>
      </c>
      <c r="V110" s="311"/>
    </row>
    <row r="111" spans="1:23">
      <c r="A111" s="116" t="str">
        <f t="shared" si="17"/>
        <v>415p</v>
      </c>
      <c r="B111" s="593" t="str">
        <f>+VLOOKUP(LEFT($A111,LEN(A111)-1)*1,Master!$D$30:$G$229,4,FALSE)</f>
        <v>Rashodi za tekuće održavanje</v>
      </c>
      <c r="C111" s="594"/>
      <c r="D111" s="594"/>
      <c r="E111" s="594"/>
      <c r="F111" s="594"/>
      <c r="G111" s="87">
        <v>51153.02</v>
      </c>
      <c r="H111" s="87">
        <v>1786959.03</v>
      </c>
      <c r="I111" s="87">
        <v>1812618.69</v>
      </c>
      <c r="J111" s="87">
        <v>1718005.5900000003</v>
      </c>
      <c r="K111" s="87">
        <v>1522624.21</v>
      </c>
      <c r="L111" s="87">
        <v>1758456.5100000002</v>
      </c>
      <c r="M111" s="87">
        <v>1898548.19</v>
      </c>
      <c r="N111" s="87">
        <v>1129451.4900000002</v>
      </c>
      <c r="O111" s="87">
        <v>2940859.11</v>
      </c>
      <c r="P111" s="87">
        <v>4461159.9499999993</v>
      </c>
      <c r="Q111" s="87">
        <v>4461159.9499999993</v>
      </c>
      <c r="R111" s="87">
        <v>4461159.9499999993</v>
      </c>
      <c r="S111" s="112">
        <f t="shared" si="20"/>
        <v>28002155.689999998</v>
      </c>
      <c r="T111" s="463">
        <f t="shared" si="21"/>
        <v>0.49123141691811095</v>
      </c>
      <c r="V111" s="311"/>
    </row>
    <row r="112" spans="1:23">
      <c r="A112" s="116" t="str">
        <f t="shared" si="17"/>
        <v>416p</v>
      </c>
      <c r="B112" s="593" t="str">
        <f>+VLOOKUP(LEFT($A112,LEN(A112)-1)*1,Master!$D$30:$G$229,4,FALSE)</f>
        <v>Kamate</v>
      </c>
      <c r="C112" s="594"/>
      <c r="D112" s="594"/>
      <c r="E112" s="594"/>
      <c r="F112" s="594"/>
      <c r="G112" s="87">
        <v>3854762.25</v>
      </c>
      <c r="H112" s="87">
        <v>1270344.19</v>
      </c>
      <c r="I112" s="87">
        <v>949082.56</v>
      </c>
      <c r="J112" s="87">
        <v>27195621.07</v>
      </c>
      <c r="K112" s="87">
        <v>4588473.78</v>
      </c>
      <c r="L112" s="87">
        <v>1216799.03</v>
      </c>
      <c r="M112" s="87">
        <v>3784062.82</v>
      </c>
      <c r="N112" s="87">
        <v>1331665.0299999998</v>
      </c>
      <c r="O112" s="87">
        <v>13564532.83</v>
      </c>
      <c r="P112" s="87">
        <v>4036426.7599999993</v>
      </c>
      <c r="Q112" s="87">
        <v>4036426.7599999993</v>
      </c>
      <c r="R112" s="87">
        <v>26608843.629999999</v>
      </c>
      <c r="S112" s="112">
        <f t="shared" si="20"/>
        <v>92437040.709999993</v>
      </c>
      <c r="T112" s="463">
        <f t="shared" si="21"/>
        <v>1.6215886729001472</v>
      </c>
      <c r="V112" s="311"/>
    </row>
    <row r="113" spans="1:22">
      <c r="A113" s="116" t="str">
        <f t="shared" si="17"/>
        <v>417p</v>
      </c>
      <c r="B113" s="593" t="str">
        <f>+VLOOKUP(LEFT($A113,LEN(A113)-1)*1,Master!$D$30:$G$229,4,FALSE)</f>
        <v>Renta</v>
      </c>
      <c r="C113" s="594"/>
      <c r="D113" s="594"/>
      <c r="E113" s="594"/>
      <c r="F113" s="594"/>
      <c r="G113" s="87">
        <v>222069.04</v>
      </c>
      <c r="H113" s="87">
        <v>743329.49</v>
      </c>
      <c r="I113" s="87">
        <v>821318.4</v>
      </c>
      <c r="J113" s="87">
        <v>1247632.42</v>
      </c>
      <c r="K113" s="87">
        <v>498993.7</v>
      </c>
      <c r="L113" s="87">
        <v>995508.2</v>
      </c>
      <c r="M113" s="87">
        <v>1038790.1100000001</v>
      </c>
      <c r="N113" s="87">
        <v>884250.45000000007</v>
      </c>
      <c r="O113" s="87">
        <v>1095625.8400000003</v>
      </c>
      <c r="P113" s="87">
        <v>1375364.1133333328</v>
      </c>
      <c r="Q113" s="87">
        <v>1375364.1133333328</v>
      </c>
      <c r="R113" s="87">
        <v>1375364.1133333328</v>
      </c>
      <c r="S113" s="112">
        <f t="shared" si="20"/>
        <v>11673609.99</v>
      </c>
      <c r="T113" s="463">
        <f t="shared" si="21"/>
        <v>0.20478580432952073</v>
      </c>
      <c r="V113" s="311"/>
    </row>
    <row r="114" spans="1:22">
      <c r="A114" s="116" t="str">
        <f t="shared" si="17"/>
        <v>418p</v>
      </c>
      <c r="B114" s="593" t="str">
        <f>+VLOOKUP(LEFT($A114,LEN(A114)-1)*1,Master!$D$30:$G$229,4,FALSE)</f>
        <v>Subvencije</v>
      </c>
      <c r="C114" s="594"/>
      <c r="D114" s="594"/>
      <c r="E114" s="594"/>
      <c r="F114" s="594"/>
      <c r="G114" s="87">
        <v>511006.04</v>
      </c>
      <c r="H114" s="87">
        <v>2686343.5</v>
      </c>
      <c r="I114" s="87">
        <v>4730535.5999999996</v>
      </c>
      <c r="J114" s="87">
        <v>6972651.8400000008</v>
      </c>
      <c r="K114" s="87">
        <v>2647649.44</v>
      </c>
      <c r="L114" s="87">
        <v>3319529.0100000002</v>
      </c>
      <c r="M114" s="87">
        <v>3592301.72</v>
      </c>
      <c r="N114" s="87">
        <v>3747108.6899999995</v>
      </c>
      <c r="O114" s="87">
        <v>6868760.4699999997</v>
      </c>
      <c r="P114" s="87">
        <v>10584907.556666669</v>
      </c>
      <c r="Q114" s="87">
        <v>10584907.556666669</v>
      </c>
      <c r="R114" s="87">
        <v>10584907.556666669</v>
      </c>
      <c r="S114" s="112">
        <f t="shared" si="20"/>
        <v>66830608.980000019</v>
      </c>
      <c r="T114" s="463">
        <f t="shared" si="21"/>
        <v>1.1723845516104137</v>
      </c>
      <c r="V114" s="311"/>
    </row>
    <row r="115" spans="1:22">
      <c r="A115" s="116" t="str">
        <f t="shared" si="17"/>
        <v>419p</v>
      </c>
      <c r="B115" s="593" t="str">
        <f>+VLOOKUP(LEFT($A115,LEN(A115)-1)*1,Master!$D$30:$G$229,4,FALSE)</f>
        <v>Ostali izdaci</v>
      </c>
      <c r="C115" s="594"/>
      <c r="D115" s="594"/>
      <c r="E115" s="594"/>
      <c r="F115" s="594"/>
      <c r="G115" s="87">
        <v>653499.35</v>
      </c>
      <c r="H115" s="87">
        <v>3022013.14</v>
      </c>
      <c r="I115" s="87">
        <v>3078694.62</v>
      </c>
      <c r="J115" s="87">
        <v>3065313.290000001</v>
      </c>
      <c r="K115" s="87">
        <v>2982573.9299999988</v>
      </c>
      <c r="L115" s="87">
        <v>4726257.419999999</v>
      </c>
      <c r="M115" s="87">
        <v>4643967.5999999996</v>
      </c>
      <c r="N115" s="87">
        <v>2835259.1899999995</v>
      </c>
      <c r="O115" s="87">
        <v>2654237.6199999996</v>
      </c>
      <c r="P115" s="87">
        <v>12403182.783333331</v>
      </c>
      <c r="Q115" s="87">
        <v>12403182.783333331</v>
      </c>
      <c r="R115" s="87">
        <v>12403182.783333331</v>
      </c>
      <c r="S115" s="112">
        <f t="shared" si="20"/>
        <v>64871364.50999999</v>
      </c>
      <c r="T115" s="463">
        <f t="shared" si="21"/>
        <v>1.1380142535611533</v>
      </c>
      <c r="V115" s="311"/>
    </row>
    <row r="116" spans="1:22">
      <c r="A116" s="116" t="str">
        <f t="shared" si="17"/>
        <v>42p</v>
      </c>
      <c r="B116" s="613" t="str">
        <f>+VLOOKUP(LEFT($A116,LEN(A116)-1)*1,Master!$D$30:$G$229,4,FALSE)</f>
        <v>Transferi za socijalnu zaštitu</v>
      </c>
      <c r="C116" s="614"/>
      <c r="D116" s="614"/>
      <c r="E116" s="614"/>
      <c r="F116" s="614"/>
      <c r="G116" s="84">
        <f t="shared" ref="G116:R116" si="25">+SUM(G117:G121)</f>
        <v>43461857.619999997</v>
      </c>
      <c r="H116" s="84">
        <f t="shared" si="25"/>
        <v>49030666.979999997</v>
      </c>
      <c r="I116" s="84">
        <f t="shared" si="25"/>
        <v>50283198.670000002</v>
      </c>
      <c r="J116" s="84">
        <f t="shared" si="25"/>
        <v>49157743.099999957</v>
      </c>
      <c r="K116" s="84">
        <f t="shared" si="25"/>
        <v>51083547.040000007</v>
      </c>
      <c r="L116" s="84">
        <f t="shared" si="25"/>
        <v>53813247.140000008</v>
      </c>
      <c r="M116" s="84">
        <f t="shared" si="25"/>
        <v>55873905.100000001</v>
      </c>
      <c r="N116" s="84">
        <f t="shared" si="25"/>
        <v>54392412.859999999</v>
      </c>
      <c r="O116" s="84">
        <f t="shared" si="25"/>
        <v>55114295.500000015</v>
      </c>
      <c r="P116" s="84">
        <f t="shared" si="25"/>
        <v>78609110.530000016</v>
      </c>
      <c r="Q116" s="84">
        <f t="shared" si="25"/>
        <v>78609110.530000016</v>
      </c>
      <c r="R116" s="84">
        <f t="shared" si="25"/>
        <v>78609110.530000016</v>
      </c>
      <c r="S116" s="113">
        <f t="shared" si="20"/>
        <v>698038205.5999999</v>
      </c>
      <c r="T116" s="464">
        <f t="shared" si="21"/>
        <v>12.245424980703106</v>
      </c>
      <c r="V116" s="311"/>
    </row>
    <row r="117" spans="1:22">
      <c r="A117" s="116" t="str">
        <f t="shared" si="17"/>
        <v>421p</v>
      </c>
      <c r="B117" s="593" t="str">
        <f>+VLOOKUP(LEFT($A117,LEN(A117)-1)*1,Master!$D$30:$G$229,4,FALSE)</f>
        <v>Prava iz oblasti socijalne zaštite</v>
      </c>
      <c r="C117" s="594"/>
      <c r="D117" s="594"/>
      <c r="E117" s="594"/>
      <c r="F117" s="594"/>
      <c r="G117" s="87">
        <v>8200110.4000000004</v>
      </c>
      <c r="H117" s="87">
        <v>8172331.5999999996</v>
      </c>
      <c r="I117" s="87">
        <v>8605052.6899999995</v>
      </c>
      <c r="J117" s="87">
        <v>8606006.9800000004</v>
      </c>
      <c r="K117" s="87">
        <v>11845768.039999999</v>
      </c>
      <c r="L117" s="87">
        <v>11977864.439999999</v>
      </c>
      <c r="M117" s="87">
        <v>11864302.59</v>
      </c>
      <c r="N117" s="87">
        <v>12016260.289999999</v>
      </c>
      <c r="O117" s="87">
        <v>12319371.459999999</v>
      </c>
      <c r="P117" s="87">
        <v>17084310.503333334</v>
      </c>
      <c r="Q117" s="87">
        <v>17084310.503333334</v>
      </c>
      <c r="R117" s="87">
        <v>17084310.503333334</v>
      </c>
      <c r="S117" s="112">
        <f t="shared" si="20"/>
        <v>144860000</v>
      </c>
      <c r="T117" s="463">
        <f t="shared" si="21"/>
        <v>2.5412251771805487</v>
      </c>
      <c r="V117" s="311"/>
    </row>
    <row r="118" spans="1:22">
      <c r="A118" s="116" t="str">
        <f t="shared" ref="A118:A134" si="26">+CONCATENATE(A42,"p")</f>
        <v>422p</v>
      </c>
      <c r="B118" s="593" t="str">
        <f>+VLOOKUP(LEFT($A118,LEN(A118)-1)*1,Master!$D$30:$G$229,4,FALSE)</f>
        <v>Sredstva za tehnološke viškove</v>
      </c>
      <c r="C118" s="594"/>
      <c r="D118" s="594"/>
      <c r="E118" s="594"/>
      <c r="F118" s="594"/>
      <c r="G118" s="87">
        <v>0</v>
      </c>
      <c r="H118" s="87">
        <v>2498429.92</v>
      </c>
      <c r="I118" s="87">
        <v>2440778.17</v>
      </c>
      <c r="J118" s="87">
        <v>2410229.4499999997</v>
      </c>
      <c r="K118" s="87">
        <v>2318949.15</v>
      </c>
      <c r="L118" s="87">
        <v>2335079.0099999998</v>
      </c>
      <c r="M118" s="87">
        <v>2195965.0099999998</v>
      </c>
      <c r="N118" s="87">
        <v>2189311.09</v>
      </c>
      <c r="O118" s="87">
        <v>2177499.94</v>
      </c>
      <c r="P118" s="87">
        <v>3824082.1866666665</v>
      </c>
      <c r="Q118" s="87">
        <v>3824082.1866666665</v>
      </c>
      <c r="R118" s="87">
        <v>3824082.1866666665</v>
      </c>
      <c r="S118" s="112">
        <f t="shared" si="20"/>
        <v>30038488.300000001</v>
      </c>
      <c r="T118" s="463">
        <f t="shared" si="21"/>
        <v>0.52695404357588937</v>
      </c>
      <c r="V118" s="311"/>
    </row>
    <row r="119" spans="1:22">
      <c r="A119" s="116" t="str">
        <f t="shared" si="26"/>
        <v>423p</v>
      </c>
      <c r="B119" s="593" t="str">
        <f>+VLOOKUP(LEFT($A119,LEN(A119)-1)*1,Master!$D$30:$G$229,4,FALSE)</f>
        <v>Prava iz oblasti penzijskog i invalidskog osiguranja</v>
      </c>
      <c r="C119" s="594"/>
      <c r="D119" s="594"/>
      <c r="E119" s="594"/>
      <c r="F119" s="594"/>
      <c r="G119" s="87">
        <v>35149513.420000002</v>
      </c>
      <c r="H119" s="87">
        <v>36354430.689999998</v>
      </c>
      <c r="I119" s="87">
        <v>36069832.590000004</v>
      </c>
      <c r="J119" s="87">
        <v>36181040.329999961</v>
      </c>
      <c r="K119" s="87">
        <v>35168591.790000007</v>
      </c>
      <c r="L119" s="87">
        <v>37894311.820000008</v>
      </c>
      <c r="M119" s="87">
        <v>37880340.310000002</v>
      </c>
      <c r="N119" s="87">
        <v>38069530.059999995</v>
      </c>
      <c r="O119" s="87">
        <v>38038058.110000014</v>
      </c>
      <c r="P119" s="87">
        <v>54747985.703333363</v>
      </c>
      <c r="Q119" s="87">
        <v>54747985.703333363</v>
      </c>
      <c r="R119" s="87">
        <v>54747985.703333363</v>
      </c>
      <c r="S119" s="112">
        <f t="shared" si="20"/>
        <v>495049606.23000014</v>
      </c>
      <c r="T119" s="463">
        <f t="shared" si="21"/>
        <v>8.6844713744649518</v>
      </c>
      <c r="V119" s="311"/>
    </row>
    <row r="120" spans="1:22">
      <c r="A120" s="116" t="str">
        <f t="shared" si="26"/>
        <v>424p</v>
      </c>
      <c r="B120" s="593" t="str">
        <f>+VLOOKUP(LEFT($A120,LEN(A120)-1)*1,Master!$D$30:$G$229,4,FALSE)</f>
        <v>Ostala prava iz oblasti zdravstvene zaštite</v>
      </c>
      <c r="C120" s="594"/>
      <c r="D120" s="594"/>
      <c r="E120" s="594"/>
      <c r="F120" s="594"/>
      <c r="G120" s="87">
        <v>103430</v>
      </c>
      <c r="H120" s="87">
        <v>1069904.71</v>
      </c>
      <c r="I120" s="87">
        <v>1609138.94</v>
      </c>
      <c r="J120" s="87">
        <v>1370159.43</v>
      </c>
      <c r="K120" s="87">
        <v>659345.03</v>
      </c>
      <c r="L120" s="87">
        <v>804103.22</v>
      </c>
      <c r="M120" s="87">
        <v>2611388.4699999997</v>
      </c>
      <c r="N120" s="87">
        <v>1036291.4600000001</v>
      </c>
      <c r="O120" s="87">
        <v>1292962.81</v>
      </c>
      <c r="P120" s="87">
        <v>1374407.6299999994</v>
      </c>
      <c r="Q120" s="87">
        <v>1374407.6299999994</v>
      </c>
      <c r="R120" s="87">
        <v>1374407.6299999994</v>
      </c>
      <c r="S120" s="112">
        <f t="shared" si="20"/>
        <v>14679946.959999997</v>
      </c>
      <c r="T120" s="463">
        <f t="shared" si="21"/>
        <v>0.25752485720300322</v>
      </c>
      <c r="V120" s="311"/>
    </row>
    <row r="121" spans="1:22">
      <c r="A121" s="116" t="str">
        <f t="shared" si="26"/>
        <v>425p</v>
      </c>
      <c r="B121" s="593" t="str">
        <f>+VLOOKUP(LEFT($A121,LEN(A121)-1)*1,Master!$D$30:$G$229,4,FALSE)</f>
        <v>Ostala prava iz zdravstvenog osiguranja</v>
      </c>
      <c r="C121" s="594"/>
      <c r="D121" s="594"/>
      <c r="E121" s="594"/>
      <c r="F121" s="594"/>
      <c r="G121" s="87">
        <v>8803.7999999999993</v>
      </c>
      <c r="H121" s="87">
        <v>935570.06</v>
      </c>
      <c r="I121" s="87">
        <v>1558396.28</v>
      </c>
      <c r="J121" s="87">
        <v>590306.91</v>
      </c>
      <c r="K121" s="87">
        <v>1090893.03</v>
      </c>
      <c r="L121" s="87">
        <v>801888.65</v>
      </c>
      <c r="M121" s="87">
        <v>1321908.72</v>
      </c>
      <c r="N121" s="87">
        <v>1081019.96</v>
      </c>
      <c r="O121" s="87">
        <v>1286403.18</v>
      </c>
      <c r="P121" s="87">
        <v>1578324.5066666668</v>
      </c>
      <c r="Q121" s="87">
        <v>1578324.5066666668</v>
      </c>
      <c r="R121" s="87">
        <v>1578324.5066666668</v>
      </c>
      <c r="S121" s="112">
        <f t="shared" si="20"/>
        <v>13410164.110000003</v>
      </c>
      <c r="T121" s="463">
        <f t="shared" si="21"/>
        <v>0.23524952827871734</v>
      </c>
      <c r="V121" s="311"/>
    </row>
    <row r="122" spans="1:22">
      <c r="A122" s="116" t="str">
        <f t="shared" si="26"/>
        <v>43p</v>
      </c>
      <c r="B122" s="609" t="str">
        <f>+VLOOKUP(LEFT($A122,LEN(A122)-1)*1,Master!$D$30:$G$229,4,FALSE)</f>
        <v xml:space="preserve">Transferi institucijama, pojedincima, nevladinom i javnom sektoru </v>
      </c>
      <c r="C122" s="610"/>
      <c r="D122" s="610"/>
      <c r="E122" s="610"/>
      <c r="F122" s="610"/>
      <c r="G122" s="83">
        <v>7351440.8700000001</v>
      </c>
      <c r="H122" s="83">
        <v>23788257.170000002</v>
      </c>
      <c r="I122" s="83">
        <v>30704364.969999999</v>
      </c>
      <c r="J122" s="83">
        <v>28731832.689999998</v>
      </c>
      <c r="K122" s="83">
        <v>16386723.549999999</v>
      </c>
      <c r="L122" s="83">
        <v>26579249.149999995</v>
      </c>
      <c r="M122" s="83">
        <v>21692065.57</v>
      </c>
      <c r="N122" s="83">
        <v>18751731.399999999</v>
      </c>
      <c r="O122" s="83">
        <v>29316367.350000001</v>
      </c>
      <c r="P122" s="83">
        <v>36220465.866666652</v>
      </c>
      <c r="Q122" s="83">
        <v>36220465.866666652</v>
      </c>
      <c r="R122" s="83">
        <v>36220465.866666652</v>
      </c>
      <c r="S122" s="113">
        <f>+SUM(G122:R122)</f>
        <v>311963430.31999999</v>
      </c>
      <c r="T122" s="464">
        <f t="shared" si="21"/>
        <v>5.4726585909760717</v>
      </c>
      <c r="V122" s="311"/>
    </row>
    <row r="123" spans="1:22">
      <c r="A123" s="116" t="str">
        <f t="shared" si="26"/>
        <v>44p</v>
      </c>
      <c r="B123" s="609" t="str">
        <f>+VLOOKUP(LEFT($A123,LEN(A123)-1)*1,Master!$D$30:$G$229,4,FALSE)</f>
        <v>Kapitalni izdaci</v>
      </c>
      <c r="C123" s="610"/>
      <c r="D123" s="610"/>
      <c r="E123" s="610"/>
      <c r="F123" s="610"/>
      <c r="G123" s="83">
        <v>16016474.34</v>
      </c>
      <c r="H123" s="83">
        <v>11650538.710000001</v>
      </c>
      <c r="I123" s="83">
        <v>7995861.7599999998</v>
      </c>
      <c r="J123" s="83">
        <v>25620437.929999996</v>
      </c>
      <c r="K123" s="83">
        <v>18640717.440000001</v>
      </c>
      <c r="L123" s="83">
        <v>23469892.199999999</v>
      </c>
      <c r="M123" s="83">
        <v>25045170.949999999</v>
      </c>
      <c r="N123" s="83">
        <v>7683091.5899999999</v>
      </c>
      <c r="O123" s="83">
        <v>16121479.17</v>
      </c>
      <c r="P123" s="83">
        <v>41814542.016666658</v>
      </c>
      <c r="Q123" s="83">
        <v>41814542.016666658</v>
      </c>
      <c r="R123" s="83">
        <v>41814542.016666658</v>
      </c>
      <c r="S123" s="113">
        <f>+SUM(G123:R123)</f>
        <v>277687290.13999993</v>
      </c>
      <c r="T123" s="464">
        <f t="shared" si="21"/>
        <v>4.8713649943863579</v>
      </c>
      <c r="U123" s="311"/>
      <c r="V123" s="311"/>
    </row>
    <row r="124" spans="1:22">
      <c r="A124" s="116" t="str">
        <f t="shared" si="26"/>
        <v>451p</v>
      </c>
      <c r="B124" s="611" t="str">
        <f>+VLOOKUP(LEFT($A124,LEN(A124)-1)*1,Master!$D$30:$G$229,4,FALSE)</f>
        <v>Pozajmice i krediti</v>
      </c>
      <c r="C124" s="612"/>
      <c r="D124" s="612"/>
      <c r="E124" s="612"/>
      <c r="F124" s="612"/>
      <c r="G124" s="87">
        <v>0</v>
      </c>
      <c r="H124" s="87">
        <v>248510</v>
      </c>
      <c r="I124" s="87">
        <v>1730</v>
      </c>
      <c r="J124" s="87">
        <v>302436</v>
      </c>
      <c r="K124" s="87">
        <v>260378</v>
      </c>
      <c r="L124" s="87">
        <v>700</v>
      </c>
      <c r="M124" s="87">
        <v>0</v>
      </c>
      <c r="N124" s="87">
        <v>350</v>
      </c>
      <c r="O124" s="87">
        <v>0</v>
      </c>
      <c r="P124" s="87">
        <v>619965.66666666674</v>
      </c>
      <c r="Q124" s="87">
        <v>619965.66666666674</v>
      </c>
      <c r="R124" s="87">
        <v>619965.66666666674</v>
      </c>
      <c r="S124" s="112">
        <f t="shared" si="20"/>
        <v>2674001</v>
      </c>
      <c r="T124" s="463">
        <f t="shared" si="21"/>
        <v>4.6909006385516809E-2</v>
      </c>
      <c r="U124" s="311"/>
      <c r="V124" s="311"/>
    </row>
    <row r="125" spans="1:22">
      <c r="A125" s="116" t="str">
        <f t="shared" si="26"/>
        <v>47p</v>
      </c>
      <c r="B125" s="611" t="str">
        <f>+VLOOKUP(LEFT($A125,LEN(A125)-1)*1,Master!$D$30:$G$229,4,FALSE)</f>
        <v>Rezerve</v>
      </c>
      <c r="C125" s="612"/>
      <c r="D125" s="612"/>
      <c r="E125" s="612"/>
      <c r="F125" s="612"/>
      <c r="G125" s="87">
        <v>265800</v>
      </c>
      <c r="H125" s="87">
        <v>495710</v>
      </c>
      <c r="I125" s="87">
        <v>1101664.26</v>
      </c>
      <c r="J125" s="87">
        <v>401200</v>
      </c>
      <c r="K125" s="87">
        <v>45800</v>
      </c>
      <c r="L125" s="87">
        <v>3114786.03</v>
      </c>
      <c r="M125" s="87">
        <v>5703477.5800000001</v>
      </c>
      <c r="N125" s="87">
        <v>1405979.19</v>
      </c>
      <c r="O125" s="87">
        <v>20100803.789999999</v>
      </c>
      <c r="P125" s="87">
        <v>22444044.24666667</v>
      </c>
      <c r="Q125" s="87">
        <v>22444044.24666667</v>
      </c>
      <c r="R125" s="87">
        <v>22444044.24666667</v>
      </c>
      <c r="S125" s="112">
        <f t="shared" si="20"/>
        <v>99967353.590000004</v>
      </c>
      <c r="T125" s="463">
        <f t="shared" si="21"/>
        <v>1.7536901549014106</v>
      </c>
      <c r="U125" s="311"/>
      <c r="V125" s="311"/>
    </row>
    <row r="126" spans="1:22">
      <c r="A126" s="116" t="str">
        <f t="shared" si="26"/>
        <v>462p</v>
      </c>
      <c r="B126" s="611" t="str">
        <f>+VLOOKUP(LEFT($A126,LEN(A126)-1)*1,Master!$D$30:$G$229,4,FALSE)</f>
        <v>Otplata garancija</v>
      </c>
      <c r="C126" s="612"/>
      <c r="D126" s="612"/>
      <c r="E126" s="612"/>
      <c r="F126" s="61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1</v>
      </c>
      <c r="S126" s="112">
        <f t="shared" si="20"/>
        <v>1</v>
      </c>
      <c r="T126" s="463">
        <f t="shared" si="21"/>
        <v>1.7542628587467546E-8</v>
      </c>
      <c r="U126" s="311"/>
      <c r="V126" s="311"/>
    </row>
    <row r="127" spans="1:22">
      <c r="A127" s="117" t="str">
        <f t="shared" si="26"/>
        <v>4630p</v>
      </c>
      <c r="B127" s="611" t="str">
        <f>+VLOOKUP(LEFT($A127,LEN(A127)-1)*1,Master!$D$30:$G$229,4,FALSE)</f>
        <v>Otplata obaveza iz prethodnog perioda</v>
      </c>
      <c r="C127" s="612"/>
      <c r="D127" s="612"/>
      <c r="E127" s="612"/>
      <c r="F127" s="612"/>
      <c r="G127" s="87">
        <v>17529055.329999998</v>
      </c>
      <c r="H127" s="87">
        <v>3946389.9</v>
      </c>
      <c r="I127" s="87">
        <v>2323374.4</v>
      </c>
      <c r="J127" s="87">
        <v>1211074.6399999999</v>
      </c>
      <c r="K127" s="87">
        <v>1145121.3300000003</v>
      </c>
      <c r="L127" s="87">
        <v>1002974.65</v>
      </c>
      <c r="M127" s="87">
        <v>2410972.5299999993</v>
      </c>
      <c r="N127" s="87">
        <v>791334.30999999994</v>
      </c>
      <c r="O127" s="87">
        <v>1107049.1300000001</v>
      </c>
      <c r="P127" s="87">
        <v>1578531.8799999962</v>
      </c>
      <c r="Q127" s="87">
        <v>1578531.8799999962</v>
      </c>
      <c r="R127" s="87">
        <v>1578531.8799999962</v>
      </c>
      <c r="S127" s="103">
        <f>+SUM(G127:R127)</f>
        <v>36202941.859999977</v>
      </c>
      <c r="T127" s="471">
        <f t="shared" si="21"/>
        <v>0.63509476282366117</v>
      </c>
      <c r="U127" s="311"/>
      <c r="V127" s="311"/>
    </row>
    <row r="128" spans="1:22" ht="13.5" thickBot="1">
      <c r="A128" s="116" t="str">
        <f t="shared" si="26"/>
        <v>1005p</v>
      </c>
      <c r="B128" s="611" t="str">
        <f>+VLOOKUP(LEFT($A128,LEN(A128)-1)*1,Master!$D$30:$G$229,4,FALSE)</f>
        <v>Neto povećanje obaveza</v>
      </c>
      <c r="C128" s="612"/>
      <c r="D128" s="612"/>
      <c r="E128" s="612"/>
      <c r="F128" s="612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1"/>
        <v>0</v>
      </c>
      <c r="U128" s="311"/>
      <c r="V128" s="311"/>
    </row>
    <row r="129" spans="1:22" ht="13.5" thickBot="1">
      <c r="A129" s="117" t="str">
        <f t="shared" si="26"/>
        <v>1000p</v>
      </c>
      <c r="B129" s="619" t="str">
        <f>+VLOOKUP(LEFT($A129,LEN(A129)-1)*1,Master!$D$30:$G$226,4,FALSE)</f>
        <v>Suficit / deficit</v>
      </c>
      <c r="C129" s="620"/>
      <c r="D129" s="620"/>
      <c r="E129" s="620"/>
      <c r="F129" s="620"/>
      <c r="G129" s="93">
        <f t="shared" ref="G129:R129" si="27">+G86-G105</f>
        <v>-27708044.210000038</v>
      </c>
      <c r="H129" s="93">
        <f t="shared" si="27"/>
        <v>-26184314.520000011</v>
      </c>
      <c r="I129" s="93">
        <f t="shared" si="27"/>
        <v>31956870.970000029</v>
      </c>
      <c r="J129" s="93">
        <f t="shared" si="27"/>
        <v>-20283584.369999915</v>
      </c>
      <c r="K129" s="93">
        <f t="shared" si="27"/>
        <v>8454993.5200000107</v>
      </c>
      <c r="L129" s="93">
        <f t="shared" si="27"/>
        <v>-10807149.019999981</v>
      </c>
      <c r="M129" s="93">
        <f t="shared" si="27"/>
        <v>-12762172.130000025</v>
      </c>
      <c r="N129" s="93">
        <f t="shared" si="27"/>
        <v>47349499.159999937</v>
      </c>
      <c r="O129" s="93">
        <f t="shared" si="27"/>
        <v>-26530659.460000008</v>
      </c>
      <c r="P129" s="93">
        <f t="shared" si="27"/>
        <v>-148561818.74666664</v>
      </c>
      <c r="Q129" s="93">
        <f t="shared" si="27"/>
        <v>-152725507.16666663</v>
      </c>
      <c r="R129" s="93">
        <f t="shared" si="27"/>
        <v>-115435017.19666666</v>
      </c>
      <c r="S129" s="106">
        <f t="shared" si="20"/>
        <v>-453236903.1699999</v>
      </c>
      <c r="T129" s="469">
        <f t="shared" si="21"/>
        <v>-7.9509666544452999</v>
      </c>
      <c r="U129" s="311"/>
      <c r="V129" s="311"/>
    </row>
    <row r="130" spans="1:22" ht="13.5" thickBot="1">
      <c r="A130" s="117" t="str">
        <f t="shared" si="26"/>
        <v>1001p</v>
      </c>
      <c r="B130" s="621" t="str">
        <f>+VLOOKUP(LEFT($A130,LEN(A130)-1)*1,Master!$D$30:$G$226,4,FALSE)</f>
        <v>Primarni suficit/deficit</v>
      </c>
      <c r="C130" s="622"/>
      <c r="D130" s="622"/>
      <c r="E130" s="622"/>
      <c r="F130" s="622"/>
      <c r="G130" s="94">
        <f>+G129+G112</f>
        <v>-23853281.960000038</v>
      </c>
      <c r="H130" s="94">
        <f t="shared" ref="H130:R130" si="28">+H129+H112</f>
        <v>-24913970.330000009</v>
      </c>
      <c r="I130" s="94">
        <f t="shared" si="28"/>
        <v>32905953.530000027</v>
      </c>
      <c r="J130" s="94">
        <f t="shared" si="28"/>
        <v>6912036.7000000849</v>
      </c>
      <c r="K130" s="94">
        <f t="shared" si="28"/>
        <v>13043467.300000012</v>
      </c>
      <c r="L130" s="94">
        <f t="shared" si="28"/>
        <v>-9590349.9899999816</v>
      </c>
      <c r="M130" s="94">
        <f t="shared" si="28"/>
        <v>-8978109.3100000247</v>
      </c>
      <c r="N130" s="94">
        <f t="shared" si="28"/>
        <v>48681164.189999938</v>
      </c>
      <c r="O130" s="94">
        <f t="shared" si="28"/>
        <v>-12966126.630000008</v>
      </c>
      <c r="P130" s="94">
        <f t="shared" si="28"/>
        <v>-144525391.98666665</v>
      </c>
      <c r="Q130" s="94">
        <f t="shared" si="28"/>
        <v>-148689080.40666664</v>
      </c>
      <c r="R130" s="94">
        <f t="shared" si="28"/>
        <v>-88826173.566666663</v>
      </c>
      <c r="S130" s="106">
        <f t="shared" si="20"/>
        <v>-360799862.45999998</v>
      </c>
      <c r="T130" s="469">
        <f t="shared" si="21"/>
        <v>-6.3293779815451545</v>
      </c>
      <c r="U130" s="311"/>
      <c r="V130" s="311"/>
    </row>
    <row r="131" spans="1:22">
      <c r="A131" s="117" t="str">
        <f t="shared" si="26"/>
        <v>46p</v>
      </c>
      <c r="B131" s="613" t="str">
        <f>+VLOOKUP(LEFT($A131,LEN(A131)-1)*1,Master!$D$30:$G$226,4,FALSE)</f>
        <v>Otplata dugova</v>
      </c>
      <c r="C131" s="614"/>
      <c r="D131" s="614"/>
      <c r="E131" s="614"/>
      <c r="F131" s="614"/>
      <c r="G131" s="84">
        <f>+SUM(G132:G133)</f>
        <v>28431258.969999999</v>
      </c>
      <c r="H131" s="84">
        <f t="shared" ref="H131:R131" si="29">+SUM(H132:H133)</f>
        <v>14209001.130000001</v>
      </c>
      <c r="I131" s="84">
        <f t="shared" si="29"/>
        <v>11671682.99</v>
      </c>
      <c r="J131" s="84">
        <f t="shared" si="29"/>
        <v>57474225.629999995</v>
      </c>
      <c r="K131" s="84">
        <f t="shared" si="29"/>
        <v>39081986.149999999</v>
      </c>
      <c r="L131" s="84">
        <f t="shared" si="29"/>
        <v>11628176.57</v>
      </c>
      <c r="M131" s="483">
        <f t="shared" ref="M131" si="30">+SUM(M132:M133)</f>
        <v>30399609.420000002</v>
      </c>
      <c r="N131" s="84">
        <f t="shared" si="29"/>
        <v>13945467.43</v>
      </c>
      <c r="O131" s="84">
        <f t="shared" si="29"/>
        <v>10059315</v>
      </c>
      <c r="P131" s="84">
        <f t="shared" si="29"/>
        <v>5778395.2733333334</v>
      </c>
      <c r="Q131" s="84">
        <f t="shared" si="29"/>
        <v>32377155.383333333</v>
      </c>
      <c r="R131" s="84">
        <f t="shared" si="29"/>
        <v>37097385.81333334</v>
      </c>
      <c r="S131" s="104">
        <f t="shared" si="20"/>
        <v>292153659.76000005</v>
      </c>
      <c r="T131" s="470">
        <f t="shared" si="21"/>
        <v>5.1251431436390433</v>
      </c>
      <c r="U131" s="311"/>
      <c r="V131" s="311"/>
    </row>
    <row r="132" spans="1:22">
      <c r="A132" s="117" t="str">
        <f t="shared" si="26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96">
        <v>2390495.08</v>
      </c>
      <c r="H132" s="96">
        <v>3087670.22</v>
      </c>
      <c r="I132" s="96">
        <v>2560106.65</v>
      </c>
      <c r="J132" s="96">
        <v>4658647.9099999992</v>
      </c>
      <c r="K132" s="96">
        <v>8572190.1199999992</v>
      </c>
      <c r="L132" s="96">
        <v>713784.35</v>
      </c>
      <c r="M132" s="96">
        <v>2437648.0699999998</v>
      </c>
      <c r="N132" s="96">
        <v>2374633.7599999998</v>
      </c>
      <c r="O132" s="96">
        <v>722146.47000000009</v>
      </c>
      <c r="P132" s="96">
        <v>2457849.3233333332</v>
      </c>
      <c r="Q132" s="96">
        <v>9233144.0033333339</v>
      </c>
      <c r="R132" s="96">
        <v>720539.80333333823</v>
      </c>
      <c r="S132" s="103">
        <f t="shared" si="20"/>
        <v>39928855.759999998</v>
      </c>
      <c r="T132" s="471">
        <f t="shared" si="21"/>
        <v>0.70045708652024419</v>
      </c>
      <c r="U132" s="311"/>
      <c r="V132" s="311"/>
    </row>
    <row r="133" spans="1:22" ht="13.5" thickBot="1">
      <c r="A133" s="117" t="str">
        <f t="shared" si="26"/>
        <v>4612p</v>
      </c>
      <c r="B133" s="611" t="str">
        <f>+VLOOKUP(LEFT($A133,LEN(A133)-1)*1,Master!$D$30:$G$226,4,FALSE)</f>
        <v>Otplata hartija od vrijednosti i kredita nerezidentima</v>
      </c>
      <c r="C133" s="612"/>
      <c r="D133" s="612"/>
      <c r="E133" s="612"/>
      <c r="F133" s="612"/>
      <c r="G133" s="96">
        <v>26040763.890000001</v>
      </c>
      <c r="H133" s="96">
        <v>11121330.91</v>
      </c>
      <c r="I133" s="96">
        <v>9111576.3399999999</v>
      </c>
      <c r="J133" s="96">
        <v>52815577.719999999</v>
      </c>
      <c r="K133" s="96">
        <v>30509796.030000001</v>
      </c>
      <c r="L133" s="96">
        <v>10914392.220000001</v>
      </c>
      <c r="M133" s="96">
        <v>27961961.350000001</v>
      </c>
      <c r="N133" s="96">
        <v>11570833.67</v>
      </c>
      <c r="O133" s="96">
        <v>9337168.5299999993</v>
      </c>
      <c r="P133" s="96">
        <v>3320545.95</v>
      </c>
      <c r="Q133" s="96">
        <v>23144011.379999999</v>
      </c>
      <c r="R133" s="96">
        <v>36376846.010000005</v>
      </c>
      <c r="S133" s="103">
        <f t="shared" si="20"/>
        <v>252224804</v>
      </c>
      <c r="T133" s="471">
        <f t="shared" si="21"/>
        <v>4.424686057118798</v>
      </c>
      <c r="U133" s="311"/>
      <c r="V133" s="311"/>
    </row>
    <row r="134" spans="1:22" ht="13.5" thickBot="1">
      <c r="A134" s="117" t="str">
        <f t="shared" si="26"/>
        <v>4418p</v>
      </c>
      <c r="B134" s="589" t="str">
        <f>+VLOOKUP(LEFT($A134,LEN(A134)-1)*1,Master!$D$30:$G$226,4,FALSE)</f>
        <v>Izdaci za kupovinu hartija od vrijednosti</v>
      </c>
      <c r="C134" s="590"/>
      <c r="D134" s="590"/>
      <c r="E134" s="590"/>
      <c r="F134" s="590"/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3536336.666666667</v>
      </c>
      <c r="Q134" s="93">
        <v>3536336.666666667</v>
      </c>
      <c r="R134" s="93">
        <v>3536336.666666667</v>
      </c>
      <c r="S134" s="448">
        <f t="shared" si="20"/>
        <v>10609010</v>
      </c>
      <c r="T134" s="478">
        <f t="shared" si="21"/>
        <v>0.18610992211072908</v>
      </c>
      <c r="U134" s="311"/>
      <c r="V134" s="311"/>
    </row>
    <row r="135" spans="1:22" ht="13.5" thickBot="1">
      <c r="A135" s="117" t="str">
        <f>+CONCATENATE(A60,"p")</f>
        <v>1002p</v>
      </c>
      <c r="B135" s="615" t="str">
        <f>+VLOOKUP(LEFT($A135,LEN(A135)-1)*1,Master!$D$30:$G$226,4,FALSE)</f>
        <v>Nedostajuća sredstva</v>
      </c>
      <c r="C135" s="616"/>
      <c r="D135" s="616"/>
      <c r="E135" s="616"/>
      <c r="F135" s="616"/>
      <c r="G135" s="77">
        <f t="shared" ref="G135:R135" si="31">+G129-G131-G134</f>
        <v>-56139303.180000037</v>
      </c>
      <c r="H135" s="77">
        <f t="shared" si="31"/>
        <v>-40393315.650000013</v>
      </c>
      <c r="I135" s="77">
        <f t="shared" si="31"/>
        <v>20285187.980000027</v>
      </c>
      <c r="J135" s="77">
        <f t="shared" si="31"/>
        <v>-77757809.999999911</v>
      </c>
      <c r="K135" s="77">
        <f t="shared" si="31"/>
        <v>-30626992.629999988</v>
      </c>
      <c r="L135" s="77">
        <f t="shared" si="31"/>
        <v>-22435325.589999981</v>
      </c>
      <c r="M135" s="77">
        <f t="shared" si="31"/>
        <v>-43161781.550000027</v>
      </c>
      <c r="N135" s="77">
        <f t="shared" si="31"/>
        <v>33404031.729999937</v>
      </c>
      <c r="O135" s="77">
        <f t="shared" si="31"/>
        <v>-36589974.460000008</v>
      </c>
      <c r="P135" s="77">
        <f t="shared" si="31"/>
        <v>-157876550.68666664</v>
      </c>
      <c r="Q135" s="77">
        <f t="shared" si="31"/>
        <v>-188638999.21666661</v>
      </c>
      <c r="R135" s="77">
        <f t="shared" si="31"/>
        <v>-156068739.67666665</v>
      </c>
      <c r="S135" s="109">
        <f t="shared" si="20"/>
        <v>-755999572.92999983</v>
      </c>
      <c r="T135" s="473">
        <f t="shared" si="21"/>
        <v>-13.26221972019507</v>
      </c>
      <c r="U135" s="311"/>
      <c r="V135" s="311"/>
    </row>
    <row r="136" spans="1:22" ht="13.5" thickBot="1">
      <c r="A136" s="117" t="str">
        <f>+CONCATENATE(A61,"p")</f>
        <v>1003p</v>
      </c>
      <c r="B136" s="589" t="str">
        <f>+VLOOKUP(LEFT($A136,LEN(A136)-1)*1,Master!$D$30:$G$226,4,FALSE)</f>
        <v>Finansiranje</v>
      </c>
      <c r="C136" s="590"/>
      <c r="D136" s="590"/>
      <c r="E136" s="590"/>
      <c r="F136" s="590"/>
      <c r="G136" s="93">
        <f t="shared" ref="G136:R136" si="32">+SUM(G137:G140)</f>
        <v>56139303.180000037</v>
      </c>
      <c r="H136" s="93">
        <f t="shared" si="32"/>
        <v>40393315.650000013</v>
      </c>
      <c r="I136" s="93">
        <f t="shared" si="32"/>
        <v>-20285187.980000027</v>
      </c>
      <c r="J136" s="93">
        <f t="shared" si="32"/>
        <v>77757809.999999911</v>
      </c>
      <c r="K136" s="93">
        <f t="shared" si="32"/>
        <v>30626992.629999988</v>
      </c>
      <c r="L136" s="93">
        <f t="shared" si="32"/>
        <v>22435325.589999981</v>
      </c>
      <c r="M136" s="93">
        <f t="shared" si="32"/>
        <v>43161781.550000027</v>
      </c>
      <c r="N136" s="93">
        <f t="shared" si="32"/>
        <v>-33404031.729999937</v>
      </c>
      <c r="O136" s="93">
        <f t="shared" si="32"/>
        <v>36589974.460000008</v>
      </c>
      <c r="P136" s="93">
        <f t="shared" si="32"/>
        <v>157876550.68666664</v>
      </c>
      <c r="Q136" s="93">
        <f t="shared" si="32"/>
        <v>188638999.21666661</v>
      </c>
      <c r="R136" s="93">
        <f t="shared" si="32"/>
        <v>156068739.67666665</v>
      </c>
      <c r="S136" s="110">
        <f t="shared" si="20"/>
        <v>755999572.92999983</v>
      </c>
      <c r="T136" s="474">
        <f t="shared" si="21"/>
        <v>13.26221972019507</v>
      </c>
      <c r="U136" s="311"/>
      <c r="V136" s="311"/>
    </row>
    <row r="137" spans="1:22">
      <c r="A137" s="117" t="str">
        <f>+CONCATENATE(A62,"p")</f>
        <v>7511p</v>
      </c>
      <c r="B137" s="617" t="str">
        <f>+VLOOKUP(LEFT($A137,LEN(A137)-1)*1,Master!$D$30:$G$226,4,FALSE)</f>
        <v>Pozajmice i krediti od domaćih izvora</v>
      </c>
      <c r="C137" s="618"/>
      <c r="D137" s="618"/>
      <c r="E137" s="618"/>
      <c r="F137" s="618"/>
      <c r="G137" s="96">
        <v>0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116666666.66666667</v>
      </c>
      <c r="Q137" s="96">
        <v>116666666.66666667</v>
      </c>
      <c r="R137" s="96">
        <v>116666666.66666667</v>
      </c>
      <c r="S137" s="103">
        <f t="shared" si="20"/>
        <v>350000000</v>
      </c>
      <c r="T137" s="471">
        <f t="shared" si="21"/>
        <v>6.1399200056136412</v>
      </c>
      <c r="U137" s="311"/>
      <c r="V137" s="311"/>
    </row>
    <row r="138" spans="1:22">
      <c r="A138" s="117" t="str">
        <f>+CONCATENATE(A63,"p")</f>
        <v>7512p</v>
      </c>
      <c r="B138" s="611" t="str">
        <f>+VLOOKUP(LEFT($A138,LEN(A138)-1)*1,Master!$D$30:$G$226,4,FALSE)</f>
        <v>Pozajmice i krediti od inostranih izvora</v>
      </c>
      <c r="C138" s="612"/>
      <c r="D138" s="612"/>
      <c r="E138" s="612"/>
      <c r="F138" s="612"/>
      <c r="G138" s="96">
        <v>12789994.92</v>
      </c>
      <c r="H138" s="96">
        <v>10460525.210000001</v>
      </c>
      <c r="I138" s="96">
        <v>1259301.6499999999</v>
      </c>
      <c r="J138" s="96">
        <v>8146150.04</v>
      </c>
      <c r="K138" s="96">
        <v>11238716.789999999</v>
      </c>
      <c r="L138" s="96">
        <v>12964517.649999999</v>
      </c>
      <c r="M138" s="96">
        <v>8206743.4400000004</v>
      </c>
      <c r="N138" s="96">
        <v>2667369.89</v>
      </c>
      <c r="O138" s="96">
        <v>2025946.22</v>
      </c>
      <c r="P138" s="96">
        <v>10080244.730000004</v>
      </c>
      <c r="Q138" s="96">
        <v>10080244.730000004</v>
      </c>
      <c r="R138" s="96">
        <v>10080244.730000004</v>
      </c>
      <c r="S138" s="103">
        <f t="shared" si="20"/>
        <v>100000000</v>
      </c>
      <c r="T138" s="471">
        <f t="shared" si="21"/>
        <v>1.7542628587467544</v>
      </c>
      <c r="U138" s="311"/>
      <c r="V138" s="311"/>
    </row>
    <row r="139" spans="1:22">
      <c r="A139" s="117" t="str">
        <f>+CONCATENATE(A64,"p")</f>
        <v>72p</v>
      </c>
      <c r="B139" s="611" t="str">
        <f>+VLOOKUP(LEFT($A139,LEN(A139)-1)*1,Master!$D$30:$G$226,4,FALSE)</f>
        <v>Primici od prodaje imovine</v>
      </c>
      <c r="C139" s="612"/>
      <c r="D139" s="612"/>
      <c r="E139" s="612"/>
      <c r="F139" s="612"/>
      <c r="G139" s="96">
        <v>710212.98</v>
      </c>
      <c r="H139" s="96">
        <v>70539.22</v>
      </c>
      <c r="I139" s="96">
        <v>383792.48</v>
      </c>
      <c r="J139" s="96">
        <v>766267.74</v>
      </c>
      <c r="K139" s="96">
        <v>26413.63</v>
      </c>
      <c r="L139" s="96">
        <v>243495.38999999998</v>
      </c>
      <c r="M139" s="96">
        <v>209628.7</v>
      </c>
      <c r="N139" s="96">
        <v>313064.5</v>
      </c>
      <c r="O139" s="96">
        <v>705089.56</v>
      </c>
      <c r="P139" s="96">
        <v>857165.2666666666</v>
      </c>
      <c r="Q139" s="96">
        <v>857165.2666666666</v>
      </c>
      <c r="R139" s="96">
        <v>857165.2666666666</v>
      </c>
      <c r="S139" s="103">
        <f t="shared" si="20"/>
        <v>6000000</v>
      </c>
      <c r="T139" s="471">
        <f t="shared" si="21"/>
        <v>0.10525577152480528</v>
      </c>
      <c r="U139" s="311"/>
      <c r="V139" s="311"/>
    </row>
    <row r="140" spans="1:22" ht="13.5" thickBot="1">
      <c r="A140" s="117" t="str">
        <f t="shared" ref="A140" si="33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 t="shared" ref="G140:R140" si="34">-G135-SUM(G137:G139)</f>
        <v>42639095.280000038</v>
      </c>
      <c r="H140" s="97">
        <f t="shared" si="34"/>
        <v>29862251.220000014</v>
      </c>
      <c r="I140" s="97">
        <f t="shared" si="34"/>
        <v>-21928282.110000025</v>
      </c>
      <c r="J140" s="97">
        <f t="shared" si="34"/>
        <v>68845392.219999909</v>
      </c>
      <c r="K140" s="97">
        <f t="shared" si="34"/>
        <v>19361862.209999986</v>
      </c>
      <c r="L140" s="97">
        <f t="shared" si="34"/>
        <v>9227312.5499999821</v>
      </c>
      <c r="M140" s="97">
        <f t="shared" si="34"/>
        <v>34745409.410000026</v>
      </c>
      <c r="N140" s="97">
        <f t="shared" si="34"/>
        <v>-36384466.119999938</v>
      </c>
      <c r="O140" s="97">
        <f t="shared" si="34"/>
        <v>33858938.680000007</v>
      </c>
      <c r="P140" s="97">
        <f t="shared" si="34"/>
        <v>30272474.023333296</v>
      </c>
      <c r="Q140" s="97">
        <f t="shared" si="34"/>
        <v>61034922.553333268</v>
      </c>
      <c r="R140" s="97">
        <f t="shared" si="34"/>
        <v>28464663.013333306</v>
      </c>
      <c r="S140" s="105">
        <f>+SUM(G140:R140)</f>
        <v>299999572.92999989</v>
      </c>
      <c r="T140" s="475">
        <f t="shared" si="21"/>
        <v>5.2627810843098715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573" t="str">
        <f>+Master!G252</f>
        <v>Ostvarenje budžeta</v>
      </c>
      <c r="C7" s="526"/>
      <c r="D7" s="526"/>
      <c r="E7" s="526"/>
      <c r="F7" s="526"/>
      <c r="G7" s="534">
        <v>2021</v>
      </c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8"/>
      <c r="S7" s="235" t="str">
        <f>+Master!G249</f>
        <v>BDP</v>
      </c>
      <c r="T7" s="236">
        <v>4955116000</v>
      </c>
    </row>
    <row r="8" spans="1:22" ht="16.5" customHeight="1">
      <c r="A8" s="144"/>
      <c r="B8" s="527"/>
      <c r="C8" s="528"/>
      <c r="D8" s="528"/>
      <c r="E8" s="528"/>
      <c r="F8" s="529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4" t="str">
        <f>+Master!G247</f>
        <v>Jan - Dec</v>
      </c>
      <c r="T8" s="538"/>
    </row>
    <row r="9" spans="1:22" ht="13.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69" t="str">
        <f>+VLOOKUP($A11,Master!$D$30:$G$226,4,FALSE)</f>
        <v>Porezi</v>
      </c>
      <c r="C11" s="570"/>
      <c r="D11" s="570"/>
      <c r="E11" s="570"/>
      <c r="F11" s="570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55" t="str">
        <f>+VLOOKUP($A12,Master!$D$30:$G$226,4,FALSE)</f>
        <v>Porez na dohodak fizičkih lica</v>
      </c>
      <c r="C12" s="556"/>
      <c r="D12" s="556"/>
      <c r="E12" s="556"/>
      <c r="F12" s="55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55" t="str">
        <f>+VLOOKUP($A13,Master!$D$30:$G$226,4,FALSE)</f>
        <v>Porez na dobit pravnih lica</v>
      </c>
      <c r="C13" s="556"/>
      <c r="D13" s="556"/>
      <c r="E13" s="556"/>
      <c r="F13" s="55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55" t="str">
        <f>+VLOOKUP($A14,Master!$D$30:$G$226,4,FALSE)</f>
        <v>Porez na promet nepokretnosti</v>
      </c>
      <c r="C14" s="556"/>
      <c r="D14" s="556"/>
      <c r="E14" s="556"/>
      <c r="F14" s="55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55" t="str">
        <f>+VLOOKUP($A15,Master!$D$30:$G$226,4,FALSE)</f>
        <v>Porez na dodatu vrijednost</v>
      </c>
      <c r="C15" s="556"/>
      <c r="D15" s="556"/>
      <c r="E15" s="556"/>
      <c r="F15" s="55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55" t="str">
        <f>+VLOOKUP($A16,Master!$D$30:$G$226,4,FALSE)</f>
        <v>Akcize</v>
      </c>
      <c r="C16" s="556"/>
      <c r="D16" s="556"/>
      <c r="E16" s="556"/>
      <c r="F16" s="55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55" t="str">
        <f>+VLOOKUP($A17,Master!$D$30:$G$226,4,FALSE)</f>
        <v>Porez na međunarodnu trgovinu i transakcije</v>
      </c>
      <c r="C17" s="556"/>
      <c r="D17" s="556"/>
      <c r="E17" s="556"/>
      <c r="F17" s="55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55" t="str">
        <f>+VLOOKUP($A18,Master!$D$30:$G$226,4,FALSE)</f>
        <v>Ostali državni porezi</v>
      </c>
      <c r="C18" s="556"/>
      <c r="D18" s="556"/>
      <c r="E18" s="556"/>
      <c r="F18" s="55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65" t="str">
        <f>+VLOOKUP($A19,Master!$D$30:$G$226,4,FALSE)</f>
        <v>Doprinosi</v>
      </c>
      <c r="C19" s="566"/>
      <c r="D19" s="566"/>
      <c r="E19" s="566"/>
      <c r="F19" s="566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55" t="str">
        <f>+VLOOKUP($A20,Master!$D$30:$G$226,4,FALSE)</f>
        <v>Doprinosi za penzijsko i invalidsko osiguranje</v>
      </c>
      <c r="C20" s="556"/>
      <c r="D20" s="556"/>
      <c r="E20" s="556"/>
      <c r="F20" s="55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55" t="str">
        <f>+VLOOKUP($A21,Master!$D$30:$G$226,4,FALSE)</f>
        <v>Doprinosi za zdravstveno osiguranje</v>
      </c>
      <c r="C21" s="556"/>
      <c r="D21" s="556"/>
      <c r="E21" s="556"/>
      <c r="F21" s="55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55" t="str">
        <f>+VLOOKUP($A22,Master!$D$30:$G$226,4,FALSE)</f>
        <v>Doprinosi za osiguranje od nezaposlenosti</v>
      </c>
      <c r="C22" s="556"/>
      <c r="D22" s="556"/>
      <c r="E22" s="556"/>
      <c r="F22" s="55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55" t="str">
        <f>+VLOOKUP($A23,Master!$D$30:$G$226,4,FALSE)</f>
        <v>Ostali doprinosi</v>
      </c>
      <c r="C23" s="556"/>
      <c r="D23" s="556"/>
      <c r="E23" s="556"/>
      <c r="F23" s="55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57" t="str">
        <f>+VLOOKUP($A24,Master!$D$30:$G$226,4,FALSE)</f>
        <v>Takse</v>
      </c>
      <c r="C24" s="558"/>
      <c r="D24" s="558"/>
      <c r="E24" s="558"/>
      <c r="F24" s="55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57" t="str">
        <f>+VLOOKUP($A25,Master!$D$30:$G$226,4,FALSE)</f>
        <v>Naknade</v>
      </c>
      <c r="C25" s="558"/>
      <c r="D25" s="558"/>
      <c r="E25" s="558"/>
      <c r="F25" s="55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57" t="str">
        <f>+VLOOKUP($A26,Master!$D$30:$G$226,4,FALSE)</f>
        <v>Ostali prihodi</v>
      </c>
      <c r="C26" s="558"/>
      <c r="D26" s="558"/>
      <c r="E26" s="558"/>
      <c r="F26" s="558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57" t="str">
        <f>+VLOOKUP($A27,Master!$D$30:$G$226,4,FALSE)</f>
        <v>Primici od otplate kredita i sredstva prenesena iz prethodne godine</v>
      </c>
      <c r="C27" s="558"/>
      <c r="D27" s="558"/>
      <c r="E27" s="558"/>
      <c r="F27" s="55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59" t="str">
        <f>+VLOOKUP($A28,Master!$D$30:$G$226,4,FALSE)</f>
        <v>Donacije i transferi</v>
      </c>
      <c r="C28" s="560"/>
      <c r="D28" s="560"/>
      <c r="E28" s="560"/>
      <c r="F28" s="560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45" t="str">
        <f>+VLOOKUP($A29,Master!$D$30:$G$226,4,FALSE)</f>
        <v>Izdaci budžeta</v>
      </c>
      <c r="C29" s="546"/>
      <c r="D29" s="546"/>
      <c r="E29" s="546"/>
      <c r="F29" s="546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63" t="str">
        <f>+VLOOKUP($A30,Master!$D$30:$G$226,4,FALSE)</f>
        <v>Tekući izdaci</v>
      </c>
      <c r="C30" s="564"/>
      <c r="D30" s="564"/>
      <c r="E30" s="564"/>
      <c r="F30" s="564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55" t="str">
        <f>+VLOOKUP($A31,Master!$D$30:$G$226,4,FALSE)</f>
        <v>Bruto zarade i doprinosi na teret poslodavca</v>
      </c>
      <c r="C31" s="556"/>
      <c r="D31" s="556"/>
      <c r="E31" s="556"/>
      <c r="F31" s="556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55" t="str">
        <f>+VLOOKUP($A32,Master!$D$30:$G$226,4,FALSE)</f>
        <v>Ostala lična primanja</v>
      </c>
      <c r="C32" s="556"/>
      <c r="D32" s="556"/>
      <c r="E32" s="556"/>
      <c r="F32" s="556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55" t="str">
        <f>+VLOOKUP($A33,Master!$D$30:$G$226,4,FALSE)</f>
        <v>Rashodi za materijal</v>
      </c>
      <c r="C33" s="556"/>
      <c r="D33" s="556"/>
      <c r="E33" s="556"/>
      <c r="F33" s="556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574" t="str">
        <f>+VLOOKUP($A34,Master!$D$30:$G$226,4,FALSE)</f>
        <v>Rashodi za usluge</v>
      </c>
      <c r="C34" s="575"/>
      <c r="D34" s="575"/>
      <c r="E34" s="575"/>
      <c r="F34" s="575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55" t="str">
        <f>+VLOOKUP($A35,Master!$D$30:$G$226,4,FALSE)</f>
        <v>Rashodi za tekuće održavanje</v>
      </c>
      <c r="C35" s="556"/>
      <c r="D35" s="556"/>
      <c r="E35" s="556"/>
      <c r="F35" s="556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55" t="str">
        <f>+VLOOKUP($A36,Master!$D$30:$G$226,4,FALSE)</f>
        <v>Kamate</v>
      </c>
      <c r="C36" s="556"/>
      <c r="D36" s="556"/>
      <c r="E36" s="556"/>
      <c r="F36" s="55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55" t="str">
        <f>+VLOOKUP($A37,Master!$D$30:$G$226,4,FALSE)</f>
        <v>Renta</v>
      </c>
      <c r="C37" s="556"/>
      <c r="D37" s="556"/>
      <c r="E37" s="556"/>
      <c r="F37" s="556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55" t="str">
        <f>+VLOOKUP($A38,Master!$D$30:$G$226,4,FALSE)</f>
        <v>Subvencije</v>
      </c>
      <c r="C38" s="556"/>
      <c r="D38" s="556"/>
      <c r="E38" s="556"/>
      <c r="F38" s="55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574" t="str">
        <f>+VLOOKUP($A39,Master!$D$30:$G$226,4,FALSE)</f>
        <v>Ostali izdaci</v>
      </c>
      <c r="C39" s="575"/>
      <c r="D39" s="575"/>
      <c r="E39" s="575"/>
      <c r="F39" s="575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51" t="str">
        <f>+VLOOKUP($A40,Master!$D$30:$G$226,4,FALSE)</f>
        <v>Transferi za socijalnu zaštitu</v>
      </c>
      <c r="C40" s="552"/>
      <c r="D40" s="552"/>
      <c r="E40" s="552"/>
      <c r="F40" s="55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55" t="str">
        <f>+VLOOKUP($A41,Master!$D$30:$G$226,4,FALSE)</f>
        <v>Prava iz oblasti socijalne zaštite</v>
      </c>
      <c r="C41" s="556"/>
      <c r="D41" s="556"/>
      <c r="E41" s="556"/>
      <c r="F41" s="55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55" t="str">
        <f>+VLOOKUP($A42,Master!$D$30:$G$226,4,FALSE)</f>
        <v>Sredstva za tehnološke viškove</v>
      </c>
      <c r="C42" s="556"/>
      <c r="D42" s="556"/>
      <c r="E42" s="556"/>
      <c r="F42" s="55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55" t="str">
        <f>+VLOOKUP($A43,Master!$D$30:$G$226,4,FALSE)</f>
        <v>Prava iz oblasti penzijskog i invalidskog osiguranja</v>
      </c>
      <c r="C43" s="556"/>
      <c r="D43" s="556"/>
      <c r="E43" s="556"/>
      <c r="F43" s="55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55" t="str">
        <f>+VLOOKUP($A44,Master!$D$30:$G$226,4,FALSE)</f>
        <v>Ostala prava iz oblasti zdravstvene zaštite</v>
      </c>
      <c r="C44" s="556"/>
      <c r="D44" s="556"/>
      <c r="E44" s="556"/>
      <c r="F44" s="55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576" t="str">
        <f>+VLOOKUP($A45,Master!$D$30:$G$226,4,FALSE)</f>
        <v>Ostala prava iz zdravstvenog osiguranja</v>
      </c>
      <c r="C45" s="577"/>
      <c r="D45" s="577"/>
      <c r="E45" s="577"/>
      <c r="F45" s="577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53" t="str">
        <f>+VLOOKUP($A46,Master!$D$30:$G$226,4,FALSE)</f>
        <v xml:space="preserve">Transferi institucijama, pojedincima, nevladinom i javnom sektoru </v>
      </c>
      <c r="C46" s="554"/>
      <c r="D46" s="554"/>
      <c r="E46" s="554"/>
      <c r="F46" s="554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53" t="str">
        <f>+VLOOKUP($A47,Master!$D$30:$G$226,4,FALSE)</f>
        <v>Kapitalni izdaci</v>
      </c>
      <c r="C47" s="554"/>
      <c r="D47" s="554"/>
      <c r="E47" s="554"/>
      <c r="F47" s="554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578" t="str">
        <f>+VLOOKUP($A48,Master!$D$30:$G$226,4,FALSE)</f>
        <v>Pozajmice i krediti</v>
      </c>
      <c r="C48" s="579"/>
      <c r="D48" s="579"/>
      <c r="E48" s="579"/>
      <c r="F48" s="579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585" t="str">
        <f>+VLOOKUP($A51,Master!$D$30:$G$226,4,TRUE)</f>
        <v>Otplata obaveza iz prethodnog perioda</v>
      </c>
      <c r="C51" s="586"/>
      <c r="D51" s="586"/>
      <c r="E51" s="586"/>
      <c r="F51" s="586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587" t="str">
        <f>+VLOOKUP($A52,Master!$D$30:$G$228,4,FALSE)</f>
        <v>Neto povećanje obaveza</v>
      </c>
      <c r="C52" s="588"/>
      <c r="D52" s="588"/>
      <c r="E52" s="588"/>
      <c r="F52" s="588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7" t="str">
        <f>+VLOOKUP($A53,Master!$D$30:$G$226,4,FALSE)</f>
        <v>Suficit / deficit</v>
      </c>
      <c r="C53" s="548"/>
      <c r="D53" s="548"/>
      <c r="E53" s="548"/>
      <c r="F53" s="548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9" t="str">
        <f>+VLOOKUP($A54,Master!$D$30:$G$226,4,FALSE)</f>
        <v>Primarni suficit/deficit</v>
      </c>
      <c r="C54" s="550"/>
      <c r="D54" s="550"/>
      <c r="E54" s="550"/>
      <c r="F54" s="550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71" t="str">
        <f>+VLOOKUP($A55,Master!$D$30:$G$226,4,FALSE)</f>
        <v>Otplata dugova</v>
      </c>
      <c r="C55" s="572"/>
      <c r="D55" s="572"/>
      <c r="E55" s="572"/>
      <c r="F55" s="57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39" t="str">
        <f>+VLOOKUP($A56,Master!$D$30:$G$226,4,FALSE)</f>
        <v>Otplata hartija od vrijednosti i kredita rezidentima</v>
      </c>
      <c r="C56" s="540"/>
      <c r="D56" s="540"/>
      <c r="E56" s="540"/>
      <c r="F56" s="540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23" t="str">
        <f>+VLOOKUP($A57,Master!$D$30:$G$226,4,FALSE)</f>
        <v>Otplata hartija od vrijednosti i kredita nerezidentima</v>
      </c>
      <c r="C57" s="524"/>
      <c r="D57" s="524"/>
      <c r="E57" s="524"/>
      <c r="F57" s="52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61" t="str">
        <f>+VLOOKUP($A58,Master!$D$30:$G$226,4,FALSE)</f>
        <v>Izdaci za kupovinu hartija od vrijednosti</v>
      </c>
      <c r="C58" s="562"/>
      <c r="D58" s="562"/>
      <c r="E58" s="562"/>
      <c r="F58" s="562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43" t="str">
        <f>+VLOOKUP($A59,Master!$D$30:$G$226,4,FALSE)</f>
        <v>Nedostajuća sredstva</v>
      </c>
      <c r="C59" s="544"/>
      <c r="D59" s="544"/>
      <c r="E59" s="544"/>
      <c r="F59" s="544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45" t="str">
        <f>+VLOOKUP($A60,Master!$D$30:$G$226,4,FALSE)</f>
        <v>Finansiranje</v>
      </c>
      <c r="C60" s="546"/>
      <c r="D60" s="546"/>
      <c r="E60" s="546"/>
      <c r="F60" s="546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39" t="str">
        <f>+VLOOKUP($A61,Master!$D$30:$G$226,4,FALSE)</f>
        <v>Pozajmice i krediti od domaćih izvora</v>
      </c>
      <c r="C61" s="540"/>
      <c r="D61" s="540"/>
      <c r="E61" s="540"/>
      <c r="F61" s="54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23" t="str">
        <f>+VLOOKUP($A62,Master!$D$30:$G$226,4,FALSE)</f>
        <v>Pozajmice i krediti od inostranih izvora</v>
      </c>
      <c r="C62" s="524"/>
      <c r="D62" s="524"/>
      <c r="E62" s="524"/>
      <c r="F62" s="524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23" t="str">
        <f>+VLOOKUP($A63,Master!$D$30:$G$226,4,FALSE)</f>
        <v>Primici od prodaje imovine</v>
      </c>
      <c r="C63" s="524"/>
      <c r="D63" s="524"/>
      <c r="E63" s="524"/>
      <c r="F63" s="52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5" t="str">
        <f>+Master!G253</f>
        <v>Plan ostvarenja budžeta</v>
      </c>
      <c r="C81" s="596"/>
      <c r="D81" s="596"/>
      <c r="E81" s="596"/>
      <c r="F81" s="596"/>
      <c r="G81" s="580">
        <v>2021</v>
      </c>
      <c r="H81" s="581"/>
      <c r="I81" s="581"/>
      <c r="J81" s="581"/>
      <c r="K81" s="581"/>
      <c r="L81" s="581"/>
      <c r="M81" s="581"/>
      <c r="N81" s="581"/>
      <c r="O81" s="581"/>
      <c r="P81" s="581"/>
      <c r="Q81" s="581"/>
      <c r="R81" s="582"/>
      <c r="S81" s="107" t="str">
        <f>+S7</f>
        <v>BDP</v>
      </c>
      <c r="T81" s="108">
        <v>4636600000</v>
      </c>
    </row>
    <row r="82" spans="1:21" ht="15.75" customHeight="1">
      <c r="B82" s="597"/>
      <c r="C82" s="598"/>
      <c r="D82" s="598"/>
      <c r="E82" s="598"/>
      <c r="F82" s="59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80" t="str">
        <f>+Master!G247</f>
        <v>Jan - Dec</v>
      </c>
      <c r="T82" s="582">
        <f>+T8</f>
        <v>0</v>
      </c>
    </row>
    <row r="83" spans="1:21" ht="13.5" thickBot="1">
      <c r="B83" s="600"/>
      <c r="C83" s="601"/>
      <c r="D83" s="601"/>
      <c r="E83" s="601"/>
      <c r="F83" s="60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5" t="str">
        <f>+VLOOKUP(LEFT($A84,LEN(A84)-1)*1,Master!$D$30:$G$226,4,FALSE)</f>
        <v>Prihodi budžeta</v>
      </c>
      <c r="C84" s="626"/>
      <c r="D84" s="626"/>
      <c r="E84" s="626"/>
      <c r="F84" s="626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91" t="str">
        <f>+VLOOKUP(LEFT($A85,LEN(A85)-1)*1,Master!$D$30:$G$226,4,FALSE)</f>
        <v>Porezi</v>
      </c>
      <c r="C85" s="592"/>
      <c r="D85" s="592"/>
      <c r="E85" s="592"/>
      <c r="F85" s="59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93" t="str">
        <f>+VLOOKUP(LEFT($A86,LEN(A86)-1)*1,Master!$D$30:$G$229,4,FALSE)</f>
        <v>Porez na dohodak fizičkih lica</v>
      </c>
      <c r="C86" s="594"/>
      <c r="D86" s="594"/>
      <c r="E86" s="594"/>
      <c r="F86" s="594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93" t="str">
        <f>+VLOOKUP(LEFT($A87,LEN(A87)-1)*1,Master!$D$30:$G$229,4,FALSE)</f>
        <v>Porez na dobit pravnih lica</v>
      </c>
      <c r="C87" s="594"/>
      <c r="D87" s="594"/>
      <c r="E87" s="594"/>
      <c r="F87" s="594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93" t="str">
        <f>+VLOOKUP(LEFT($A88,LEN(A88)-1)*1,Master!$D$30:$G$229,4,FALSE)</f>
        <v>Porez na promet nepokretnosti</v>
      </c>
      <c r="C88" s="594"/>
      <c r="D88" s="594"/>
      <c r="E88" s="594"/>
      <c r="F88" s="594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93" t="str">
        <f>+VLOOKUP(LEFT($A89,LEN(A89)-1)*1,Master!$D$30:$G$229,4,FALSE)</f>
        <v>Porez na dodatu vrijednost</v>
      </c>
      <c r="C89" s="594"/>
      <c r="D89" s="594"/>
      <c r="E89" s="594"/>
      <c r="F89" s="594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93" t="str">
        <f>+VLOOKUP(LEFT($A90,LEN(A90)-1)*1,Master!$D$30:$G$229,4,FALSE)</f>
        <v>Akcize</v>
      </c>
      <c r="C90" s="594"/>
      <c r="D90" s="594"/>
      <c r="E90" s="594"/>
      <c r="F90" s="594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93" t="str">
        <f>+VLOOKUP(LEFT($A91,LEN(A91)-1)*1,Master!$D$30:$G$229,4,FALSE)</f>
        <v>Porez na međunarodnu trgovinu i transakcije</v>
      </c>
      <c r="C91" s="594"/>
      <c r="D91" s="594"/>
      <c r="E91" s="594"/>
      <c r="F91" s="594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93" t="str">
        <f>+VLOOKUP(LEFT($A92,LEN(A92)-1)*1,Master!$D$30:$G$229,4,FALSE)</f>
        <v>Ostali državni porezi</v>
      </c>
      <c r="C92" s="594"/>
      <c r="D92" s="594"/>
      <c r="E92" s="594"/>
      <c r="F92" s="594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3" t="str">
        <f>+VLOOKUP(LEFT($A93,LEN(A93)-1)*1,Master!$D$30:$G$229,4,FALSE)</f>
        <v>Doprinosi</v>
      </c>
      <c r="C93" s="624"/>
      <c r="D93" s="624"/>
      <c r="E93" s="624"/>
      <c r="F93" s="624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93" t="str">
        <f>+VLOOKUP(LEFT($A94,LEN(A94)-1)*1,Master!$D$30:$G$229,4,FALSE)</f>
        <v>Doprinosi za penzijsko i invalidsko osiguranje</v>
      </c>
      <c r="C94" s="594"/>
      <c r="D94" s="594"/>
      <c r="E94" s="594"/>
      <c r="F94" s="594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93" t="str">
        <f>+VLOOKUP(LEFT($A95,LEN(A95)-1)*1,Master!$D$30:$G$229,4,FALSE)</f>
        <v>Doprinosi za zdravstveno osiguranje</v>
      </c>
      <c r="C95" s="594"/>
      <c r="D95" s="594"/>
      <c r="E95" s="594"/>
      <c r="F95" s="594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93" t="str">
        <f>+VLOOKUP(LEFT($A96,LEN(A96)-1)*1,Master!$D$30:$G$229,4,FALSE)</f>
        <v>Doprinosi za osiguranje od nezaposlenosti</v>
      </c>
      <c r="C96" s="594"/>
      <c r="D96" s="594"/>
      <c r="E96" s="594"/>
      <c r="F96" s="594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93" t="str">
        <f>+VLOOKUP(LEFT($A97,LEN(A97)-1)*1,Master!$D$30:$G$229,4,FALSE)</f>
        <v>Ostali doprinosi</v>
      </c>
      <c r="C97" s="594"/>
      <c r="D97" s="594"/>
      <c r="E97" s="594"/>
      <c r="F97" s="594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603" t="str">
        <f>+VLOOKUP(LEFT($A98,LEN(A98)-1)*1,Master!$D$30:$G$229,4,FALSE)</f>
        <v>Takse</v>
      </c>
      <c r="C98" s="604"/>
      <c r="D98" s="604"/>
      <c r="E98" s="604"/>
      <c r="F98" s="604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603" t="str">
        <f>+VLOOKUP(LEFT($A99,LEN(A99)-1)*1,Master!$D$30:$G$229,4,FALSE)</f>
        <v>Naknade</v>
      </c>
      <c r="C99" s="604"/>
      <c r="D99" s="604"/>
      <c r="E99" s="604"/>
      <c r="F99" s="604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603" t="str">
        <f>+VLOOKUP(LEFT($A100,LEN(A100)-1)*1,Master!$D$30:$G$229,4,FALSE)</f>
        <v>Ostali prihodi</v>
      </c>
      <c r="C100" s="604"/>
      <c r="D100" s="604"/>
      <c r="E100" s="604"/>
      <c r="F100" s="604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603" t="str">
        <f>+VLOOKUP(LEFT($A101,LEN(A101)-1)*1,Master!$D$30:$G$229,4,FALSE)</f>
        <v>Primici od otplate kredita i sredstva prenesena iz prethodne godine</v>
      </c>
      <c r="C101" s="604"/>
      <c r="D101" s="604"/>
      <c r="E101" s="604"/>
      <c r="F101" s="604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605" t="str">
        <f>+VLOOKUP(LEFT($A102,LEN(A102)-1)*1,Master!$D$30:$G$229,4,FALSE)</f>
        <v>Donacije i transferi</v>
      </c>
      <c r="C102" s="606"/>
      <c r="D102" s="606"/>
      <c r="E102" s="606"/>
      <c r="F102" s="606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89" t="str">
        <f>+VLOOKUP(LEFT($A103,LEN(A103)-1)*1,Master!$D$30:$G$229,4,FALSE)</f>
        <v>Izdaci budžeta</v>
      </c>
      <c r="C103" s="590"/>
      <c r="D103" s="590"/>
      <c r="E103" s="590"/>
      <c r="F103" s="590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607" t="str">
        <f>+VLOOKUP(LEFT($A104,LEN(A104)-1)*1,Master!$D$30:$G$229,4,FALSE)</f>
        <v>Tekući izdaci</v>
      </c>
      <c r="C104" s="608"/>
      <c r="D104" s="608"/>
      <c r="E104" s="608"/>
      <c r="F104" s="608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93" t="str">
        <f>+VLOOKUP(LEFT($A105,LEN(A105)-1)*1,Master!$D$30:$G$229,4,FALSE)</f>
        <v>Bruto zarade i doprinosi na teret poslodavca</v>
      </c>
      <c r="C105" s="594"/>
      <c r="D105" s="594"/>
      <c r="E105" s="594"/>
      <c r="F105" s="594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93" t="str">
        <f>+VLOOKUP(LEFT($A106,LEN(A106)-1)*1,Master!$D$30:$G$229,4,FALSE)</f>
        <v>Ostala lična primanja</v>
      </c>
      <c r="C106" s="594"/>
      <c r="D106" s="594"/>
      <c r="E106" s="594"/>
      <c r="F106" s="594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93" t="str">
        <f>+VLOOKUP(LEFT($A107,LEN(A107)-1)*1,Master!$D$30:$G$229,4,FALSE)</f>
        <v>Rashodi za materijal</v>
      </c>
      <c r="C107" s="594"/>
      <c r="D107" s="594"/>
      <c r="E107" s="594"/>
      <c r="F107" s="594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93" t="str">
        <f>+VLOOKUP(LEFT($A108,LEN(A108)-1)*1,Master!$D$30:$G$229,4,FALSE)</f>
        <v>Rashodi za usluge</v>
      </c>
      <c r="C108" s="594"/>
      <c r="D108" s="594"/>
      <c r="E108" s="594"/>
      <c r="F108" s="594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93" t="str">
        <f>+VLOOKUP(LEFT($A109,LEN(A109)-1)*1,Master!$D$30:$G$229,4,FALSE)</f>
        <v>Rashodi za tekuće održavanje</v>
      </c>
      <c r="C109" s="594"/>
      <c r="D109" s="594"/>
      <c r="E109" s="594"/>
      <c r="F109" s="594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93" t="str">
        <f>+VLOOKUP(LEFT($A110,LEN(A110)-1)*1,Master!$D$30:$G$229,4,FALSE)</f>
        <v>Kamate</v>
      </c>
      <c r="C110" s="594"/>
      <c r="D110" s="594"/>
      <c r="E110" s="594"/>
      <c r="F110" s="594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93" t="str">
        <f>+VLOOKUP(LEFT($A111,LEN(A111)-1)*1,Master!$D$30:$G$229,4,FALSE)</f>
        <v>Renta</v>
      </c>
      <c r="C111" s="594"/>
      <c r="D111" s="594"/>
      <c r="E111" s="594"/>
      <c r="F111" s="594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93" t="str">
        <f>+VLOOKUP(LEFT($A112,LEN(A112)-1)*1,Master!$D$30:$G$229,4,FALSE)</f>
        <v>Subvencije</v>
      </c>
      <c r="C112" s="594"/>
      <c r="D112" s="594"/>
      <c r="E112" s="594"/>
      <c r="F112" s="594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93" t="str">
        <f>+VLOOKUP(LEFT($A113,LEN(A113)-1)*1,Master!$D$30:$G$229,4,FALSE)</f>
        <v>Ostali izdaci</v>
      </c>
      <c r="C113" s="594"/>
      <c r="D113" s="594"/>
      <c r="E113" s="594"/>
      <c r="F113" s="594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613" t="str">
        <f>+VLOOKUP(LEFT($A114,LEN(A114)-1)*1,Master!$D$30:$G$229,4,FALSE)</f>
        <v>Transferi za socijalnu zaštitu</v>
      </c>
      <c r="C114" s="614"/>
      <c r="D114" s="614"/>
      <c r="E114" s="614"/>
      <c r="F114" s="614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93" t="str">
        <f>+VLOOKUP(LEFT($A115,LEN(A115)-1)*1,Master!$D$30:$G$229,4,FALSE)</f>
        <v>Prava iz oblasti socijalne zaštite</v>
      </c>
      <c r="C115" s="594"/>
      <c r="D115" s="594"/>
      <c r="E115" s="594"/>
      <c r="F115" s="594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93" t="str">
        <f>+VLOOKUP(LEFT($A116,LEN(A116)-1)*1,Master!$D$30:$G$229,4,FALSE)</f>
        <v>Sredstva za tehnološke viškove</v>
      </c>
      <c r="C116" s="594"/>
      <c r="D116" s="594"/>
      <c r="E116" s="594"/>
      <c r="F116" s="594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93" t="str">
        <f>+VLOOKUP(LEFT($A117,LEN(A117)-1)*1,Master!$D$30:$G$229,4,FALSE)</f>
        <v>Prava iz oblasti penzijskog i invalidskog osiguranja</v>
      </c>
      <c r="C117" s="594"/>
      <c r="D117" s="594"/>
      <c r="E117" s="594"/>
      <c r="F117" s="594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93" t="str">
        <f>+VLOOKUP(LEFT($A118,LEN(A118)-1)*1,Master!$D$30:$G$229,4,FALSE)</f>
        <v>Ostala prava iz oblasti zdravstvene zaštite</v>
      </c>
      <c r="C118" s="594"/>
      <c r="D118" s="594"/>
      <c r="E118" s="594"/>
      <c r="F118" s="594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93" t="str">
        <f>+VLOOKUP(LEFT($A119,LEN(A119)-1)*1,Master!$D$30:$G$229,4,FALSE)</f>
        <v>Ostala prava iz zdravstvenog osiguranja</v>
      </c>
      <c r="C119" s="594"/>
      <c r="D119" s="594"/>
      <c r="E119" s="594"/>
      <c r="F119" s="594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609" t="str">
        <f>+VLOOKUP(LEFT($A120,LEN(A120)-1)*1,Master!$D$30:$G$229,4,FALSE)</f>
        <v xml:space="preserve">Transferi institucijama, pojedincima, nevladinom i javnom sektoru </v>
      </c>
      <c r="C120" s="610"/>
      <c r="D120" s="610"/>
      <c r="E120" s="610"/>
      <c r="F120" s="610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609" t="str">
        <f>+VLOOKUP(LEFT($A121,LEN(A121)-1)*1,Master!$D$30:$G$229,4,FALSE)</f>
        <v>Kapitalni izdaci</v>
      </c>
      <c r="C121" s="610"/>
      <c r="D121" s="610"/>
      <c r="E121" s="610"/>
      <c r="F121" s="610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611" t="str">
        <f>+VLOOKUP(LEFT($A122,LEN(A122)-1)*1,Master!$D$30:$G$229,4,FALSE)</f>
        <v>Pozajmice i krediti</v>
      </c>
      <c r="C122" s="612"/>
      <c r="D122" s="612"/>
      <c r="E122" s="612"/>
      <c r="F122" s="612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611" t="str">
        <f>+VLOOKUP(LEFT($A123,LEN(A123)-1)*1,Master!$D$30:$G$229,4,FALSE)</f>
        <v>Rezerve</v>
      </c>
      <c r="C123" s="612"/>
      <c r="D123" s="612"/>
      <c r="E123" s="612"/>
      <c r="F123" s="612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611" t="str">
        <f>+VLOOKUP(LEFT($A124,LEN(A124)-1)*1,Master!$D$30:$G$229,4,FALSE)</f>
        <v>Otplata garancija</v>
      </c>
      <c r="C124" s="612"/>
      <c r="D124" s="612"/>
      <c r="E124" s="612"/>
      <c r="F124" s="612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611" t="str">
        <f>+VLOOKUP(LEFT($A125,LEN(A125)-1)*1,Master!$D$30:$G$229,4,FALSE)</f>
        <v>Otplata obaveza iz prethodnog perioda</v>
      </c>
      <c r="C125" s="612"/>
      <c r="D125" s="612"/>
      <c r="E125" s="612"/>
      <c r="F125" s="612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611" t="str">
        <f>+VLOOKUP(LEFT($A126,LEN(A126)-1)*1,Master!$D$30:$G$229,4,FALSE)</f>
        <v>Neto povećanje obaveza</v>
      </c>
      <c r="C126" s="612"/>
      <c r="D126" s="612"/>
      <c r="E126" s="612"/>
      <c r="F126" s="61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619" t="str">
        <f>+VLOOKUP(LEFT($A127,LEN(A127)-1)*1,Master!$D$30:$G$226,4,FALSE)</f>
        <v>Suficit / deficit</v>
      </c>
      <c r="C127" s="620"/>
      <c r="D127" s="620"/>
      <c r="E127" s="620"/>
      <c r="F127" s="620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21" t="str">
        <f>+VLOOKUP(LEFT($A128,LEN(A128)-1)*1,Master!$D$30:$G$226,4,FALSE)</f>
        <v>Primarni suficit/deficit</v>
      </c>
      <c r="C128" s="622"/>
      <c r="D128" s="622"/>
      <c r="E128" s="622"/>
      <c r="F128" s="622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613" t="str">
        <f>+VLOOKUP(LEFT($A129,LEN(A129)-1)*1,Master!$D$30:$G$226,4,FALSE)</f>
        <v>Otplata dugova</v>
      </c>
      <c r="C129" s="614"/>
      <c r="D129" s="614"/>
      <c r="E129" s="614"/>
      <c r="F129" s="614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617" t="str">
        <f>+VLOOKUP(LEFT($A130,LEN(A130)-1)*1,Master!$D$30:$G$226,4,FALSE)</f>
        <v>Otplata hartija od vrijednosti i kredita rezidentima</v>
      </c>
      <c r="C130" s="618"/>
      <c r="D130" s="618"/>
      <c r="E130" s="618"/>
      <c r="F130" s="618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611" t="str">
        <f>+VLOOKUP(LEFT($A131,LEN(A131)-1)*1,Master!$D$30:$G$226,4,FALSE)</f>
        <v>Otplata hartija od vrijednosti i kredita nerezidentima</v>
      </c>
      <c r="C131" s="612"/>
      <c r="D131" s="612"/>
      <c r="E131" s="612"/>
      <c r="F131" s="612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9" t="str">
        <f>+VLOOKUP(LEFT($A132,LEN(A132)-1)*1,Master!$D$30:$G$226,4,FALSE)</f>
        <v>Izdaci za kupovinu hartija od vrijednosti</v>
      </c>
      <c r="C132" s="590"/>
      <c r="D132" s="590"/>
      <c r="E132" s="590"/>
      <c r="F132" s="590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615" t="str">
        <f>+VLOOKUP(LEFT($A133,LEN(A133)-1)*1,Master!$D$30:$G$226,4,FALSE)</f>
        <v>Nedostajuća sredstva</v>
      </c>
      <c r="C133" s="616"/>
      <c r="D133" s="616"/>
      <c r="E133" s="616"/>
      <c r="F133" s="616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89" t="str">
        <f>+VLOOKUP(LEFT($A134,LEN(A134)-1)*1,Master!$D$30:$G$226,4,FALSE)</f>
        <v>Finansiranje</v>
      </c>
      <c r="C134" s="590"/>
      <c r="D134" s="590"/>
      <c r="E134" s="590"/>
      <c r="F134" s="590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617" t="str">
        <f>+VLOOKUP(LEFT($A135,LEN(A135)-1)*1,Master!$D$30:$G$226,4,FALSE)</f>
        <v>Pozajmice i krediti od domaćih izvora</v>
      </c>
      <c r="C135" s="618"/>
      <c r="D135" s="618"/>
      <c r="E135" s="618"/>
      <c r="F135" s="618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611" t="str">
        <f>+VLOOKUP(LEFT($A136,LEN(A136)-1)*1,Master!$D$30:$G$226,4,FALSE)</f>
        <v>Pozajmice i krediti od inostranih izvora</v>
      </c>
      <c r="C136" s="612"/>
      <c r="D136" s="612"/>
      <c r="E136" s="612"/>
      <c r="F136" s="612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611" t="str">
        <f>+VLOOKUP(LEFT($A137,LEN(A137)-1)*1,Master!$D$30:$G$226,4,FALSE)</f>
        <v>Primici od prodaje imovine</v>
      </c>
      <c r="C137" s="612"/>
      <c r="D137" s="612"/>
      <c r="E137" s="612"/>
      <c r="F137" s="612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573" t="str">
        <f>+Master!G252</f>
        <v>Ostvarenje budžeta</v>
      </c>
      <c r="C7" s="526"/>
      <c r="D7" s="526"/>
      <c r="E7" s="526"/>
      <c r="F7" s="526"/>
      <c r="G7" s="534">
        <v>2020</v>
      </c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8"/>
      <c r="S7" s="235" t="str">
        <f>+Master!G249</f>
        <v>BDP</v>
      </c>
      <c r="T7" s="236">
        <v>4185600000</v>
      </c>
    </row>
    <row r="8" spans="1:20" ht="16.5" customHeight="1">
      <c r="A8" s="144"/>
      <c r="B8" s="527"/>
      <c r="C8" s="528"/>
      <c r="D8" s="528"/>
      <c r="E8" s="528"/>
      <c r="F8" s="529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4" t="str">
        <f>+Master!G247</f>
        <v>Jan - Dec</v>
      </c>
      <c r="T8" s="538"/>
    </row>
    <row r="9" spans="1:20" ht="13.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69" t="str">
        <f>+VLOOKUP($A11,Master!$D$30:$G$226,4,FALSE)</f>
        <v>Porezi</v>
      </c>
      <c r="C11" s="570"/>
      <c r="D11" s="570"/>
      <c r="E11" s="570"/>
      <c r="F11" s="570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55" t="str">
        <f>+VLOOKUP($A12,Master!$D$30:$G$226,4,FALSE)</f>
        <v>Porez na dohodak fizičkih lica</v>
      </c>
      <c r="C12" s="556"/>
      <c r="D12" s="556"/>
      <c r="E12" s="556"/>
      <c r="F12" s="55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55" t="str">
        <f>+VLOOKUP($A13,Master!$D$30:$G$226,4,FALSE)</f>
        <v>Porez na dobit pravnih lica</v>
      </c>
      <c r="C13" s="556"/>
      <c r="D13" s="556"/>
      <c r="E13" s="556"/>
      <c r="F13" s="55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55" t="str">
        <f>+VLOOKUP($A14,Master!$D$30:$G$226,4,FALSE)</f>
        <v>Porez na promet nepokretnosti</v>
      </c>
      <c r="C14" s="556"/>
      <c r="D14" s="556"/>
      <c r="E14" s="556"/>
      <c r="F14" s="55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55" t="str">
        <f>+VLOOKUP($A15,Master!$D$30:$G$226,4,FALSE)</f>
        <v>Porez na dodatu vrijednost</v>
      </c>
      <c r="C15" s="556"/>
      <c r="D15" s="556"/>
      <c r="E15" s="556"/>
      <c r="F15" s="55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55" t="str">
        <f>+VLOOKUP($A16,Master!$D$30:$G$226,4,FALSE)</f>
        <v>Akcize</v>
      </c>
      <c r="C16" s="556"/>
      <c r="D16" s="556"/>
      <c r="E16" s="556"/>
      <c r="F16" s="55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55" t="str">
        <f>+VLOOKUP($A17,Master!$D$30:$G$226,4,FALSE)</f>
        <v>Porez na međunarodnu trgovinu i transakcije</v>
      </c>
      <c r="C17" s="556"/>
      <c r="D17" s="556"/>
      <c r="E17" s="556"/>
      <c r="F17" s="55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55" t="str">
        <f>+VLOOKUP($A18,Master!$D$30:$G$226,4,FALSE)</f>
        <v>Ostali državni porezi</v>
      </c>
      <c r="C18" s="556"/>
      <c r="D18" s="556"/>
      <c r="E18" s="556"/>
      <c r="F18" s="55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65" t="str">
        <f>+VLOOKUP($A19,Master!$D$30:$G$226,4,FALSE)</f>
        <v>Doprinosi</v>
      </c>
      <c r="C19" s="566"/>
      <c r="D19" s="566"/>
      <c r="E19" s="566"/>
      <c r="F19" s="566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55" t="str">
        <f>+VLOOKUP($A20,Master!$D$30:$G$226,4,FALSE)</f>
        <v>Doprinosi za penzijsko i invalidsko osiguranje</v>
      </c>
      <c r="C20" s="556"/>
      <c r="D20" s="556"/>
      <c r="E20" s="556"/>
      <c r="F20" s="55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55" t="str">
        <f>+VLOOKUP($A21,Master!$D$30:$G$226,4,FALSE)</f>
        <v>Doprinosi za zdravstveno osiguranje</v>
      </c>
      <c r="C21" s="556"/>
      <c r="D21" s="556"/>
      <c r="E21" s="556"/>
      <c r="F21" s="55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55" t="str">
        <f>+VLOOKUP($A22,Master!$D$30:$G$226,4,FALSE)</f>
        <v>Doprinosi za osiguranje od nezaposlenosti</v>
      </c>
      <c r="C22" s="556"/>
      <c r="D22" s="556"/>
      <c r="E22" s="556"/>
      <c r="F22" s="55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55" t="str">
        <f>+VLOOKUP($A23,Master!$D$30:$G$226,4,FALSE)</f>
        <v>Ostali doprinosi</v>
      </c>
      <c r="C23" s="556"/>
      <c r="D23" s="556"/>
      <c r="E23" s="556"/>
      <c r="F23" s="55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57" t="str">
        <f>+VLOOKUP($A24,Master!$D$30:$G$226,4,FALSE)</f>
        <v>Takse</v>
      </c>
      <c r="C24" s="558"/>
      <c r="D24" s="558"/>
      <c r="E24" s="558"/>
      <c r="F24" s="55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57" t="str">
        <f>+VLOOKUP($A25,Master!$D$30:$G$226,4,FALSE)</f>
        <v>Naknade</v>
      </c>
      <c r="C25" s="558"/>
      <c r="D25" s="558"/>
      <c r="E25" s="558"/>
      <c r="F25" s="55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57" t="str">
        <f>+VLOOKUP($A26,Master!$D$30:$G$226,4,FALSE)</f>
        <v>Ostali prihodi</v>
      </c>
      <c r="C26" s="558"/>
      <c r="D26" s="558"/>
      <c r="E26" s="558"/>
      <c r="F26" s="55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57" t="str">
        <f>+VLOOKUP($A27,Master!$D$30:$G$226,4,FALSE)</f>
        <v>Primici od otplate kredita i sredstva prenesena iz prethodne godine</v>
      </c>
      <c r="C27" s="558"/>
      <c r="D27" s="558"/>
      <c r="E27" s="558"/>
      <c r="F27" s="55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59" t="str">
        <f>+VLOOKUP($A28,Master!$D$30:$G$226,4,FALSE)</f>
        <v>Donacije i transferi</v>
      </c>
      <c r="C28" s="560"/>
      <c r="D28" s="560"/>
      <c r="E28" s="560"/>
      <c r="F28" s="560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45" t="str">
        <f>+VLOOKUP($A29,Master!$D$30:$G$226,4,FALSE)</f>
        <v>Izdaci budžeta</v>
      </c>
      <c r="C29" s="546"/>
      <c r="D29" s="546"/>
      <c r="E29" s="546"/>
      <c r="F29" s="546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63" t="str">
        <f>+VLOOKUP($A30,Master!$D$30:$G$226,4,FALSE)</f>
        <v>Tekući izdaci</v>
      </c>
      <c r="C30" s="564"/>
      <c r="D30" s="564"/>
      <c r="E30" s="564"/>
      <c r="F30" s="564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55" t="str">
        <f>+VLOOKUP($A31,Master!$D$30:$G$226,4,FALSE)</f>
        <v>Bruto zarade i doprinosi na teret poslodavca</v>
      </c>
      <c r="C31" s="556"/>
      <c r="D31" s="556"/>
      <c r="E31" s="556"/>
      <c r="F31" s="55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55" t="str">
        <f>+VLOOKUP($A32,Master!$D$30:$G$226,4,FALSE)</f>
        <v>Ostala lična primanja</v>
      </c>
      <c r="C32" s="556"/>
      <c r="D32" s="556"/>
      <c r="E32" s="556"/>
      <c r="F32" s="55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55" t="str">
        <f>+VLOOKUP($A33,Master!$D$30:$G$226,4,FALSE)</f>
        <v>Rashodi za materijal</v>
      </c>
      <c r="C33" s="556"/>
      <c r="D33" s="556"/>
      <c r="E33" s="556"/>
      <c r="F33" s="55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574" t="str">
        <f>+VLOOKUP($A34,Master!$D$30:$G$226,4,FALSE)</f>
        <v>Rashodi za usluge</v>
      </c>
      <c r="C34" s="575"/>
      <c r="D34" s="575"/>
      <c r="E34" s="575"/>
      <c r="F34" s="57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55" t="str">
        <f>+VLOOKUP($A35,Master!$D$30:$G$226,4,FALSE)</f>
        <v>Rashodi za tekuće održavanje</v>
      </c>
      <c r="C35" s="556"/>
      <c r="D35" s="556"/>
      <c r="E35" s="556"/>
      <c r="F35" s="55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55" t="str">
        <f>+VLOOKUP($A36,Master!$D$30:$G$226,4,FALSE)</f>
        <v>Kamate</v>
      </c>
      <c r="C36" s="556"/>
      <c r="D36" s="556"/>
      <c r="E36" s="556"/>
      <c r="F36" s="55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55" t="str">
        <f>+VLOOKUP($A37,Master!$D$30:$G$226,4,FALSE)</f>
        <v>Renta</v>
      </c>
      <c r="C37" s="556"/>
      <c r="D37" s="556"/>
      <c r="E37" s="556"/>
      <c r="F37" s="55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55" t="str">
        <f>+VLOOKUP($A38,Master!$D$30:$G$226,4,FALSE)</f>
        <v>Subvencije</v>
      </c>
      <c r="C38" s="556"/>
      <c r="D38" s="556"/>
      <c r="E38" s="556"/>
      <c r="F38" s="55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574" t="str">
        <f>+VLOOKUP($A39,Master!$D$30:$G$226,4,FALSE)</f>
        <v>Ostali izdaci</v>
      </c>
      <c r="C39" s="575"/>
      <c r="D39" s="575"/>
      <c r="E39" s="575"/>
      <c r="F39" s="57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51" t="str">
        <f>+VLOOKUP($A40,Master!$D$30:$G$226,4,FALSE)</f>
        <v>Transferi za socijalnu zaštitu</v>
      </c>
      <c r="C40" s="552"/>
      <c r="D40" s="552"/>
      <c r="E40" s="552"/>
      <c r="F40" s="55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55" t="str">
        <f>+VLOOKUP($A41,Master!$D$30:$G$226,4,FALSE)</f>
        <v>Prava iz oblasti socijalne zaštite</v>
      </c>
      <c r="C41" s="556"/>
      <c r="D41" s="556"/>
      <c r="E41" s="556"/>
      <c r="F41" s="55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55" t="str">
        <f>+VLOOKUP($A42,Master!$D$30:$G$226,4,FALSE)</f>
        <v>Sredstva za tehnološke viškove</v>
      </c>
      <c r="C42" s="556"/>
      <c r="D42" s="556"/>
      <c r="E42" s="556"/>
      <c r="F42" s="55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55" t="str">
        <f>+VLOOKUP($A43,Master!$D$30:$G$226,4,FALSE)</f>
        <v>Prava iz oblasti penzijskog i invalidskog osiguranja</v>
      </c>
      <c r="C43" s="556"/>
      <c r="D43" s="556"/>
      <c r="E43" s="556"/>
      <c r="F43" s="55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55" t="str">
        <f>+VLOOKUP($A44,Master!$D$30:$G$226,4,FALSE)</f>
        <v>Ostala prava iz oblasti zdravstvene zaštite</v>
      </c>
      <c r="C44" s="556"/>
      <c r="D44" s="556"/>
      <c r="E44" s="556"/>
      <c r="F44" s="55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576" t="str">
        <f>+VLOOKUP($A45,Master!$D$30:$G$226,4,FALSE)</f>
        <v>Ostala prava iz zdravstvenog osiguranja</v>
      </c>
      <c r="C45" s="577"/>
      <c r="D45" s="577"/>
      <c r="E45" s="577"/>
      <c r="F45" s="577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53" t="str">
        <f>+VLOOKUP($A46,Master!$D$30:$G$226,4,FALSE)</f>
        <v xml:space="preserve">Transferi institucijama, pojedincima, nevladinom i javnom sektoru </v>
      </c>
      <c r="C46" s="554"/>
      <c r="D46" s="554"/>
      <c r="E46" s="554"/>
      <c r="F46" s="55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53" t="str">
        <f>+VLOOKUP($A47,Master!$D$30:$G$226,4,FALSE)</f>
        <v>Kapitalni izdaci</v>
      </c>
      <c r="C47" s="554"/>
      <c r="D47" s="554"/>
      <c r="E47" s="554"/>
      <c r="F47" s="55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578" t="str">
        <f>+VLOOKUP($A48,Master!$D$30:$G$226,4,FALSE)</f>
        <v>Pozajmice i krediti</v>
      </c>
      <c r="C48" s="579"/>
      <c r="D48" s="579"/>
      <c r="E48" s="579"/>
      <c r="F48" s="579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585" t="str">
        <f>+VLOOKUP($A51,Master!$D$30:$G$226,4,TRUE)</f>
        <v>Otplata obaveza iz prethodnog perioda</v>
      </c>
      <c r="C51" s="586"/>
      <c r="D51" s="586"/>
      <c r="E51" s="586"/>
      <c r="F51" s="586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587" t="str">
        <f>+VLOOKUP($A52,Master!$D$30:$G$228,4,FALSE)</f>
        <v>Neto povećanje obaveza</v>
      </c>
      <c r="C52" s="588"/>
      <c r="D52" s="588"/>
      <c r="E52" s="588"/>
      <c r="F52" s="58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7" t="str">
        <f>+VLOOKUP($A53,Master!$D$30:$G$226,4,FALSE)</f>
        <v>Suficit / deficit</v>
      </c>
      <c r="C53" s="548"/>
      <c r="D53" s="548"/>
      <c r="E53" s="548"/>
      <c r="F53" s="54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9" t="str">
        <f>+VLOOKUP($A54,Master!$D$30:$G$226,4,FALSE)</f>
        <v>Primarni suficit/deficit</v>
      </c>
      <c r="C54" s="550"/>
      <c r="D54" s="550"/>
      <c r="E54" s="550"/>
      <c r="F54" s="55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71" t="str">
        <f>+VLOOKUP($A55,Master!$D$30:$G$226,4,FALSE)</f>
        <v>Otplata dugova</v>
      </c>
      <c r="C55" s="572"/>
      <c r="D55" s="572"/>
      <c r="E55" s="572"/>
      <c r="F55" s="57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39" t="str">
        <f>+VLOOKUP($A56,Master!$D$30:$G$226,4,FALSE)</f>
        <v>Otplata hartija od vrijednosti i kredita rezidentima</v>
      </c>
      <c r="C56" s="540"/>
      <c r="D56" s="540"/>
      <c r="E56" s="540"/>
      <c r="F56" s="540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23" t="str">
        <f>+VLOOKUP($A57,Master!$D$30:$G$226,4,FALSE)</f>
        <v>Otplata hartija od vrijednosti i kredita nerezidentima</v>
      </c>
      <c r="C57" s="524"/>
      <c r="D57" s="524"/>
      <c r="E57" s="524"/>
      <c r="F57" s="52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61" t="str">
        <f>+VLOOKUP($A58,Master!$D$30:$G$226,4,FALSE)</f>
        <v>Izdaci za kupovinu hartija od vrijednosti</v>
      </c>
      <c r="C58" s="562"/>
      <c r="D58" s="562"/>
      <c r="E58" s="562"/>
      <c r="F58" s="562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43" t="str">
        <f>+VLOOKUP($A59,Master!$D$30:$G$226,4,FALSE)</f>
        <v>Nedostajuća sredstva</v>
      </c>
      <c r="C59" s="544"/>
      <c r="D59" s="544"/>
      <c r="E59" s="544"/>
      <c r="F59" s="544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45" t="str">
        <f>+VLOOKUP($A60,Master!$D$30:$G$226,4,FALSE)</f>
        <v>Finansiranje</v>
      </c>
      <c r="C60" s="546"/>
      <c r="D60" s="546"/>
      <c r="E60" s="546"/>
      <c r="F60" s="546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39" t="str">
        <f>+VLOOKUP($A61,Master!$D$30:$G$226,4,FALSE)</f>
        <v>Pozajmice i krediti od domaćih izvora</v>
      </c>
      <c r="C61" s="540"/>
      <c r="D61" s="540"/>
      <c r="E61" s="540"/>
      <c r="F61" s="540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23" t="str">
        <f>+VLOOKUP($A62,Master!$D$30:$G$226,4,FALSE)</f>
        <v>Pozajmice i krediti od inostranih izvora</v>
      </c>
      <c r="C62" s="524"/>
      <c r="D62" s="524"/>
      <c r="E62" s="524"/>
      <c r="F62" s="52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23" t="str">
        <f>+VLOOKUP($A63,Master!$D$30:$G$226,4,FALSE)</f>
        <v>Primici od prodaje imovine</v>
      </c>
      <c r="C63" s="524"/>
      <c r="D63" s="524"/>
      <c r="E63" s="524"/>
      <c r="F63" s="52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5" t="str">
        <f>+Master!G253</f>
        <v>Plan ostvarenja budžeta</v>
      </c>
      <c r="C100" s="596"/>
      <c r="D100" s="596"/>
      <c r="E100" s="596"/>
      <c r="F100" s="596"/>
      <c r="G100" s="580">
        <v>2020</v>
      </c>
      <c r="H100" s="581"/>
      <c r="I100" s="581"/>
      <c r="J100" s="581"/>
      <c r="K100" s="581"/>
      <c r="L100" s="581"/>
      <c r="M100" s="581"/>
      <c r="N100" s="581"/>
      <c r="O100" s="581"/>
      <c r="P100" s="581"/>
      <c r="Q100" s="581"/>
      <c r="R100" s="582"/>
      <c r="S100" s="107" t="str">
        <f>+S7</f>
        <v>BDP</v>
      </c>
      <c r="T100" s="108">
        <v>4607300000</v>
      </c>
    </row>
    <row r="101" spans="1:21" ht="15.75" customHeight="1">
      <c r="B101" s="597"/>
      <c r="C101" s="598"/>
      <c r="D101" s="598"/>
      <c r="E101" s="598"/>
      <c r="F101" s="59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80" t="str">
        <f>+Master!G247</f>
        <v>Jan - Dec</v>
      </c>
      <c r="T101" s="582">
        <f>+T8</f>
        <v>0</v>
      </c>
    </row>
    <row r="102" spans="1:21" ht="13.5" thickBot="1">
      <c r="B102" s="600"/>
      <c r="C102" s="601"/>
      <c r="D102" s="601"/>
      <c r="E102" s="601"/>
      <c r="F102" s="60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5" t="str">
        <f>+VLOOKUP(LEFT($A103,LEN(A103)-1)*1,Master!$D$30:$G$226,4,FALSE)</f>
        <v>Prihodi budžeta</v>
      </c>
      <c r="C103" s="626"/>
      <c r="D103" s="626"/>
      <c r="E103" s="626"/>
      <c r="F103" s="626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91" t="str">
        <f>+VLOOKUP(LEFT($A104,LEN(A104)-1)*1,Master!$D$30:$G$226,4,FALSE)</f>
        <v>Porezi</v>
      </c>
      <c r="C104" s="592"/>
      <c r="D104" s="592"/>
      <c r="E104" s="592"/>
      <c r="F104" s="59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93" t="str">
        <f>+VLOOKUP(LEFT($A105,LEN(A105)-1)*1,Master!$D$30:$G$229,4,FALSE)</f>
        <v>Porez na dohodak fizičkih lica</v>
      </c>
      <c r="C105" s="594"/>
      <c r="D105" s="594"/>
      <c r="E105" s="594"/>
      <c r="F105" s="594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93" t="str">
        <f>+VLOOKUP(LEFT($A106,LEN(A106)-1)*1,Master!$D$30:$G$229,4,FALSE)</f>
        <v>Porez na dobit pravnih lica</v>
      </c>
      <c r="C106" s="594"/>
      <c r="D106" s="594"/>
      <c r="E106" s="594"/>
      <c r="F106" s="594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93" t="str">
        <f>+VLOOKUP(LEFT($A107,LEN(A107)-1)*1,Master!$D$30:$G$229,4,FALSE)</f>
        <v>Porez na promet nepokretnosti</v>
      </c>
      <c r="C107" s="594"/>
      <c r="D107" s="594"/>
      <c r="E107" s="594"/>
      <c r="F107" s="594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93" t="str">
        <f>+VLOOKUP(LEFT($A108,LEN(A108)-1)*1,Master!$D$30:$G$229,4,FALSE)</f>
        <v>Porez na dodatu vrijednost</v>
      </c>
      <c r="C108" s="594"/>
      <c r="D108" s="594"/>
      <c r="E108" s="594"/>
      <c r="F108" s="594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93" t="str">
        <f>+VLOOKUP(LEFT($A109,LEN(A109)-1)*1,Master!$D$30:$G$229,4,FALSE)</f>
        <v>Akcize</v>
      </c>
      <c r="C109" s="594"/>
      <c r="D109" s="594"/>
      <c r="E109" s="594"/>
      <c r="F109" s="594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93" t="str">
        <f>+VLOOKUP(LEFT($A110,LEN(A110)-1)*1,Master!$D$30:$G$229,4,FALSE)</f>
        <v>Porez na međunarodnu trgovinu i transakcije</v>
      </c>
      <c r="C110" s="594"/>
      <c r="D110" s="594"/>
      <c r="E110" s="594"/>
      <c r="F110" s="594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93" t="str">
        <f>+VLOOKUP(LEFT($A111,LEN(A111)-1)*1,Master!$D$30:$G$229,4,FALSE)</f>
        <v>Ostali državni porezi</v>
      </c>
      <c r="C111" s="594"/>
      <c r="D111" s="594"/>
      <c r="E111" s="594"/>
      <c r="F111" s="594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3" t="str">
        <f>+VLOOKUP(LEFT($A112,LEN(A112)-1)*1,Master!$D$30:$G$229,4,FALSE)</f>
        <v>Doprinosi</v>
      </c>
      <c r="C112" s="624"/>
      <c r="D112" s="624"/>
      <c r="E112" s="624"/>
      <c r="F112" s="624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93" t="str">
        <f>+VLOOKUP(LEFT($A113,LEN(A113)-1)*1,Master!$D$30:$G$229,4,FALSE)</f>
        <v>Doprinosi za penzijsko i invalidsko osiguranje</v>
      </c>
      <c r="C113" s="594"/>
      <c r="D113" s="594"/>
      <c r="E113" s="594"/>
      <c r="F113" s="594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93" t="str">
        <f>+VLOOKUP(LEFT($A114,LEN(A114)-1)*1,Master!$D$30:$G$229,4,FALSE)</f>
        <v>Doprinosi za zdravstveno osiguranje</v>
      </c>
      <c r="C114" s="594"/>
      <c r="D114" s="594"/>
      <c r="E114" s="594"/>
      <c r="F114" s="594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93" t="str">
        <f>+VLOOKUP(LEFT($A115,LEN(A115)-1)*1,Master!$D$30:$G$229,4,FALSE)</f>
        <v>Doprinosi za osiguranje od nezaposlenosti</v>
      </c>
      <c r="C115" s="594"/>
      <c r="D115" s="594"/>
      <c r="E115" s="594"/>
      <c r="F115" s="594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93" t="str">
        <f>+VLOOKUP(LEFT($A116,LEN(A116)-1)*1,Master!$D$30:$G$229,4,FALSE)</f>
        <v>Ostali doprinosi</v>
      </c>
      <c r="C116" s="594"/>
      <c r="D116" s="594"/>
      <c r="E116" s="594"/>
      <c r="F116" s="594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603" t="str">
        <f>+VLOOKUP(LEFT($A117,LEN(A117)-1)*1,Master!$D$30:$G$229,4,FALSE)</f>
        <v>Takse</v>
      </c>
      <c r="C117" s="604"/>
      <c r="D117" s="604"/>
      <c r="E117" s="604"/>
      <c r="F117" s="60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603" t="str">
        <f>+VLOOKUP(LEFT($A118,LEN(A118)-1)*1,Master!$D$30:$G$229,4,FALSE)</f>
        <v>Naknade</v>
      </c>
      <c r="C118" s="604"/>
      <c r="D118" s="604"/>
      <c r="E118" s="604"/>
      <c r="F118" s="60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603" t="str">
        <f>+VLOOKUP(LEFT($A119,LEN(A119)-1)*1,Master!$D$30:$G$229,4,FALSE)</f>
        <v>Ostali prihodi</v>
      </c>
      <c r="C119" s="604"/>
      <c r="D119" s="604"/>
      <c r="E119" s="604"/>
      <c r="F119" s="60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603" t="str">
        <f>+VLOOKUP(LEFT($A120,LEN(A120)-1)*1,Master!$D$30:$G$229,4,FALSE)</f>
        <v>Primici od otplate kredita i sredstva prenesena iz prethodne godine</v>
      </c>
      <c r="C120" s="604"/>
      <c r="D120" s="604"/>
      <c r="E120" s="604"/>
      <c r="F120" s="60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605" t="str">
        <f>+VLOOKUP(LEFT($A121,LEN(A121)-1)*1,Master!$D$30:$G$229,4,FALSE)</f>
        <v>Donacije i transferi</v>
      </c>
      <c r="C121" s="606"/>
      <c r="D121" s="606"/>
      <c r="E121" s="606"/>
      <c r="F121" s="606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89" t="str">
        <f>+VLOOKUP(LEFT($A122,LEN(A122)-1)*1,Master!$D$30:$G$229,4,FALSE)</f>
        <v>Izdaci budžeta</v>
      </c>
      <c r="C122" s="590"/>
      <c r="D122" s="590"/>
      <c r="E122" s="590"/>
      <c r="F122" s="590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607" t="str">
        <f>+VLOOKUP(LEFT($A123,LEN(A123)-1)*1,Master!$D$30:$G$229,4,FALSE)</f>
        <v>Tekući izdaci</v>
      </c>
      <c r="C123" s="608"/>
      <c r="D123" s="608"/>
      <c r="E123" s="608"/>
      <c r="F123" s="608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93" t="str">
        <f>+VLOOKUP(LEFT($A124,LEN(A124)-1)*1,Master!$D$30:$G$229,4,FALSE)</f>
        <v>Bruto zarade i doprinosi na teret poslodavca</v>
      </c>
      <c r="C124" s="594"/>
      <c r="D124" s="594"/>
      <c r="E124" s="594"/>
      <c r="F124" s="594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93" t="str">
        <f>+VLOOKUP(LEFT($A125,LEN(A125)-1)*1,Master!$D$30:$G$229,4,FALSE)</f>
        <v>Ostala lična primanja</v>
      </c>
      <c r="C125" s="594"/>
      <c r="D125" s="594"/>
      <c r="E125" s="594"/>
      <c r="F125" s="594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93" t="str">
        <f>+VLOOKUP(LEFT($A126,LEN(A126)-1)*1,Master!$D$30:$G$229,4,FALSE)</f>
        <v>Rashodi za materijal</v>
      </c>
      <c r="C126" s="594"/>
      <c r="D126" s="594"/>
      <c r="E126" s="594"/>
      <c r="F126" s="594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93" t="str">
        <f>+VLOOKUP(LEFT($A127,LEN(A127)-1)*1,Master!$D$30:$G$229,4,FALSE)</f>
        <v>Rashodi za usluge</v>
      </c>
      <c r="C127" s="594"/>
      <c r="D127" s="594"/>
      <c r="E127" s="594"/>
      <c r="F127" s="594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93" t="str">
        <f>+VLOOKUP(LEFT($A128,LEN(A128)-1)*1,Master!$D$30:$G$229,4,FALSE)</f>
        <v>Rashodi za tekuće održavanje</v>
      </c>
      <c r="C128" s="594"/>
      <c r="D128" s="594"/>
      <c r="E128" s="594"/>
      <c r="F128" s="594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93" t="str">
        <f>+VLOOKUP(LEFT($A129,LEN(A129)-1)*1,Master!$D$30:$G$229,4,FALSE)</f>
        <v>Kamate</v>
      </c>
      <c r="C129" s="594"/>
      <c r="D129" s="594"/>
      <c r="E129" s="594"/>
      <c r="F129" s="594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93" t="str">
        <f>+VLOOKUP(LEFT($A130,LEN(A130)-1)*1,Master!$D$30:$G$229,4,FALSE)</f>
        <v>Renta</v>
      </c>
      <c r="C130" s="594"/>
      <c r="D130" s="594"/>
      <c r="E130" s="594"/>
      <c r="F130" s="594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93" t="str">
        <f>+VLOOKUP(LEFT($A131,LEN(A131)-1)*1,Master!$D$30:$G$229,4,FALSE)</f>
        <v>Subvencije</v>
      </c>
      <c r="C131" s="594"/>
      <c r="D131" s="594"/>
      <c r="E131" s="594"/>
      <c r="F131" s="594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93" t="str">
        <f>+VLOOKUP(LEFT($A132,LEN(A132)-1)*1,Master!$D$30:$G$229,4,FALSE)</f>
        <v>Ostali izdaci</v>
      </c>
      <c r="C132" s="594"/>
      <c r="D132" s="594"/>
      <c r="E132" s="594"/>
      <c r="F132" s="594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613" t="str">
        <f>+VLOOKUP(LEFT($A133,LEN(A133)-1)*1,Master!$D$30:$G$229,4,FALSE)</f>
        <v>Transferi za socijalnu zaštitu</v>
      </c>
      <c r="C133" s="614"/>
      <c r="D133" s="614"/>
      <c r="E133" s="614"/>
      <c r="F133" s="614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93" t="str">
        <f>+VLOOKUP(LEFT($A134,LEN(A134)-1)*1,Master!$D$30:$G$229,4,FALSE)</f>
        <v>Prava iz oblasti socijalne zaštite</v>
      </c>
      <c r="C134" s="594"/>
      <c r="D134" s="594"/>
      <c r="E134" s="594"/>
      <c r="F134" s="594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93" t="str">
        <f>+VLOOKUP(LEFT($A135,LEN(A135)-1)*1,Master!$D$30:$G$229,4,FALSE)</f>
        <v>Sredstva za tehnološke viškove</v>
      </c>
      <c r="C135" s="594"/>
      <c r="D135" s="594"/>
      <c r="E135" s="594"/>
      <c r="F135" s="594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93" t="str">
        <f>+VLOOKUP(LEFT($A136,LEN(A136)-1)*1,Master!$D$30:$G$229,4,FALSE)</f>
        <v>Prava iz oblasti penzijskog i invalidskog osiguranja</v>
      </c>
      <c r="C136" s="594"/>
      <c r="D136" s="594"/>
      <c r="E136" s="594"/>
      <c r="F136" s="594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93" t="str">
        <f>+VLOOKUP(LEFT($A137,LEN(A137)-1)*1,Master!$D$30:$G$229,4,FALSE)</f>
        <v>Ostala prava iz oblasti zdravstvene zaštite</v>
      </c>
      <c r="C137" s="594"/>
      <c r="D137" s="594"/>
      <c r="E137" s="594"/>
      <c r="F137" s="594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93" t="str">
        <f>+VLOOKUP(LEFT($A138,LEN(A138)-1)*1,Master!$D$30:$G$229,4,FALSE)</f>
        <v>Ostala prava iz zdravstvenog osiguranja</v>
      </c>
      <c r="C138" s="594"/>
      <c r="D138" s="594"/>
      <c r="E138" s="594"/>
      <c r="F138" s="594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609" t="str">
        <f>+VLOOKUP(LEFT($A139,LEN(A139)-1)*1,Master!$D$30:$G$229,4,FALSE)</f>
        <v xml:space="preserve">Transferi institucijama, pojedincima, nevladinom i javnom sektoru </v>
      </c>
      <c r="C139" s="610"/>
      <c r="D139" s="610"/>
      <c r="E139" s="610"/>
      <c r="F139" s="610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609" t="str">
        <f>+VLOOKUP(LEFT($A140,LEN(A140)-1)*1,Master!$D$30:$G$229,4,FALSE)</f>
        <v>Kapitalni izdaci</v>
      </c>
      <c r="C140" s="610"/>
      <c r="D140" s="610"/>
      <c r="E140" s="610"/>
      <c r="F140" s="610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611" t="str">
        <f>+VLOOKUP(LEFT($A141,LEN(A141)-1)*1,Master!$D$30:$G$229,4,FALSE)</f>
        <v>Pozajmice i krediti</v>
      </c>
      <c r="C141" s="612"/>
      <c r="D141" s="612"/>
      <c r="E141" s="612"/>
      <c r="F141" s="612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611" t="str">
        <f>+VLOOKUP(LEFT($A142,LEN(A142)-1)*1,Master!$D$30:$G$229,4,FALSE)</f>
        <v>Rezerve</v>
      </c>
      <c r="C142" s="612"/>
      <c r="D142" s="612"/>
      <c r="E142" s="612"/>
      <c r="F142" s="612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611" t="str">
        <f>+VLOOKUP(LEFT($A143,LEN(A143)-1)*1,Master!$D$30:$G$229,4,FALSE)</f>
        <v>Otplata garancija</v>
      </c>
      <c r="C143" s="612"/>
      <c r="D143" s="612"/>
      <c r="E143" s="612"/>
      <c r="F143" s="612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611" t="str">
        <f>+VLOOKUP(LEFT($A144,LEN(A144)-1)*1,Master!$D$30:$G$229,4,FALSE)</f>
        <v>Otplata obaveza iz prethodnog perioda</v>
      </c>
      <c r="C144" s="612"/>
      <c r="D144" s="612"/>
      <c r="E144" s="612"/>
      <c r="F144" s="612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611" t="str">
        <f>+VLOOKUP(LEFT($A145,LEN(A145)-1)*1,Master!$D$30:$G$229,4,FALSE)</f>
        <v>Neto povećanje obaveza</v>
      </c>
      <c r="C145" s="612"/>
      <c r="D145" s="612"/>
      <c r="E145" s="612"/>
      <c r="F145" s="612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619" t="str">
        <f>+VLOOKUP(LEFT($A146,LEN(A146)-1)*1,Master!$D$30:$G$226,4,FALSE)</f>
        <v>Suficit / deficit</v>
      </c>
      <c r="C146" s="620"/>
      <c r="D146" s="620"/>
      <c r="E146" s="620"/>
      <c r="F146" s="620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21" t="str">
        <f>+VLOOKUP(LEFT($A147,LEN(A147)-1)*1,Master!$D$30:$G$226,4,FALSE)</f>
        <v>Primarni suficit/deficit</v>
      </c>
      <c r="C147" s="622"/>
      <c r="D147" s="622"/>
      <c r="E147" s="622"/>
      <c r="F147" s="622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613" t="str">
        <f>+VLOOKUP(LEFT($A148,LEN(A148)-1)*1,Master!$D$30:$G$226,4,FALSE)</f>
        <v>Otplata dugova</v>
      </c>
      <c r="C148" s="614"/>
      <c r="D148" s="614"/>
      <c r="E148" s="614"/>
      <c r="F148" s="614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617" t="str">
        <f>+VLOOKUP(LEFT($A149,LEN(A149)-1)*1,Master!$D$30:$G$226,4,FALSE)</f>
        <v>Otplata hartija od vrijednosti i kredita rezidentima</v>
      </c>
      <c r="C149" s="618"/>
      <c r="D149" s="618"/>
      <c r="E149" s="618"/>
      <c r="F149" s="618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611" t="str">
        <f>+VLOOKUP(LEFT($A150,LEN(A150)-1)*1,Master!$D$30:$G$226,4,FALSE)</f>
        <v>Otplata hartija od vrijednosti i kredita nerezidentima</v>
      </c>
      <c r="C150" s="612"/>
      <c r="D150" s="612"/>
      <c r="E150" s="612"/>
      <c r="F150" s="612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89" t="str">
        <f>+VLOOKUP(LEFT($A151,LEN(A151)-1)*1,Master!$D$30:$G$226,4,FALSE)</f>
        <v>Izdaci za kupovinu hartija od vrijednosti</v>
      </c>
      <c r="C151" s="590"/>
      <c r="D151" s="590"/>
      <c r="E151" s="590"/>
      <c r="F151" s="590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15" t="str">
        <f>+VLOOKUP(LEFT($A152,LEN(A152)-1)*1,Master!$D$30:$G$226,4,FALSE)</f>
        <v>Nedostajuća sredstva</v>
      </c>
      <c r="C152" s="616"/>
      <c r="D152" s="616"/>
      <c r="E152" s="616"/>
      <c r="F152" s="616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89" t="str">
        <f>+VLOOKUP(LEFT($A153,LEN(A153)-1)*1,Master!$D$30:$G$226,4,FALSE)</f>
        <v>Finansiranje</v>
      </c>
      <c r="C153" s="590"/>
      <c r="D153" s="590"/>
      <c r="E153" s="590"/>
      <c r="F153" s="590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617" t="str">
        <f>+VLOOKUP(LEFT($A154,LEN(A154)-1)*1,Master!$D$30:$G$226,4,FALSE)</f>
        <v>Pozajmice i krediti od domaćih izvora</v>
      </c>
      <c r="C154" s="618"/>
      <c r="D154" s="618"/>
      <c r="E154" s="618"/>
      <c r="F154" s="618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611" t="str">
        <f>+VLOOKUP(LEFT($A155,LEN(A155)-1)*1,Master!$D$30:$G$226,4,FALSE)</f>
        <v>Pozajmice i krediti od inostranih izvora</v>
      </c>
      <c r="C155" s="612"/>
      <c r="D155" s="612"/>
      <c r="E155" s="612"/>
      <c r="F155" s="612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611" t="str">
        <f>+VLOOKUP(LEFT($A156,LEN(A156)-1)*1,Master!$D$30:$G$226,4,FALSE)</f>
        <v>Primici od prodaje imovine</v>
      </c>
      <c r="C156" s="612"/>
      <c r="D156" s="612"/>
      <c r="E156" s="612"/>
      <c r="F156" s="612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573" t="s">
        <v>553</v>
      </c>
      <c r="C7" s="526"/>
      <c r="D7" s="526"/>
      <c r="E7" s="526"/>
      <c r="F7" s="526"/>
      <c r="G7" s="534">
        <v>2019</v>
      </c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8"/>
      <c r="S7" s="235" t="s">
        <v>419</v>
      </c>
      <c r="T7" s="236">
        <v>4951000000</v>
      </c>
    </row>
    <row r="8" spans="1:20" ht="16.5" customHeight="1">
      <c r="A8" s="144"/>
      <c r="B8" s="527"/>
      <c r="C8" s="528"/>
      <c r="D8" s="528"/>
      <c r="E8" s="528"/>
      <c r="F8" s="52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34" t="s">
        <v>806</v>
      </c>
      <c r="T8" s="538"/>
    </row>
    <row r="9" spans="1:20" ht="13.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45" t="s">
        <v>680</v>
      </c>
      <c r="C10" s="546"/>
      <c r="D10" s="546"/>
      <c r="E10" s="546"/>
      <c r="F10" s="546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69" t="s">
        <v>21</v>
      </c>
      <c r="C11" s="570"/>
      <c r="D11" s="570"/>
      <c r="E11" s="570"/>
      <c r="F11" s="570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55" t="s">
        <v>23</v>
      </c>
      <c r="C12" s="556"/>
      <c r="D12" s="556"/>
      <c r="E12" s="556"/>
      <c r="F12" s="55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55" t="s">
        <v>25</v>
      </c>
      <c r="C13" s="556"/>
      <c r="D13" s="556"/>
      <c r="E13" s="556"/>
      <c r="F13" s="55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55" t="s">
        <v>27</v>
      </c>
      <c r="C14" s="556"/>
      <c r="D14" s="556"/>
      <c r="E14" s="556"/>
      <c r="F14" s="55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55" t="s">
        <v>29</v>
      </c>
      <c r="C15" s="556"/>
      <c r="D15" s="556"/>
      <c r="E15" s="556"/>
      <c r="F15" s="55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55" t="s">
        <v>31</v>
      </c>
      <c r="C16" s="556"/>
      <c r="D16" s="556"/>
      <c r="E16" s="556"/>
      <c r="F16" s="55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55" t="s">
        <v>33</v>
      </c>
      <c r="C17" s="556"/>
      <c r="D17" s="556"/>
      <c r="E17" s="556"/>
      <c r="F17" s="55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55" t="s">
        <v>721</v>
      </c>
      <c r="C18" s="556"/>
      <c r="D18" s="556"/>
      <c r="E18" s="556"/>
      <c r="F18" s="55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65" t="s">
        <v>37</v>
      </c>
      <c r="C19" s="566"/>
      <c r="D19" s="566"/>
      <c r="E19" s="566"/>
      <c r="F19" s="566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55" t="s">
        <v>39</v>
      </c>
      <c r="C20" s="556"/>
      <c r="D20" s="556"/>
      <c r="E20" s="556"/>
      <c r="F20" s="55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55" t="s">
        <v>41</v>
      </c>
      <c r="C21" s="556"/>
      <c r="D21" s="556"/>
      <c r="E21" s="556"/>
      <c r="F21" s="55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55" t="s">
        <v>43</v>
      </c>
      <c r="C22" s="556"/>
      <c r="D22" s="556"/>
      <c r="E22" s="556"/>
      <c r="F22" s="55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55" t="s">
        <v>45</v>
      </c>
      <c r="C23" s="556"/>
      <c r="D23" s="556"/>
      <c r="E23" s="556"/>
      <c r="F23" s="55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57" t="s">
        <v>47</v>
      </c>
      <c r="C24" s="558"/>
      <c r="D24" s="558"/>
      <c r="E24" s="558"/>
      <c r="F24" s="55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57" t="s">
        <v>61</v>
      </c>
      <c r="C25" s="558"/>
      <c r="D25" s="558"/>
      <c r="E25" s="558"/>
      <c r="F25" s="55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57" t="s">
        <v>81</v>
      </c>
      <c r="C26" s="558"/>
      <c r="D26" s="558"/>
      <c r="E26" s="558"/>
      <c r="F26" s="55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57" t="s">
        <v>99</v>
      </c>
      <c r="C27" s="558"/>
      <c r="D27" s="558"/>
      <c r="E27" s="558"/>
      <c r="F27" s="55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59" t="s">
        <v>105</v>
      </c>
      <c r="C28" s="560"/>
      <c r="D28" s="560"/>
      <c r="E28" s="560"/>
      <c r="F28" s="560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45" t="s">
        <v>801</v>
      </c>
      <c r="C29" s="546"/>
      <c r="D29" s="546"/>
      <c r="E29" s="546"/>
      <c r="F29" s="546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61" t="s">
        <v>120</v>
      </c>
      <c r="C30" s="562"/>
      <c r="D30" s="562"/>
      <c r="E30" s="562"/>
      <c r="F30" s="562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55" t="s">
        <v>122</v>
      </c>
      <c r="C31" s="556"/>
      <c r="D31" s="556"/>
      <c r="E31" s="556"/>
      <c r="F31" s="55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55" t="s">
        <v>133</v>
      </c>
      <c r="C32" s="556"/>
      <c r="D32" s="556"/>
      <c r="E32" s="556"/>
      <c r="F32" s="55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55" t="s">
        <v>148</v>
      </c>
      <c r="C33" s="556"/>
      <c r="D33" s="556"/>
      <c r="E33" s="556"/>
      <c r="F33" s="55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55" t="s">
        <v>162</v>
      </c>
      <c r="C34" s="556"/>
      <c r="D34" s="556"/>
      <c r="E34" s="556"/>
      <c r="F34" s="55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574" t="s">
        <v>182</v>
      </c>
      <c r="C35" s="575"/>
      <c r="D35" s="575"/>
      <c r="E35" s="575"/>
      <c r="F35" s="57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55" t="s">
        <v>190</v>
      </c>
      <c r="C36" s="556"/>
      <c r="D36" s="556"/>
      <c r="E36" s="556"/>
      <c r="F36" s="55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55" t="s">
        <v>196</v>
      </c>
      <c r="C37" s="556"/>
      <c r="D37" s="556"/>
      <c r="E37" s="556"/>
      <c r="F37" s="55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55" t="s">
        <v>204</v>
      </c>
      <c r="C38" s="556"/>
      <c r="D38" s="556"/>
      <c r="E38" s="556"/>
      <c r="F38" s="55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55" t="s">
        <v>212</v>
      </c>
      <c r="C39" s="556"/>
      <c r="D39" s="556"/>
      <c r="E39" s="556"/>
      <c r="F39" s="55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51" t="s">
        <v>230</v>
      </c>
      <c r="C40" s="552"/>
      <c r="D40" s="552"/>
      <c r="E40" s="552"/>
      <c r="F40" s="552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55" t="s">
        <v>232</v>
      </c>
      <c r="C41" s="556"/>
      <c r="D41" s="556"/>
      <c r="E41" s="556"/>
      <c r="F41" s="55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55" t="s">
        <v>248</v>
      </c>
      <c r="C42" s="556"/>
      <c r="D42" s="556"/>
      <c r="E42" s="556"/>
      <c r="F42" s="55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55" t="s">
        <v>259</v>
      </c>
      <c r="C43" s="556"/>
      <c r="D43" s="556"/>
      <c r="E43" s="556"/>
      <c r="F43" s="55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55" t="s">
        <v>274</v>
      </c>
      <c r="C44" s="556"/>
      <c r="D44" s="556"/>
      <c r="E44" s="556"/>
      <c r="F44" s="55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55" t="s">
        <v>278</v>
      </c>
      <c r="C45" s="556"/>
      <c r="D45" s="556"/>
      <c r="E45" s="556"/>
      <c r="F45" s="55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53" t="s">
        <v>286</v>
      </c>
      <c r="C46" s="554"/>
      <c r="D46" s="554"/>
      <c r="E46" s="554"/>
      <c r="F46" s="55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53" t="s">
        <v>320</v>
      </c>
      <c r="C47" s="554"/>
      <c r="D47" s="554"/>
      <c r="E47" s="554"/>
      <c r="F47" s="55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578" t="s">
        <v>113</v>
      </c>
      <c r="C48" s="579"/>
      <c r="D48" s="579"/>
      <c r="E48" s="579"/>
      <c r="F48" s="579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583" t="s">
        <v>366</v>
      </c>
      <c r="C49" s="584"/>
      <c r="D49" s="584"/>
      <c r="E49" s="584"/>
      <c r="F49" s="584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41" t="s">
        <v>359</v>
      </c>
      <c r="C50" s="542"/>
      <c r="D50" s="542"/>
      <c r="E50" s="542"/>
      <c r="F50" s="542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585" t="s">
        <v>794</v>
      </c>
      <c r="C51" s="586"/>
      <c r="D51" s="586"/>
      <c r="E51" s="586"/>
      <c r="F51" s="586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587" t="s">
        <v>684</v>
      </c>
      <c r="C52" s="588"/>
      <c r="D52" s="588"/>
      <c r="E52" s="588"/>
      <c r="F52" s="588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7" t="s">
        <v>545</v>
      </c>
      <c r="C53" s="548"/>
      <c r="D53" s="548"/>
      <c r="E53" s="548"/>
      <c r="F53" s="548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9" t="s">
        <v>792</v>
      </c>
      <c r="C54" s="550"/>
      <c r="D54" s="550"/>
      <c r="E54" s="550"/>
      <c r="F54" s="550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71" t="s">
        <v>352</v>
      </c>
      <c r="C55" s="572"/>
      <c r="D55" s="572"/>
      <c r="E55" s="572"/>
      <c r="F55" s="572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39" t="s">
        <v>355</v>
      </c>
      <c r="C56" s="540"/>
      <c r="D56" s="540"/>
      <c r="E56" s="540"/>
      <c r="F56" s="540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23" t="s">
        <v>357</v>
      </c>
      <c r="C57" s="524"/>
      <c r="D57" s="524"/>
      <c r="E57" s="524"/>
      <c r="F57" s="52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7" t="s">
        <v>336</v>
      </c>
      <c r="C58" s="628"/>
      <c r="D58" s="628"/>
      <c r="E58" s="628"/>
      <c r="F58" s="628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43" t="s">
        <v>543</v>
      </c>
      <c r="C59" s="544"/>
      <c r="D59" s="544"/>
      <c r="E59" s="544"/>
      <c r="F59" s="544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45" t="s">
        <v>544</v>
      </c>
      <c r="C60" s="546"/>
      <c r="D60" s="546"/>
      <c r="E60" s="546"/>
      <c r="F60" s="546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39" t="s">
        <v>114</v>
      </c>
      <c r="C61" s="540"/>
      <c r="D61" s="540"/>
      <c r="E61" s="540"/>
      <c r="F61" s="540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23" t="s">
        <v>116</v>
      </c>
      <c r="C62" s="524"/>
      <c r="D62" s="524"/>
      <c r="E62" s="524"/>
      <c r="F62" s="52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23" t="s">
        <v>93</v>
      </c>
      <c r="C63" s="524"/>
      <c r="D63" s="524"/>
      <c r="E63" s="524"/>
      <c r="F63" s="52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5" t="s">
        <v>551</v>
      </c>
      <c r="C100" s="596"/>
      <c r="D100" s="596"/>
      <c r="E100" s="596"/>
      <c r="F100" s="596"/>
      <c r="G100" s="580">
        <v>2019</v>
      </c>
      <c r="H100" s="581"/>
      <c r="I100" s="581"/>
      <c r="J100" s="581"/>
      <c r="K100" s="581"/>
      <c r="L100" s="581"/>
      <c r="M100" s="581"/>
      <c r="N100" s="581"/>
      <c r="O100" s="581"/>
      <c r="P100" s="581"/>
      <c r="Q100" s="581"/>
      <c r="R100" s="582"/>
      <c r="S100" s="107" t="str">
        <f>+S7</f>
        <v>BDP</v>
      </c>
      <c r="T100" s="108">
        <f>+T7</f>
        <v>4951000000</v>
      </c>
    </row>
    <row r="101" spans="1:21" ht="15.75" customHeight="1">
      <c r="B101" s="597"/>
      <c r="C101" s="598"/>
      <c r="D101" s="598"/>
      <c r="E101" s="598"/>
      <c r="F101" s="599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580" t="s">
        <v>806</v>
      </c>
      <c r="T101" s="582">
        <f>+T8</f>
        <v>0</v>
      </c>
    </row>
    <row r="102" spans="1:21" ht="13.5" thickBot="1">
      <c r="B102" s="600"/>
      <c r="C102" s="601"/>
      <c r="D102" s="601"/>
      <c r="E102" s="601"/>
      <c r="F102" s="60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5" t="s">
        <v>680</v>
      </c>
      <c r="C103" s="626"/>
      <c r="D103" s="626"/>
      <c r="E103" s="626"/>
      <c r="F103" s="626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91" t="s">
        <v>21</v>
      </c>
      <c r="C104" s="592"/>
      <c r="D104" s="592"/>
      <c r="E104" s="592"/>
      <c r="F104" s="592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93" t="s">
        <v>23</v>
      </c>
      <c r="C105" s="594"/>
      <c r="D105" s="594"/>
      <c r="E105" s="594"/>
      <c r="F105" s="594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93" t="s">
        <v>25</v>
      </c>
      <c r="C106" s="594"/>
      <c r="D106" s="594"/>
      <c r="E106" s="594"/>
      <c r="F106" s="594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93" t="s">
        <v>27</v>
      </c>
      <c r="C107" s="594"/>
      <c r="D107" s="594"/>
      <c r="E107" s="594"/>
      <c r="F107" s="594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93" t="s">
        <v>29</v>
      </c>
      <c r="C108" s="594"/>
      <c r="D108" s="594"/>
      <c r="E108" s="594"/>
      <c r="F108" s="594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93" t="s">
        <v>31</v>
      </c>
      <c r="C109" s="594"/>
      <c r="D109" s="594"/>
      <c r="E109" s="594"/>
      <c r="F109" s="594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93" t="s">
        <v>33</v>
      </c>
      <c r="C110" s="594"/>
      <c r="D110" s="594"/>
      <c r="E110" s="594"/>
      <c r="F110" s="594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93" t="s">
        <v>721</v>
      </c>
      <c r="C111" s="594"/>
      <c r="D111" s="594"/>
      <c r="E111" s="594"/>
      <c r="F111" s="594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3" t="s">
        <v>37</v>
      </c>
      <c r="C112" s="624"/>
      <c r="D112" s="624"/>
      <c r="E112" s="624"/>
      <c r="F112" s="624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93" t="s">
        <v>39</v>
      </c>
      <c r="C113" s="594"/>
      <c r="D113" s="594"/>
      <c r="E113" s="594"/>
      <c r="F113" s="594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93" t="s">
        <v>41</v>
      </c>
      <c r="C114" s="594"/>
      <c r="D114" s="594"/>
      <c r="E114" s="594"/>
      <c r="F114" s="594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93" t="s">
        <v>43</v>
      </c>
      <c r="C115" s="594"/>
      <c r="D115" s="594"/>
      <c r="E115" s="594"/>
      <c r="F115" s="594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93" t="s">
        <v>45</v>
      </c>
      <c r="C116" s="594"/>
      <c r="D116" s="594"/>
      <c r="E116" s="594"/>
      <c r="F116" s="594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603" t="s">
        <v>47</v>
      </c>
      <c r="C117" s="604"/>
      <c r="D117" s="604"/>
      <c r="E117" s="604"/>
      <c r="F117" s="60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603" t="s">
        <v>61</v>
      </c>
      <c r="C118" s="604"/>
      <c r="D118" s="604"/>
      <c r="E118" s="604"/>
      <c r="F118" s="60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603" t="s">
        <v>81</v>
      </c>
      <c r="C119" s="604"/>
      <c r="D119" s="604"/>
      <c r="E119" s="604"/>
      <c r="F119" s="60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603" t="s">
        <v>99</v>
      </c>
      <c r="C120" s="604"/>
      <c r="D120" s="604"/>
      <c r="E120" s="604"/>
      <c r="F120" s="60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605" t="s">
        <v>105</v>
      </c>
      <c r="C121" s="606"/>
      <c r="D121" s="606"/>
      <c r="E121" s="606"/>
      <c r="F121" s="606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89" t="s">
        <v>808</v>
      </c>
      <c r="C122" s="590"/>
      <c r="D122" s="590"/>
      <c r="E122" s="590"/>
      <c r="F122" s="590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31" t="s">
        <v>773</v>
      </c>
      <c r="C123" s="632"/>
      <c r="D123" s="632"/>
      <c r="E123" s="632"/>
      <c r="F123" s="632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607" t="e">
        <v>#REF!</v>
      </c>
      <c r="C124" s="608"/>
      <c r="D124" s="608"/>
      <c r="E124" s="608"/>
      <c r="F124" s="608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93" t="s">
        <v>122</v>
      </c>
      <c r="C125" s="594"/>
      <c r="D125" s="594"/>
      <c r="E125" s="594"/>
      <c r="F125" s="594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93" t="s">
        <v>133</v>
      </c>
      <c r="C126" s="594"/>
      <c r="D126" s="594"/>
      <c r="E126" s="594"/>
      <c r="F126" s="594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93" t="s">
        <v>148</v>
      </c>
      <c r="C127" s="594"/>
      <c r="D127" s="594"/>
      <c r="E127" s="594"/>
      <c r="F127" s="594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93" t="s">
        <v>162</v>
      </c>
      <c r="C128" s="594"/>
      <c r="D128" s="594"/>
      <c r="E128" s="594"/>
      <c r="F128" s="594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93" t="s">
        <v>182</v>
      </c>
      <c r="C129" s="594"/>
      <c r="D129" s="594"/>
      <c r="E129" s="594"/>
      <c r="F129" s="594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93" t="s">
        <v>190</v>
      </c>
      <c r="C130" s="594"/>
      <c r="D130" s="594"/>
      <c r="E130" s="594"/>
      <c r="F130" s="594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93" t="s">
        <v>196</v>
      </c>
      <c r="C131" s="594"/>
      <c r="D131" s="594"/>
      <c r="E131" s="594"/>
      <c r="F131" s="594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93" t="s">
        <v>204</v>
      </c>
      <c r="C132" s="594"/>
      <c r="D132" s="594"/>
      <c r="E132" s="594"/>
      <c r="F132" s="594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93" t="s">
        <v>212</v>
      </c>
      <c r="C133" s="594"/>
      <c r="D133" s="594"/>
      <c r="E133" s="594"/>
      <c r="F133" s="594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93" t="e">
        <v>#REF!</v>
      </c>
      <c r="C134" s="594"/>
      <c r="D134" s="594"/>
      <c r="E134" s="594"/>
      <c r="F134" s="594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613" t="s">
        <v>230</v>
      </c>
      <c r="C135" s="614"/>
      <c r="D135" s="614"/>
      <c r="E135" s="614"/>
      <c r="F135" s="614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93" t="s">
        <v>232</v>
      </c>
      <c r="C136" s="594"/>
      <c r="D136" s="594"/>
      <c r="E136" s="594"/>
      <c r="F136" s="594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93" t="s">
        <v>248</v>
      </c>
      <c r="C137" s="594"/>
      <c r="D137" s="594"/>
      <c r="E137" s="594"/>
      <c r="F137" s="594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93" t="s">
        <v>259</v>
      </c>
      <c r="C138" s="594"/>
      <c r="D138" s="594"/>
      <c r="E138" s="594"/>
      <c r="F138" s="594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93" t="s">
        <v>274</v>
      </c>
      <c r="C139" s="594"/>
      <c r="D139" s="594"/>
      <c r="E139" s="594"/>
      <c r="F139" s="594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93" t="s">
        <v>278</v>
      </c>
      <c r="C140" s="594"/>
      <c r="D140" s="594"/>
      <c r="E140" s="594"/>
      <c r="F140" s="594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609" t="s">
        <v>286</v>
      </c>
      <c r="C141" s="610"/>
      <c r="D141" s="610"/>
      <c r="E141" s="610"/>
      <c r="F141" s="610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609" t="s">
        <v>809</v>
      </c>
      <c r="C142" s="610"/>
      <c r="D142" s="610"/>
      <c r="E142" s="610"/>
      <c r="F142" s="610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611" t="s">
        <v>113</v>
      </c>
      <c r="C143" s="612"/>
      <c r="D143" s="612"/>
      <c r="E143" s="612"/>
      <c r="F143" s="612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611" t="s">
        <v>366</v>
      </c>
      <c r="C144" s="612"/>
      <c r="D144" s="612"/>
      <c r="E144" s="612"/>
      <c r="F144" s="612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611" t="s">
        <v>359</v>
      </c>
      <c r="C145" s="612"/>
      <c r="D145" s="612"/>
      <c r="E145" s="612"/>
      <c r="F145" s="612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611" t="s">
        <v>365</v>
      </c>
      <c r="C146" s="612"/>
      <c r="D146" s="612"/>
      <c r="E146" s="612"/>
      <c r="F146" s="612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9" t="s">
        <v>685</v>
      </c>
      <c r="C147" s="630"/>
      <c r="D147" s="630"/>
      <c r="E147" s="630"/>
      <c r="F147" s="630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619" t="s">
        <v>545</v>
      </c>
      <c r="C148" s="620"/>
      <c r="D148" s="620"/>
      <c r="E148" s="620"/>
      <c r="F148" s="620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621" t="s">
        <v>810</v>
      </c>
      <c r="C149" s="622"/>
      <c r="D149" s="622"/>
      <c r="E149" s="622"/>
      <c r="F149" s="622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613" t="s">
        <v>352</v>
      </c>
      <c r="C150" s="614"/>
      <c r="D150" s="614"/>
      <c r="E150" s="614"/>
      <c r="F150" s="614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617" t="s">
        <v>355</v>
      </c>
      <c r="C151" s="618"/>
      <c r="D151" s="618"/>
      <c r="E151" s="618"/>
      <c r="F151" s="618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611" t="s">
        <v>357</v>
      </c>
      <c r="C152" s="612"/>
      <c r="D152" s="612"/>
      <c r="E152" s="612"/>
      <c r="F152" s="612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7" t="s">
        <v>336</v>
      </c>
      <c r="C153" s="628"/>
      <c r="D153" s="628"/>
      <c r="E153" s="628"/>
      <c r="F153" s="628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615" t="s">
        <v>543</v>
      </c>
      <c r="C154" s="616"/>
      <c r="D154" s="616"/>
      <c r="E154" s="616"/>
      <c r="F154" s="616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89" t="s">
        <v>544</v>
      </c>
      <c r="C155" s="590"/>
      <c r="D155" s="590"/>
      <c r="E155" s="590"/>
      <c r="F155" s="590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617" t="s">
        <v>114</v>
      </c>
      <c r="C156" s="618"/>
      <c r="D156" s="618"/>
      <c r="E156" s="618"/>
      <c r="F156" s="618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611" t="s">
        <v>116</v>
      </c>
      <c r="C157" s="612"/>
      <c r="D157" s="612"/>
      <c r="E157" s="612"/>
      <c r="F157" s="612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611" t="s">
        <v>93</v>
      </c>
      <c r="C158" s="612"/>
      <c r="D158" s="612"/>
      <c r="E158" s="612"/>
      <c r="F158" s="612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573" t="s">
        <v>553</v>
      </c>
      <c r="C7" s="526"/>
      <c r="D7" s="526"/>
      <c r="E7" s="526"/>
      <c r="F7" s="526"/>
      <c r="G7" s="534">
        <v>2018</v>
      </c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8"/>
      <c r="S7" s="235" t="s">
        <v>419</v>
      </c>
      <c r="T7" s="236">
        <v>4663130000</v>
      </c>
    </row>
    <row r="8" spans="1:20" ht="16.5" customHeight="1">
      <c r="A8" s="144"/>
      <c r="B8" s="527"/>
      <c r="C8" s="528"/>
      <c r="D8" s="528"/>
      <c r="E8" s="528"/>
      <c r="F8" s="52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34" t="s">
        <v>806</v>
      </c>
      <c r="T8" s="538"/>
    </row>
    <row r="9" spans="1:20" ht="13.5" thickBot="1">
      <c r="A9" s="144"/>
      <c r="B9" s="530"/>
      <c r="C9" s="531"/>
      <c r="D9" s="531"/>
      <c r="E9" s="531"/>
      <c r="F9" s="53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67" t="s">
        <v>680</v>
      </c>
      <c r="C10" s="568"/>
      <c r="D10" s="568"/>
      <c r="E10" s="568"/>
      <c r="F10" s="568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69" t="s">
        <v>21</v>
      </c>
      <c r="C11" s="570"/>
      <c r="D11" s="570"/>
      <c r="E11" s="570"/>
      <c r="F11" s="570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55" t="s">
        <v>23</v>
      </c>
      <c r="C12" s="556"/>
      <c r="D12" s="556"/>
      <c r="E12" s="556"/>
      <c r="F12" s="55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55" t="s">
        <v>25</v>
      </c>
      <c r="C13" s="556"/>
      <c r="D13" s="556"/>
      <c r="E13" s="556"/>
      <c r="F13" s="55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55" t="s">
        <v>27</v>
      </c>
      <c r="C14" s="556"/>
      <c r="D14" s="556"/>
      <c r="E14" s="556"/>
      <c r="F14" s="55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55" t="s">
        <v>29</v>
      </c>
      <c r="C15" s="556"/>
      <c r="D15" s="556"/>
      <c r="E15" s="556"/>
      <c r="F15" s="55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55" t="s">
        <v>31</v>
      </c>
      <c r="C16" s="556"/>
      <c r="D16" s="556"/>
      <c r="E16" s="556"/>
      <c r="F16" s="55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55" t="s">
        <v>33</v>
      </c>
      <c r="C17" s="556"/>
      <c r="D17" s="556"/>
      <c r="E17" s="556"/>
      <c r="F17" s="55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55" t="s">
        <v>721</v>
      </c>
      <c r="C18" s="556"/>
      <c r="D18" s="556"/>
      <c r="E18" s="556"/>
      <c r="F18" s="55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65" t="s">
        <v>37</v>
      </c>
      <c r="C19" s="566"/>
      <c r="D19" s="566"/>
      <c r="E19" s="566"/>
      <c r="F19" s="566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55" t="s">
        <v>39</v>
      </c>
      <c r="C20" s="556"/>
      <c r="D20" s="556"/>
      <c r="E20" s="556"/>
      <c r="F20" s="55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55" t="s">
        <v>41</v>
      </c>
      <c r="C21" s="556"/>
      <c r="D21" s="556"/>
      <c r="E21" s="556"/>
      <c r="F21" s="55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55" t="s">
        <v>43</v>
      </c>
      <c r="C22" s="556"/>
      <c r="D22" s="556"/>
      <c r="E22" s="556"/>
      <c r="F22" s="55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55" t="s">
        <v>45</v>
      </c>
      <c r="C23" s="556"/>
      <c r="D23" s="556"/>
      <c r="E23" s="556"/>
      <c r="F23" s="55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57" t="s">
        <v>47</v>
      </c>
      <c r="C24" s="558"/>
      <c r="D24" s="558"/>
      <c r="E24" s="558"/>
      <c r="F24" s="55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57" t="s">
        <v>61</v>
      </c>
      <c r="C25" s="558"/>
      <c r="D25" s="558"/>
      <c r="E25" s="558"/>
      <c r="F25" s="55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57" t="s">
        <v>81</v>
      </c>
      <c r="C26" s="558"/>
      <c r="D26" s="558"/>
      <c r="E26" s="558"/>
      <c r="F26" s="55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57" t="s">
        <v>99</v>
      </c>
      <c r="C27" s="558"/>
      <c r="D27" s="558"/>
      <c r="E27" s="558"/>
      <c r="F27" s="55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59" t="s">
        <v>105</v>
      </c>
      <c r="C28" s="560"/>
      <c r="D28" s="560"/>
      <c r="E28" s="560"/>
      <c r="F28" s="560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45" t="s">
        <v>801</v>
      </c>
      <c r="C29" s="546"/>
      <c r="D29" s="546"/>
      <c r="E29" s="546"/>
      <c r="F29" s="546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61" t="s">
        <v>773</v>
      </c>
      <c r="C30" s="562"/>
      <c r="D30" s="562"/>
      <c r="E30" s="562"/>
      <c r="F30" s="562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63" t="s">
        <v>120</v>
      </c>
      <c r="C31" s="564"/>
      <c r="D31" s="564"/>
      <c r="E31" s="564"/>
      <c r="F31" s="564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55" t="s">
        <v>122</v>
      </c>
      <c r="C32" s="556"/>
      <c r="D32" s="556"/>
      <c r="E32" s="556"/>
      <c r="F32" s="55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55" t="s">
        <v>133</v>
      </c>
      <c r="C33" s="556"/>
      <c r="D33" s="556"/>
      <c r="E33" s="556"/>
      <c r="F33" s="55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55" t="s">
        <v>148</v>
      </c>
      <c r="C34" s="556"/>
      <c r="D34" s="556"/>
      <c r="E34" s="556"/>
      <c r="F34" s="55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55" t="s">
        <v>162</v>
      </c>
      <c r="C35" s="556"/>
      <c r="D35" s="556"/>
      <c r="E35" s="556"/>
      <c r="F35" s="55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55" t="s">
        <v>182</v>
      </c>
      <c r="C36" s="556"/>
      <c r="D36" s="556"/>
      <c r="E36" s="556"/>
      <c r="F36" s="55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55" t="s">
        <v>190</v>
      </c>
      <c r="C37" s="556"/>
      <c r="D37" s="556"/>
      <c r="E37" s="556"/>
      <c r="F37" s="55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55" t="s">
        <v>196</v>
      </c>
      <c r="C38" s="556"/>
      <c r="D38" s="556"/>
      <c r="E38" s="556"/>
      <c r="F38" s="55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55" t="s">
        <v>204</v>
      </c>
      <c r="C39" s="556"/>
      <c r="D39" s="556"/>
      <c r="E39" s="556"/>
      <c r="F39" s="55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55" t="s">
        <v>212</v>
      </c>
      <c r="C40" s="556"/>
      <c r="D40" s="556"/>
      <c r="E40" s="556"/>
      <c r="F40" s="55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55" t="s">
        <v>802</v>
      </c>
      <c r="C41" s="556"/>
      <c r="D41" s="556"/>
      <c r="E41" s="556"/>
      <c r="F41" s="55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51" t="s">
        <v>230</v>
      </c>
      <c r="C42" s="552"/>
      <c r="D42" s="552"/>
      <c r="E42" s="552"/>
      <c r="F42" s="55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55" t="s">
        <v>232</v>
      </c>
      <c r="C43" s="556"/>
      <c r="D43" s="556"/>
      <c r="E43" s="556"/>
      <c r="F43" s="55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55" t="s">
        <v>248</v>
      </c>
      <c r="C44" s="556"/>
      <c r="D44" s="556"/>
      <c r="E44" s="556"/>
      <c r="F44" s="55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55" t="s">
        <v>259</v>
      </c>
      <c r="C45" s="556"/>
      <c r="D45" s="556"/>
      <c r="E45" s="556"/>
      <c r="F45" s="55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55" t="s">
        <v>274</v>
      </c>
      <c r="C46" s="556"/>
      <c r="D46" s="556"/>
      <c r="E46" s="556"/>
      <c r="F46" s="55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5" t="s">
        <v>278</v>
      </c>
      <c r="C47" s="636"/>
      <c r="D47" s="636"/>
      <c r="E47" s="636"/>
      <c r="F47" s="636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53" t="s">
        <v>286</v>
      </c>
      <c r="C48" s="554"/>
      <c r="D48" s="554"/>
      <c r="E48" s="554"/>
      <c r="F48" s="55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53" t="s">
        <v>320</v>
      </c>
      <c r="C49" s="554"/>
      <c r="D49" s="554"/>
      <c r="E49" s="554"/>
      <c r="F49" s="55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578" t="s">
        <v>113</v>
      </c>
      <c r="C50" s="579"/>
      <c r="D50" s="579"/>
      <c r="E50" s="579"/>
      <c r="F50" s="579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23" t="s">
        <v>366</v>
      </c>
      <c r="C51" s="524"/>
      <c r="D51" s="524"/>
      <c r="E51" s="524"/>
      <c r="F51" s="52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41" t="s">
        <v>359</v>
      </c>
      <c r="C52" s="542"/>
      <c r="D52" s="542"/>
      <c r="E52" s="542"/>
      <c r="F52" s="542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585" t="s">
        <v>794</v>
      </c>
      <c r="C53" s="586"/>
      <c r="D53" s="586"/>
      <c r="E53" s="586"/>
      <c r="F53" s="586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587" t="s">
        <v>684</v>
      </c>
      <c r="C54" s="588"/>
      <c r="D54" s="588"/>
      <c r="E54" s="588"/>
      <c r="F54" s="588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7" t="s">
        <v>545</v>
      </c>
      <c r="C55" s="548"/>
      <c r="D55" s="548"/>
      <c r="E55" s="548"/>
      <c r="F55" s="54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9" t="s">
        <v>793</v>
      </c>
      <c r="C57" s="550"/>
      <c r="D57" s="550"/>
      <c r="E57" s="550"/>
      <c r="F57" s="55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71" t="s">
        <v>352</v>
      </c>
      <c r="C58" s="572"/>
      <c r="D58" s="572"/>
      <c r="E58" s="572"/>
      <c r="F58" s="57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39" t="s">
        <v>355</v>
      </c>
      <c r="C59" s="540"/>
      <c r="D59" s="540"/>
      <c r="E59" s="540"/>
      <c r="F59" s="540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23" t="s">
        <v>357</v>
      </c>
      <c r="C60" s="524"/>
      <c r="D60" s="524"/>
      <c r="E60" s="524"/>
      <c r="F60" s="52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3" t="s">
        <v>336</v>
      </c>
      <c r="C61" s="634"/>
      <c r="D61" s="634"/>
      <c r="E61" s="634"/>
      <c r="F61" s="634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43" t="s">
        <v>543</v>
      </c>
      <c r="C62" s="544"/>
      <c r="D62" s="544"/>
      <c r="E62" s="544"/>
      <c r="F62" s="54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45" t="s">
        <v>544</v>
      </c>
      <c r="C63" s="546"/>
      <c r="D63" s="546"/>
      <c r="E63" s="546"/>
      <c r="F63" s="546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39" t="s">
        <v>114</v>
      </c>
      <c r="C64" s="540"/>
      <c r="D64" s="540"/>
      <c r="E64" s="540"/>
      <c r="F64" s="540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23" t="s">
        <v>116</v>
      </c>
      <c r="C65" s="524"/>
      <c r="D65" s="524"/>
      <c r="E65" s="524"/>
      <c r="F65" s="52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23" t="s">
        <v>93</v>
      </c>
      <c r="C66" s="524"/>
      <c r="D66" s="524"/>
      <c r="E66" s="524"/>
      <c r="F66" s="52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5" t="s">
        <v>551</v>
      </c>
      <c r="C103" s="596"/>
      <c r="D103" s="596"/>
      <c r="E103" s="596"/>
      <c r="F103" s="596"/>
      <c r="G103" s="580">
        <v>2018</v>
      </c>
      <c r="H103" s="581"/>
      <c r="I103" s="581"/>
      <c r="J103" s="581"/>
      <c r="K103" s="581"/>
      <c r="L103" s="581"/>
      <c r="M103" s="581"/>
      <c r="N103" s="581"/>
      <c r="O103" s="581"/>
      <c r="P103" s="581"/>
      <c r="Q103" s="581"/>
      <c r="R103" s="582"/>
      <c r="S103" s="107" t="str">
        <f>+S7</f>
        <v>BDP</v>
      </c>
      <c r="T103" s="108">
        <f>+T7</f>
        <v>4663130000</v>
      </c>
    </row>
    <row r="104" spans="1:21" ht="15.75" customHeight="1">
      <c r="B104" s="597"/>
      <c r="C104" s="598"/>
      <c r="D104" s="598"/>
      <c r="E104" s="598"/>
      <c r="F104" s="59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80" t="s">
        <v>806</v>
      </c>
      <c r="T104" s="582">
        <f>+T8</f>
        <v>0</v>
      </c>
    </row>
    <row r="105" spans="1:21" ht="13.5" thickBot="1">
      <c r="B105" s="600"/>
      <c r="C105" s="601"/>
      <c r="D105" s="601"/>
      <c r="E105" s="601"/>
      <c r="F105" s="60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5" t="s">
        <v>680</v>
      </c>
      <c r="C106" s="626"/>
      <c r="D106" s="626"/>
      <c r="E106" s="626"/>
      <c r="F106" s="626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91" t="s">
        <v>21</v>
      </c>
      <c r="C107" s="592"/>
      <c r="D107" s="592"/>
      <c r="E107" s="592"/>
      <c r="F107" s="59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93" t="s">
        <v>23</v>
      </c>
      <c r="C108" s="594"/>
      <c r="D108" s="594"/>
      <c r="E108" s="594"/>
      <c r="F108" s="594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93" t="s">
        <v>25</v>
      </c>
      <c r="C109" s="594"/>
      <c r="D109" s="594"/>
      <c r="E109" s="594"/>
      <c r="F109" s="594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93" t="s">
        <v>27</v>
      </c>
      <c r="C110" s="594"/>
      <c r="D110" s="594"/>
      <c r="E110" s="594"/>
      <c r="F110" s="594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93" t="s">
        <v>29</v>
      </c>
      <c r="C111" s="594"/>
      <c r="D111" s="594"/>
      <c r="E111" s="594"/>
      <c r="F111" s="594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93" t="s">
        <v>31</v>
      </c>
      <c r="C112" s="594"/>
      <c r="D112" s="594"/>
      <c r="E112" s="594"/>
      <c r="F112" s="594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93" t="s">
        <v>33</v>
      </c>
      <c r="C113" s="594"/>
      <c r="D113" s="594"/>
      <c r="E113" s="594"/>
      <c r="F113" s="594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93" t="s">
        <v>721</v>
      </c>
      <c r="C114" s="594"/>
      <c r="D114" s="594"/>
      <c r="E114" s="594"/>
      <c r="F114" s="594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3" t="s">
        <v>37</v>
      </c>
      <c r="C115" s="624"/>
      <c r="D115" s="624"/>
      <c r="E115" s="624"/>
      <c r="F115" s="624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93" t="s">
        <v>39</v>
      </c>
      <c r="C116" s="594"/>
      <c r="D116" s="594"/>
      <c r="E116" s="594"/>
      <c r="F116" s="594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93" t="s">
        <v>41</v>
      </c>
      <c r="C117" s="594"/>
      <c r="D117" s="594"/>
      <c r="E117" s="594"/>
      <c r="F117" s="594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93" t="s">
        <v>43</v>
      </c>
      <c r="C118" s="594"/>
      <c r="D118" s="594"/>
      <c r="E118" s="594"/>
      <c r="F118" s="594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93" t="s">
        <v>45</v>
      </c>
      <c r="C119" s="594"/>
      <c r="D119" s="594"/>
      <c r="E119" s="594"/>
      <c r="F119" s="594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603" t="s">
        <v>47</v>
      </c>
      <c r="C120" s="604"/>
      <c r="D120" s="604"/>
      <c r="E120" s="604"/>
      <c r="F120" s="60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603" t="s">
        <v>61</v>
      </c>
      <c r="C121" s="604"/>
      <c r="D121" s="604"/>
      <c r="E121" s="604"/>
      <c r="F121" s="60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603" t="s">
        <v>81</v>
      </c>
      <c r="C122" s="604"/>
      <c r="D122" s="604"/>
      <c r="E122" s="604"/>
      <c r="F122" s="60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603" t="s">
        <v>99</v>
      </c>
      <c r="C123" s="604"/>
      <c r="D123" s="604"/>
      <c r="E123" s="604"/>
      <c r="F123" s="60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605" t="s">
        <v>105</v>
      </c>
      <c r="C124" s="606"/>
      <c r="D124" s="606"/>
      <c r="E124" s="606"/>
      <c r="F124" s="606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89" t="s">
        <v>808</v>
      </c>
      <c r="C125" s="590"/>
      <c r="D125" s="590"/>
      <c r="E125" s="590"/>
      <c r="F125" s="590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31" t="s">
        <v>773</v>
      </c>
      <c r="C126" s="632"/>
      <c r="D126" s="632"/>
      <c r="E126" s="632"/>
      <c r="F126" s="632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607" t="s">
        <v>120</v>
      </c>
      <c r="C127" s="608"/>
      <c r="D127" s="608"/>
      <c r="E127" s="608"/>
      <c r="F127" s="608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93" t="s">
        <v>122</v>
      </c>
      <c r="C128" s="594"/>
      <c r="D128" s="594"/>
      <c r="E128" s="594"/>
      <c r="F128" s="594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93" t="s">
        <v>133</v>
      </c>
      <c r="C129" s="594"/>
      <c r="D129" s="594"/>
      <c r="E129" s="594"/>
      <c r="F129" s="594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93" t="s">
        <v>148</v>
      </c>
      <c r="C130" s="594"/>
      <c r="D130" s="594"/>
      <c r="E130" s="594"/>
      <c r="F130" s="594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93" t="s">
        <v>162</v>
      </c>
      <c r="C131" s="594"/>
      <c r="D131" s="594"/>
      <c r="E131" s="594"/>
      <c r="F131" s="594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93" t="s">
        <v>182</v>
      </c>
      <c r="C132" s="594"/>
      <c r="D132" s="594"/>
      <c r="E132" s="594"/>
      <c r="F132" s="594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93" t="s">
        <v>190</v>
      </c>
      <c r="C133" s="594"/>
      <c r="D133" s="594"/>
      <c r="E133" s="594"/>
      <c r="F133" s="594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93" t="s">
        <v>196</v>
      </c>
      <c r="C134" s="594"/>
      <c r="D134" s="594"/>
      <c r="E134" s="594"/>
      <c r="F134" s="594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93" t="s">
        <v>204</v>
      </c>
      <c r="C135" s="594"/>
      <c r="D135" s="594"/>
      <c r="E135" s="594"/>
      <c r="F135" s="594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93" t="s">
        <v>212</v>
      </c>
      <c r="C136" s="594"/>
      <c r="D136" s="594"/>
      <c r="E136" s="594"/>
      <c r="F136" s="594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93" t="s">
        <v>802</v>
      </c>
      <c r="C137" s="594"/>
      <c r="D137" s="594"/>
      <c r="E137" s="594"/>
      <c r="F137" s="594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613" t="s">
        <v>230</v>
      </c>
      <c r="C138" s="614"/>
      <c r="D138" s="614"/>
      <c r="E138" s="614"/>
      <c r="F138" s="614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93" t="s">
        <v>232</v>
      </c>
      <c r="C139" s="594"/>
      <c r="D139" s="594"/>
      <c r="E139" s="594"/>
      <c r="F139" s="594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93" t="s">
        <v>248</v>
      </c>
      <c r="C140" s="594"/>
      <c r="D140" s="594"/>
      <c r="E140" s="594"/>
      <c r="F140" s="594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93" t="s">
        <v>259</v>
      </c>
      <c r="C141" s="594"/>
      <c r="D141" s="594"/>
      <c r="E141" s="594"/>
      <c r="F141" s="594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93" t="s">
        <v>274</v>
      </c>
      <c r="C142" s="594"/>
      <c r="D142" s="594"/>
      <c r="E142" s="594"/>
      <c r="F142" s="594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93" t="s">
        <v>278</v>
      </c>
      <c r="C143" s="594"/>
      <c r="D143" s="594"/>
      <c r="E143" s="594"/>
      <c r="F143" s="594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609" t="s">
        <v>286</v>
      </c>
      <c r="C144" s="610"/>
      <c r="D144" s="610"/>
      <c r="E144" s="610"/>
      <c r="F144" s="610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609" t="s">
        <v>809</v>
      </c>
      <c r="C145" s="610"/>
      <c r="D145" s="610"/>
      <c r="E145" s="610"/>
      <c r="F145" s="610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611" t="s">
        <v>113</v>
      </c>
      <c r="C146" s="612"/>
      <c r="D146" s="612"/>
      <c r="E146" s="612"/>
      <c r="F146" s="612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611" t="s">
        <v>366</v>
      </c>
      <c r="C147" s="612"/>
      <c r="D147" s="612"/>
      <c r="E147" s="612"/>
      <c r="F147" s="612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611" t="s">
        <v>359</v>
      </c>
      <c r="C148" s="612"/>
      <c r="D148" s="612"/>
      <c r="E148" s="612"/>
      <c r="F148" s="612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619" t="s">
        <v>545</v>
      </c>
      <c r="C150" s="620"/>
      <c r="D150" s="620"/>
      <c r="E150" s="620"/>
      <c r="F150" s="620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621" t="s">
        <v>810</v>
      </c>
      <c r="C151" s="622"/>
      <c r="D151" s="622"/>
      <c r="E151" s="622"/>
      <c r="F151" s="622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613" t="s">
        <v>352</v>
      </c>
      <c r="C152" s="614"/>
      <c r="D152" s="614"/>
      <c r="E152" s="614"/>
      <c r="F152" s="614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617" t="s">
        <v>355</v>
      </c>
      <c r="C153" s="618"/>
      <c r="D153" s="618"/>
      <c r="E153" s="618"/>
      <c r="F153" s="618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611" t="s">
        <v>357</v>
      </c>
      <c r="C154" s="612"/>
      <c r="D154" s="612"/>
      <c r="E154" s="612"/>
      <c r="F154" s="612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611" t="s">
        <v>365</v>
      </c>
      <c r="C155" s="612"/>
      <c r="D155" s="612"/>
      <c r="E155" s="612"/>
      <c r="F155" s="612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15" t="s">
        <v>543</v>
      </c>
      <c r="C157" s="616"/>
      <c r="D157" s="616"/>
      <c r="E157" s="616"/>
      <c r="F157" s="616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89" t="s">
        <v>544</v>
      </c>
      <c r="C158" s="590"/>
      <c r="D158" s="590"/>
      <c r="E158" s="590"/>
      <c r="F158" s="590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617" t="s">
        <v>114</v>
      </c>
      <c r="C159" s="618"/>
      <c r="D159" s="618"/>
      <c r="E159" s="618"/>
      <c r="F159" s="618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611" t="s">
        <v>116</v>
      </c>
      <c r="C160" s="612"/>
      <c r="D160" s="612"/>
      <c r="E160" s="612"/>
      <c r="F160" s="612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611" t="s">
        <v>93</v>
      </c>
      <c r="C161" s="612"/>
      <c r="D161" s="612"/>
      <c r="E161" s="612"/>
      <c r="F161" s="612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Milena Milovic</cp:lastModifiedBy>
  <cp:lastPrinted>2023-05-30T13:38:16Z</cp:lastPrinted>
  <dcterms:created xsi:type="dcterms:W3CDTF">2014-09-15T13:41:17Z</dcterms:created>
  <dcterms:modified xsi:type="dcterms:W3CDTF">2023-08-28T10:21:40Z</dcterms:modified>
</cp:coreProperties>
</file>