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MoF\Budzet\izvrsenje budzeta\Izvjestaji\Izvjestaji 2022\Jun GDDS\"/>
    </mc:Choice>
  </mc:AlternateContent>
  <workbookProtection workbookAlgorithmName="SHA-512" workbookHashValue="JBupzSF4oVM2ObMHU+U9qZ/pi2ofQ/nIHesypfQRPzNWyT7XVfcFT0LDgunkPW6hiORKH7cY1AxCILGc63ZGJw==" workbookSaltValue="DjbjTrTXeIDUOs3ONWcdgg==" workbookSpinCount="100000" lockStructure="1"/>
  <bookViews>
    <workbookView xWindow="0" yWindow="0" windowWidth="24000" windowHeight="9000" tabRatio="587" firstSheet="1" activeTab="3"/>
  </bookViews>
  <sheets>
    <sheet name="Analitika - 2014" sheetId="3" state="hidden" r:id="rId1"/>
    <sheet name="Pregled" sheetId="26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externalReferences>
    <externalReference r:id="rId11"/>
  </externalReference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11" l="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3" i="11"/>
  <c r="O62" i="11"/>
  <c r="O61" i="11"/>
  <c r="O58" i="11"/>
  <c r="O57" i="11"/>
  <c r="O56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39" i="11"/>
  <c r="O38" i="11"/>
  <c r="O37" i="11"/>
  <c r="O36" i="11"/>
  <c r="O35" i="11"/>
  <c r="O34" i="11"/>
  <c r="O33" i="11"/>
  <c r="O32" i="11"/>
  <c r="O31" i="11"/>
  <c r="O28" i="11"/>
  <c r="O27" i="11"/>
  <c r="O26" i="11"/>
  <c r="O25" i="11"/>
  <c r="O24" i="11"/>
  <c r="O23" i="11"/>
  <c r="O22" i="11"/>
  <c r="O21" i="11"/>
  <c r="O20" i="11"/>
  <c r="O18" i="11"/>
  <c r="O17" i="11"/>
  <c r="O16" i="11"/>
  <c r="O15" i="11"/>
  <c r="O14" i="11"/>
  <c r="O13" i="11"/>
  <c r="O12" i="11"/>
  <c r="N63" i="11"/>
  <c r="N62" i="11"/>
  <c r="N61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3" i="11"/>
  <c r="H62" i="11"/>
  <c r="H61" i="11"/>
  <c r="H58" i="11"/>
  <c r="H57" i="11"/>
  <c r="H56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39" i="11"/>
  <c r="H38" i="11"/>
  <c r="H37" i="11"/>
  <c r="H36" i="11"/>
  <c r="H35" i="11"/>
  <c r="H34" i="11"/>
  <c r="H33" i="11"/>
  <c r="H32" i="11"/>
  <c r="H31" i="11"/>
  <c r="H28" i="11"/>
  <c r="H27" i="11"/>
  <c r="H26" i="11"/>
  <c r="H25" i="11"/>
  <c r="H24" i="11"/>
  <c r="H23" i="11"/>
  <c r="H22" i="11"/>
  <c r="H21" i="11"/>
  <c r="H20" i="11"/>
  <c r="H18" i="11"/>
  <c r="H17" i="11"/>
  <c r="H16" i="11"/>
  <c r="H15" i="11"/>
  <c r="H14" i="11"/>
  <c r="H13" i="11"/>
  <c r="H12" i="11"/>
  <c r="E4" i="26" l="1"/>
  <c r="E3" i="26"/>
  <c r="E2" i="26"/>
  <c r="E5" i="20" l="1"/>
  <c r="E5" i="19"/>
  <c r="S121" i="25" l="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B63" i="25"/>
  <c r="S62" i="25"/>
  <c r="B62" i="25"/>
  <c r="S61" i="25"/>
  <c r="B61" i="25"/>
  <c r="B60" i="25"/>
  <c r="B59" i="25"/>
  <c r="S58" i="25"/>
  <c r="B58" i="25"/>
  <c r="S57" i="25"/>
  <c r="B57" i="25"/>
  <c r="S56" i="25"/>
  <c r="B56" i="25"/>
  <c r="R55" i="25"/>
  <c r="Q55" i="25"/>
  <c r="P55" i="25"/>
  <c r="O55" i="25"/>
  <c r="N55" i="25"/>
  <c r="M55" i="25"/>
  <c r="L55" i="25"/>
  <c r="N55" i="11" s="1"/>
  <c r="K55" i="25"/>
  <c r="J55" i="25"/>
  <c r="I55" i="25"/>
  <c r="H55" i="25"/>
  <c r="G55" i="25"/>
  <c r="B55" i="25"/>
  <c r="B54" i="25"/>
  <c r="B53" i="25"/>
  <c r="S52" i="25"/>
  <c r="B52" i="25"/>
  <c r="S51" i="25"/>
  <c r="B51" i="25"/>
  <c r="S50" i="25"/>
  <c r="B50" i="25"/>
  <c r="S49" i="25"/>
  <c r="B49" i="25"/>
  <c r="S48" i="25"/>
  <c r="B48" i="25"/>
  <c r="S47" i="25"/>
  <c r="B47" i="25"/>
  <c r="S46" i="25"/>
  <c r="B46" i="25"/>
  <c r="S45" i="25"/>
  <c r="B45" i="25"/>
  <c r="S44" i="25"/>
  <c r="B44" i="25"/>
  <c r="S43" i="25"/>
  <c r="B43" i="25"/>
  <c r="S42" i="25"/>
  <c r="B42" i="25"/>
  <c r="S41" i="25"/>
  <c r="B41" i="25"/>
  <c r="R40" i="25"/>
  <c r="Q40" i="25"/>
  <c r="P40" i="25"/>
  <c r="O40" i="25"/>
  <c r="N40" i="25"/>
  <c r="M40" i="25"/>
  <c r="L40" i="25"/>
  <c r="N40" i="11" s="1"/>
  <c r="K40" i="25"/>
  <c r="J40" i="25"/>
  <c r="I40" i="25"/>
  <c r="H40" i="25"/>
  <c r="G40" i="25"/>
  <c r="B40" i="25"/>
  <c r="S39" i="25"/>
  <c r="B39" i="25"/>
  <c r="S38" i="25"/>
  <c r="B38" i="25"/>
  <c r="S37" i="25"/>
  <c r="B37" i="25"/>
  <c r="S36" i="25"/>
  <c r="B36" i="25"/>
  <c r="S35" i="25"/>
  <c r="B35" i="25"/>
  <c r="S34" i="25"/>
  <c r="B34" i="25"/>
  <c r="S33" i="25"/>
  <c r="B33" i="25"/>
  <c r="S32" i="25"/>
  <c r="G32" i="11" s="1"/>
  <c r="B32" i="25"/>
  <c r="S31" i="25"/>
  <c r="B31" i="25"/>
  <c r="R30" i="25"/>
  <c r="Q30" i="25"/>
  <c r="P30" i="25"/>
  <c r="O30" i="25"/>
  <c r="O29" i="25" s="1"/>
  <c r="N30" i="25"/>
  <c r="M30" i="25"/>
  <c r="M29" i="25" s="1"/>
  <c r="L30" i="25"/>
  <c r="N30" i="11" s="1"/>
  <c r="K30" i="25"/>
  <c r="J30" i="25"/>
  <c r="I30" i="25"/>
  <c r="H30" i="25"/>
  <c r="G30" i="25"/>
  <c r="B30" i="25"/>
  <c r="Q29" i="25"/>
  <c r="B29" i="25"/>
  <c r="S28" i="25"/>
  <c r="B28" i="25"/>
  <c r="S27" i="25"/>
  <c r="B27" i="25"/>
  <c r="S26" i="25"/>
  <c r="B26" i="25"/>
  <c r="S25" i="25"/>
  <c r="B25" i="25"/>
  <c r="S24" i="25"/>
  <c r="B24" i="25"/>
  <c r="S23" i="25"/>
  <c r="B23" i="25"/>
  <c r="S22" i="25"/>
  <c r="B22" i="25"/>
  <c r="S21" i="25"/>
  <c r="B21" i="25"/>
  <c r="S20" i="25"/>
  <c r="B20" i="25"/>
  <c r="R19" i="25"/>
  <c r="Q19" i="25"/>
  <c r="P19" i="25"/>
  <c r="O19" i="25"/>
  <c r="N19" i="25"/>
  <c r="M19" i="25"/>
  <c r="L19" i="25"/>
  <c r="N19" i="11" s="1"/>
  <c r="K19" i="25"/>
  <c r="J19" i="25"/>
  <c r="I19" i="25"/>
  <c r="H19" i="25"/>
  <c r="G19" i="25"/>
  <c r="B19" i="25"/>
  <c r="S18" i="25"/>
  <c r="B18" i="25"/>
  <c r="S17" i="25"/>
  <c r="B17" i="25"/>
  <c r="S16" i="25"/>
  <c r="B16" i="25"/>
  <c r="S15" i="25"/>
  <c r="B15" i="25"/>
  <c r="S14" i="25"/>
  <c r="B14" i="25"/>
  <c r="S13" i="25"/>
  <c r="B13" i="25"/>
  <c r="S12" i="25"/>
  <c r="B12" i="25"/>
  <c r="R11" i="25"/>
  <c r="R10" i="25" s="1"/>
  <c r="Q11" i="25"/>
  <c r="P11" i="25"/>
  <c r="O11" i="25"/>
  <c r="N11" i="25"/>
  <c r="M11" i="25"/>
  <c r="L11" i="25"/>
  <c r="N11" i="11" s="1"/>
  <c r="K11" i="25"/>
  <c r="J11" i="25"/>
  <c r="I11" i="25"/>
  <c r="H11" i="25"/>
  <c r="G11" i="25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O55" i="11" l="1"/>
  <c r="H55" i="11"/>
  <c r="H40" i="11"/>
  <c r="O40" i="11"/>
  <c r="H30" i="11"/>
  <c r="O30" i="11"/>
  <c r="H19" i="11"/>
  <c r="O19" i="11"/>
  <c r="H11" i="11"/>
  <c r="O11" i="11"/>
  <c r="L84" i="25"/>
  <c r="K29" i="25"/>
  <c r="G10" i="25"/>
  <c r="T61" i="25"/>
  <c r="G61" i="11"/>
  <c r="T58" i="25"/>
  <c r="G58" i="11"/>
  <c r="T50" i="25"/>
  <c r="G50" i="11"/>
  <c r="T52" i="25"/>
  <c r="G52" i="11"/>
  <c r="J10" i="25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I53" i="25" s="1"/>
  <c r="K10" i="25"/>
  <c r="M10" i="25"/>
  <c r="O10" i="25"/>
  <c r="O53" i="25" s="1"/>
  <c r="O59" i="25" s="1"/>
  <c r="O64" i="25" s="1"/>
  <c r="O60" i="25" s="1"/>
  <c r="Q10" i="25"/>
  <c r="L10" i="25"/>
  <c r="P10" i="25"/>
  <c r="H10" i="25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L29" i="25"/>
  <c r="N29" i="25"/>
  <c r="N53" i="25" s="1"/>
  <c r="P29" i="25"/>
  <c r="P53" i="25" s="1"/>
  <c r="R29" i="25"/>
  <c r="R53" i="25" s="1"/>
  <c r="S40" i="25"/>
  <c r="M53" i="25"/>
  <c r="M54" i="25" s="1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N29" i="11" l="1"/>
  <c r="D16" i="26"/>
  <c r="E16" i="26" s="1"/>
  <c r="N10" i="11"/>
  <c r="D12" i="26"/>
  <c r="E12" i="26" s="1"/>
  <c r="O29" i="11"/>
  <c r="H29" i="11"/>
  <c r="O10" i="11"/>
  <c r="H10" i="11"/>
  <c r="K53" i="25"/>
  <c r="J53" i="25"/>
  <c r="J54" i="25" s="1"/>
  <c r="I54" i="25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59" i="25" s="1"/>
  <c r="G127" i="25"/>
  <c r="Q59" i="25"/>
  <c r="Q64" i="25" s="1"/>
  <c r="Q60" i="25" s="1"/>
  <c r="I59" i="25"/>
  <c r="M59" i="25"/>
  <c r="M64" i="25" s="1"/>
  <c r="M60" i="25" s="1"/>
  <c r="L53" i="25"/>
  <c r="O54" i="25"/>
  <c r="S10" i="25"/>
  <c r="G12" i="26" s="1"/>
  <c r="H12" i="26" s="1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G16" i="26" s="1"/>
  <c r="H16" i="26" s="1"/>
  <c r="P59" i="25"/>
  <c r="P64" i="25" s="1"/>
  <c r="P60" i="25" s="1"/>
  <c r="P54" i="25"/>
  <c r="N54" i="25"/>
  <c r="N59" i="25"/>
  <c r="N64" i="25" s="1"/>
  <c r="N60" i="25" s="1"/>
  <c r="R54" i="25"/>
  <c r="R59" i="25"/>
  <c r="R64" i="25" s="1"/>
  <c r="R60" i="25" s="1"/>
  <c r="S53" i="20"/>
  <c r="L54" i="25" l="1"/>
  <c r="N54" i="11" s="1"/>
  <c r="D20" i="26"/>
  <c r="N53" i="11"/>
  <c r="L133" i="25"/>
  <c r="O53" i="11"/>
  <c r="H53" i="11"/>
  <c r="K54" i="25"/>
  <c r="E20" i="26"/>
  <c r="K59" i="25"/>
  <c r="J59" i="25"/>
  <c r="J64" i="25" s="1"/>
  <c r="I64" i="25"/>
  <c r="T29" i="25"/>
  <c r="G29" i="11"/>
  <c r="H54" i="25"/>
  <c r="T10" i="25"/>
  <c r="G10" i="1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H59" i="25"/>
  <c r="S53" i="25"/>
  <c r="G20" i="26" s="1"/>
  <c r="H20" i="26" s="1"/>
  <c r="G64" i="25"/>
  <c r="G5" i="22"/>
  <c r="H5" i="22"/>
  <c r="I5" i="22"/>
  <c r="J5" i="22"/>
  <c r="K5" i="22"/>
  <c r="L5" i="22"/>
  <c r="M5" i="22"/>
  <c r="N5" i="22"/>
  <c r="O5" i="22"/>
  <c r="L64" i="25" l="1"/>
  <c r="N59" i="11"/>
  <c r="O54" i="11"/>
  <c r="H54" i="11"/>
  <c r="L138" i="25"/>
  <c r="H59" i="11"/>
  <c r="O59" i="11"/>
  <c r="K64" i="25"/>
  <c r="J60" i="25"/>
  <c r="I60" i="25"/>
  <c r="H64" i="25"/>
  <c r="T53" i="25"/>
  <c r="G53" i="11"/>
  <c r="S54" i="25"/>
  <c r="S133" i="25"/>
  <c r="T133" i="25" s="1"/>
  <c r="S128" i="25"/>
  <c r="T128" i="25" s="1"/>
  <c r="G138" i="25"/>
  <c r="S59" i="25"/>
  <c r="G60" i="25"/>
  <c r="P19" i="22"/>
  <c r="L60" i="25" l="1"/>
  <c r="N60" i="11" s="1"/>
  <c r="N64" i="11"/>
  <c r="L134" i="25"/>
  <c r="O64" i="11"/>
  <c r="H64" i="11"/>
  <c r="S64" i="25"/>
  <c r="T64" i="25" s="1"/>
  <c r="K60" i="25"/>
  <c r="T54" i="25"/>
  <c r="G54" i="11"/>
  <c r="T59" i="25"/>
  <c r="G59" i="11"/>
  <c r="H60" i="25"/>
  <c r="S138" i="25"/>
  <c r="T138" i="25" s="1"/>
  <c r="G134" i="25"/>
  <c r="S121" i="22"/>
  <c r="G64" i="11" l="1"/>
  <c r="O60" i="11"/>
  <c r="H60" i="11"/>
  <c r="S60" i="25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B11" i="11"/>
  <c r="B15" i="3"/>
  <c r="B20" i="3"/>
  <c r="G249" i="2"/>
  <c r="T9" i="22" s="1"/>
  <c r="T83" i="22" s="1"/>
  <c r="B63" i="11"/>
  <c r="B11" i="3"/>
  <c r="B43" i="3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G271" i="2"/>
  <c r="G245" i="2"/>
  <c r="R8" i="3"/>
  <c r="R8" i="11"/>
  <c r="G270" i="2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<sst xmlns="http://schemas.openxmlformats.org/spreadsheetml/2006/main" count="1782" uniqueCount="847">
  <si>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</si>
  <si>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</si>
  <si>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</si>
  <si>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</si>
  <si>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</si>
  <si>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</si>
  <si>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</si>
  <si>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</si>
  <si>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</si>
  <si>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</si>
  <si>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</si>
  <si>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</si>
  <si>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</si>
  <si>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</si>
  <si>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</si>
  <si>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</si>
  <si>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</si>
  <si>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</si>
  <si>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</si>
  <si>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</si>
  <si>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</si>
  <si>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</si>
  <si>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</si>
  <si>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</si>
  <si>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</si>
  <si>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</si>
  <si>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</si>
  <si>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</si>
  <si>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</si>
  <si>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</si>
  <si>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</si>
  <si>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</si>
  <si>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</si>
  <si>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</si>
  <si>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</si>
  <si>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</si>
  <si>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</si>
  <si>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</si>
  <si>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</si>
  <si>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</si>
  <si>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</si>
  <si>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</si>
  <si>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</si>
  <si>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</si>
  <si>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</si>
  <si>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</si>
  <si>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</si>
  <si>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</si>
  <si>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</si>
  <si>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</si>
  <si>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</si>
  <si>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</si>
  <si>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</si>
  <si>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</si>
  <si>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</si>
  <si>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</si>
  <si>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</si>
  <si>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</si>
  <si>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</si>
  <si>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</si>
  <si>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</si>
  <si>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</si>
  <si>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</si>
  <si>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</si>
  <si>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</si>
  <si>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</si>
  <si>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</si>
  <si>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</si>
  <si>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</si>
  <si>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</si>
  <si>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</si>
  <si>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</si>
  <si>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</si>
  <si>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</si>
  <si>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</si>
  <si>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</si>
  <si>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</si>
  <si>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</si>
  <si>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</si>
  <si>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</si>
  <si>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</si>
  <si>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</si>
  <si>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</si>
  <si>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</si>
  <si>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</si>
  <si>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</si>
  <si>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</si>
  <si>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</si>
  <si>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</si>
  <si>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</si>
  <si>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</si>
  <si>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</si>
  <si>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</si>
  <si>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</si>
  <si>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</si>
  <si>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</si>
  <si>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</si>
  <si>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</si>
  <si>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</si>
  <si>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</si>
  <si>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</si>
  <si>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</si>
  <si>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</si>
  <si>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</si>
  <si>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</si>
  <si>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</si>
  <si>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</si>
  <si>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</si>
  <si>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</si>
  <si>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</si>
  <si>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</si>
  <si>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</si>
  <si>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</si>
  <si>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</si>
  <si>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</si>
  <si>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</si>
  <si>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</si>
  <si>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</si>
  <si>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</si>
  <si>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</si>
  <si>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</si>
  <si>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</si>
  <si>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</si>
  <si>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</si>
  <si>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</si>
  <si>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</si>
  <si>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</si>
  <si>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</si>
  <si>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</si>
  <si>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</si>
  <si>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</si>
  <si>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</si>
  <si>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</si>
  <si>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</si>
  <si>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</si>
  <si>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</si>
  <si>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</si>
  <si>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</si>
  <si>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</si>
  <si>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</si>
  <si>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</si>
  <si>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</si>
  <si>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</si>
  <si>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</si>
  <si>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</si>
  <si>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</si>
  <si>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</si>
  <si>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</si>
  <si>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</si>
  <si>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</si>
  <si>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</si>
  <si>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</si>
  <si>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</si>
  <si>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</si>
  <si>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</si>
  <si>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</si>
  <si>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</si>
  <si>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</si>
  <si>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</si>
  <si>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</si>
  <si>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</si>
  <si>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</si>
  <si>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</si>
  <si>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</si>
  <si>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</si>
  <si>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</si>
  <si>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</si>
  <si>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</si>
  <si>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</si>
  <si>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</si>
  <si>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</si>
  <si>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</si>
  <si>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</si>
  <si>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</si>
  <si>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</si>
  <si>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</si>
  <si>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</si>
  <si>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</si>
  <si>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</si>
  <si>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</si>
  <si>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</si>
  <si>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</si>
  <si>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</si>
  <si>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</si>
  <si>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</si>
  <si>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</si>
  <si>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</si>
  <si>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</si>
  <si>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</si>
  <si>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</si>
  <si>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</si>
  <si>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</si>
  <si>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</si>
  <si>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</si>
  <si>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</si>
  <si>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</si>
  <si>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</si>
  <si>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</si>
  <si>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</si>
  <si>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</si>
  <si>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</si>
  <si>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</si>
  <si>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</si>
  <si>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</si>
  <si>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</si>
  <si>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</si>
  <si>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</si>
  <si>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</si>
  <si>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</si>
  <si>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</si>
  <si>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</si>
  <si>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</si>
  <si>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</si>
  <si>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</si>
  <si>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</si>
  <si>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</si>
  <si>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</si>
  <si>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</si>
  <si>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</si>
  <si>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</si>
  <si>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</si>
  <si>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</si>
  <si>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</si>
  <si>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</si>
  <si>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</si>
  <si>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</si>
  <si>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</si>
  <si>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</si>
  <si>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</si>
  <si>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</si>
  <si>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</si>
  <si>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</si>
  <si>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</si>
  <si>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</si>
  <si>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</si>
  <si>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</si>
  <si>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</si>
  <si>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</si>
  <si>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</si>
  <si>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</si>
  <si>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</si>
  <si>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</si>
  <si>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</si>
  <si>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</si>
  <si>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</si>
  <si>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</si>
  <si>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</si>
  <si>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</si>
  <si>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</si>
  <si>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</si>
  <si>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</si>
  <si>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</si>
  <si>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</si>
  <si>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</si>
  <si>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</si>
  <si>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</si>
  <si>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</si>
  <si>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</si>
  <si>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</si>
  <si>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</si>
  <si>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</si>
  <si>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</si>
  <si>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</si>
  <si>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</si>
  <si>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</si>
  <si>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</si>
  <si>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</si>
  <si>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</si>
  <si>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</si>
  <si>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</si>
  <si>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</si>
  <si>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</si>
  <si>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</si>
  <si>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</si>
  <si>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</si>
  <si>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</si>
  <si>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</si>
  <si>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</si>
  <si>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</si>
  <si>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</si>
  <si>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</si>
  <si>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</si>
  <si>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</si>
  <si>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</si>
  <si>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</si>
  <si>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</si>
  <si>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</si>
  <si>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</si>
  <si>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</si>
  <si>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</si>
  <si>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</si>
  <si>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</si>
  <si>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</si>
  <si>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</si>
  <si>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</si>
  <si>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</si>
  <si>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</si>
  <si>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</si>
  <si>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</si>
  <si>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</si>
  <si>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</si>
  <si>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</si>
  <si>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</si>
  <si>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</si>
  <si>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</si>
  <si>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</si>
  <si>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</si>
  <si>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</si>
  <si>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</si>
  <si>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</si>
  <si>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</si>
  <si>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</si>
  <si>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</si>
  <si>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</si>
  <si>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</si>
  <si>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</si>
  <si>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</si>
  <si>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</si>
  <si>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</si>
  <si>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</si>
  <si>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</si>
  <si>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</si>
  <si>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</si>
  <si>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</si>
  <si>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</si>
  <si>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</si>
  <si>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</si>
  <si>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</si>
  <si>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</si>
  <si>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</si>
  <si>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</si>
  <si>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</si>
  <si>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</si>
  <si>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</si>
  <si>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</si>
  <si>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</si>
  <si>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</si>
  <si>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</si>
  <si>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</si>
  <si>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</si>
  <si>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</si>
  <si>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</si>
  <si>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</si>
  <si>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</si>
  <si>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</si>
  <si>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</si>
  <si>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</si>
  <si>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</si>
  <si>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</si>
  <si>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</si>
  <si>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</si>
  <si>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</si>
  <si>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</si>
  <si>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</si>
  <si>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</si>
  <si>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</si>
  <si>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</si>
  <si>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</si>
  <si>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</si>
  <si>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</si>
  <si>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</si>
  <si>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</si>
  <si>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</si>
  <si>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</si>
  <si>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</si>
  <si>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</si>
  <si>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</si>
  <si>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</si>
  <si>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</si>
  <si>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</si>
  <si>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</si>
  <si>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</si>
  <si>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</si>
  <si>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</si>
  <si>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</si>
  <si>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</si>
  <si>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</si>
  <si>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</si>
  <si>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</si>
  <si>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</si>
  <si>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</si>
  <si>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</si>
  <si>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</si>
  <si>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</si>
  <si>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</si>
  <si>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</si>
  <si>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</si>
  <si>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</si>
  <si>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</si>
  <si>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</si>
  <si>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</si>
  <si>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</si>
  <si>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</si>
  <si>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</si>
  <si>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</si>
  <si>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</si>
  <si>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</si>
  <si>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</si>
  <si>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</si>
  <si>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</si>
  <si>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</si>
  <si>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</si>
  <si>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</si>
  <si>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</si>
  <si>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</si>
  <si>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</si>
  <si>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</si>
  <si>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</si>
  <si>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</si>
  <si>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</si>
  <si>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</si>
  <si>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</si>
  <si>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</si>
  <si>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</si>
  <si>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</si>
  <si>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</si>
  <si>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</si>
  <si>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</si>
  <si>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</si>
  <si>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</si>
  <si>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</si>
  <si>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</si>
  <si>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</si>
  <si>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</si>
  <si>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</si>
  <si>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</si>
  <si>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</si>
  <si>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</si>
  <si>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</si>
  <si>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</si>
  <si>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</si>
  <si>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</si>
  <si>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</si>
  <si>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</si>
  <si>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</si>
  <si>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</si>
  <si>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</si>
  <si>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</si>
  <si>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</si>
  <si>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</si>
  <si>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</si>
  <si>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</si>
  <si>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</si>
  <si>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</si>
  <si>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</si>
  <si>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</si>
  <si>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</si>
  <si>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</si>
  <si>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</si>
  <si>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</si>
  <si>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</si>
  <si>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</si>
  <si>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</si>
  <si>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</si>
  <si>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</si>
  <si>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</si>
  <si>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</si>
  <si>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</si>
  <si>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</si>
  <si>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</si>
  <si>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</si>
  <si>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</si>
  <si>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</si>
  <si>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</si>
  <si>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</si>
  <si>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</si>
  <si>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</si>
  <si>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</si>
  <si>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</si>
  <si>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</si>
  <si>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</si>
  <si>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</si>
  <si>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</si>
  <si>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</si>
  <si>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</si>
  <si>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</si>
  <si>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</si>
  <si>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</si>
  <si>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</si>
  <si>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</si>
  <si>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</si>
  <si>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</si>
  <si>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</si>
  <si>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</si>
  <si>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</si>
  <si>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</si>
  <si>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</si>
  <si>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</si>
  <si>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</si>
  <si>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</si>
  <si>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</si>
  <si>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</si>
  <si>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</si>
  <si>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</si>
  <si>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</si>
  <si>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</si>
  <si>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</si>
  <si>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</si>
  <si>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</si>
  <si>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</si>
  <si>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</si>
  <si>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</si>
  <si>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</si>
  <si>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</si>
  <si>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</si>
  <si>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</si>
  <si>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</si>
  <si>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</si>
  <si>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</si>
  <si>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</si>
  <si>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</si>
  <si>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</si>
  <si>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</si>
  <si>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</si>
  <si>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</si>
  <si>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</si>
  <si>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</si>
  <si>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</si>
  <si>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</si>
  <si>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</si>
  <si>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</si>
  <si>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</si>
  <si>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</si>
  <si>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</si>
  <si>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</si>
  <si>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</si>
  <si>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</si>
  <si>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</si>
  <si>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</si>
  <si>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</si>
  <si>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</si>
  <si>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</si>
  <si>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</si>
  <si>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</si>
  <si>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</si>
  <si>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</si>
  <si>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</si>
  <si>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</si>
  <si>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</si>
  <si>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</si>
  <si>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</si>
  <si>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</si>
  <si>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</si>
  <si>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</si>
  <si>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</si>
  <si>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</si>
  <si>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</si>
  <si>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</si>
  <si>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</si>
  <si>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</si>
  <si>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</si>
  <si>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</si>
  <si>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</si>
  <si>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</si>
  <si>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</si>
  <si>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</si>
  <si>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</si>
  <si>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</si>
  <si>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</si>
  <si>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</si>
  <si>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</si>
  <si>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</si>
  <si>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</si>
  <si>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</si>
  <si>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</si>
  <si>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</si>
  <si>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</si>
  <si>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</si>
  <si>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</si>
  <si>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</si>
  <si>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</si>
  <si>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</si>
  <si>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</si>
  <si>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</si>
  <si>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</si>
  <si>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</si>
  <si>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</si>
  <si>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</si>
  <si>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</si>
  <si>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</si>
  <si>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</si>
  <si>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</si>
  <si>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</si>
  <si>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</si>
  <si>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</si>
  <si>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</si>
  <si>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</si>
  <si>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</si>
  <si>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</si>
  <si>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</si>
  <si>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</si>
  <si>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</si>
  <si>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</si>
  <si>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</si>
  <si>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</si>
  <si>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</si>
  <si>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</si>
  <si>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</si>
  <si>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</si>
  <si>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</si>
  <si>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</si>
  <si>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</si>
  <si>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</si>
  <si>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</si>
  <si>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</si>
  <si>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</si>
  <si>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</si>
  <si>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</si>
  <si>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</si>
  <si>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</si>
  <si>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</si>
  <si>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</si>
  <si>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</si>
  <si>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</si>
  <si>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</si>
  <si>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</si>
  <si>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</si>
  <si>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</si>
  <si>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</si>
  <si>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</si>
  <si>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</si>
  <si>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</si>
  <si>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</si>
  <si>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</si>
  <si>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</si>
  <si>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</si>
  <si>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</si>
  <si>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</si>
  <si>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</si>
  <si>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</si>
  <si>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</si>
  <si>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</si>
  <si>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</si>
  <si>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</si>
  <si>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</si>
  <si>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</si>
  <si>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</si>
  <si>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</si>
  <si>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</si>
  <si>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</si>
  <si>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</si>
  <si>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</si>
  <si>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</si>
  <si>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</si>
  <si>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</si>
  <si>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</si>
  <si>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</si>
  <si>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</si>
  <si>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</si>
  <si>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</si>
  <si>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</si>
  <si>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</si>
  <si>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</si>
  <si>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</si>
  <si>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</si>
  <si>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</si>
  <si>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</si>
  <si>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</si>
  <si>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</si>
  <si>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</si>
  <si>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</si>
  <si>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</si>
  <si>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</si>
  <si>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</si>
  <si>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</si>
  <si>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</si>
  <si>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</si>
  <si>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</si>
  <si>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</si>
  <si>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</si>
  <si>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</si>
  <si>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</si>
  <si>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</si>
  <si>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</si>
  <si>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</si>
  <si>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</si>
  <si>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</si>
  <si>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</si>
  <si>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</si>
  <si>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</si>
  <si>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</si>
  <si>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</si>
  <si>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</si>
  <si>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</si>
  <si>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</si>
  <si>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</si>
  <si>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</si>
  <si>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</si>
  <si>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</si>
  <si>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</si>
  <si>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</si>
  <si>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</si>
  <si>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</si>
  <si>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</si>
  <si>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</si>
  <si>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</si>
  <si>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</si>
  <si>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</si>
  <si>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</si>
  <si>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</si>
  <si>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</si>
  <si>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</si>
  <si>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</si>
  <si>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</si>
  <si>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</si>
  <si>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</si>
  <si>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</si>
  <si>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</si>
  <si>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</si>
  <si>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</si>
  <si>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</si>
  <si>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</si>
  <si>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</si>
  <si>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</si>
  <si>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</si>
  <si>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</si>
  <si>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</si>
  <si>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</si>
  <si>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</si>
  <si>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</si>
  <si>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</si>
  <si>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</si>
  <si>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</si>
  <si>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</si>
  <si>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</si>
  <si>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</si>
  <si>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</si>
  <si>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</si>
  <si>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</si>
  <si>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</si>
  <si>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</si>
  <si>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</si>
  <si>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</si>
  <si>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</si>
  <si>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</si>
  <si>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</si>
  <si>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</si>
  <si>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</si>
  <si>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</si>
  <si>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</si>
  <si>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</si>
  <si>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</si>
  <si>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</si>
  <si>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</si>
  <si>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</si>
  <si>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</si>
  <si>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</si>
  <si>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</si>
  <si>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</si>
  <si>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</si>
  <si>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</si>
  <si>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</si>
  <si>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</si>
  <si>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</si>
  <si>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</si>
  <si>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</si>
  <si>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</si>
  <si>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</si>
  <si>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</si>
  <si>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</si>
  <si>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</si>
  <si>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</si>
  <si>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</si>
  <si>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</si>
  <si>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</si>
  <si>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</si>
  <si>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</si>
  <si>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</si>
  <si>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</si>
  <si>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</si>
  <si>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</si>
  <si>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</si>
  <si>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</si>
  <si>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</si>
  <si>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</si>
  <si>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</si>
  <si>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</si>
  <si>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</si>
  <si>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</si>
  <si>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</si>
  <si>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</si>
  <si>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</si>
  <si>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</si>
  <si>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</si>
  <si>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</si>
  <si>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</si>
  <si>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</si>
  <si>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</si>
  <si>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</si>
  <si>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</si>
  <si>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</si>
  <si>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</si>
  <si>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</si>
  <si>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</si>
  <si>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</si>
  <si>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</si>
  <si>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</si>
  <si>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</si>
  <si>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</si>
  <si>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</si>
  <si>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</si>
  <si>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</si>
  <si>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</si>
  <si>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</si>
  <si>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</si>
  <si>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</si>
  <si>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</si>
  <si>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</si>
  <si>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</si>
  <si>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</si>
  <si>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</si>
  <si>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</si>
  <si>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</si>
  <si>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</si>
  <si>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</si>
  <si>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</si>
  <si>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</si>
  <si>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</si>
  <si>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</si>
  <si>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</si>
  <si>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</si>
  <si>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</si>
  <si>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</si>
  <si>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</si>
  <si>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</si>
  <si>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</si>
  <si>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</si>
  <si>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</si>
  <si>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</si>
  <si>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</si>
  <si>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</si>
  <si>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</si>
  <si>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</si>
  <si>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</si>
  <si>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</si>
  <si>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</si>
  <si>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</si>
  <si>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</si>
  <si>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</si>
  <si>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</si>
  <si>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Prihodi za mjesec Jun</t>
  </si>
  <si>
    <t>Prihodi za period Januar - Jun</t>
  </si>
  <si>
    <t>Rashodi za mjesec Jun</t>
  </si>
  <si>
    <t>Rashodi za period Januar - Jun</t>
  </si>
  <si>
    <t>Suficit/Deficit za mjesec Jun</t>
  </si>
  <si>
    <t>Suficit/Deficit za period Januar - Jun</t>
  </si>
  <si>
    <t>PREMILINARNI PODACI IZVRŠENJA BUDŽETA ZA 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</si>
</sst>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76" fontId="22" fillId="4" borderId="14" xfId="0" applyNumberFormat="1" applyFont="1" applyFill="1" applyBorder="1" applyAlignment="1">
      <alignment horizontal="center" vertical="center"/>
    </xf>
    <xf numFmtId="176" fontId="24" fillId="3" borderId="30" xfId="0" applyNumberFormat="1" applyFont="1" applyFill="1" applyBorder="1" applyAlignment="1">
      <alignment horizontal="center" vertical="center"/>
    </xf>
    <xf numFmtId="176" fontId="24" fillId="3" borderId="3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24" fillId="3" borderId="33" xfId="0" applyNumberFormat="1" applyFont="1" applyFill="1" applyBorder="1" applyAlignment="1">
      <alignment horizontal="center" vertical="center"/>
    </xf>
    <xf numFmtId="176" fontId="24" fillId="3" borderId="25" xfId="0" applyNumberFormat="1" applyFont="1" applyFill="1" applyBorder="1" applyAlignment="1">
      <alignment horizontal="center" vertical="center"/>
    </xf>
    <xf numFmtId="10" fontId="3" fillId="3" borderId="0" xfId="1" applyNumberFormat="1" applyFon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[1]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021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6</xdr:row>
      <xdr:rowOff>180976</xdr:rowOff>
    </xdr:from>
    <xdr:to>
      <xdr:col>17</xdr:col>
      <xdr:colOff>514351</xdr:colOff>
      <xdr:row>21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10351" y="1323976"/>
          <a:ext cx="3657600" cy="28670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jun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godine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922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.3 mil. € ili 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 i veći su za 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u odnosu na isti period 2021. godine, dok su u odnosu na planirane veći za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</a:t>
          </a:r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jun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2022. godine iznosili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955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 i u odnosu na planirane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za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82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8%. U odnosu na posmatrani period prethodne godine, izdaci su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 €, odnosno 0.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posmatranom periodu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 €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odnosno 0,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BDP-a,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niži je od plana za 172,7 mil €, odnosno 8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isti period prethodne 2021. godine, budžetki deficit je niži za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126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mil€, odnosno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</a:t>
          </a:r>
          <a:endParaRPr lang="sr-Latn-ME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9527</xdr:colOff>
      <xdr:row>6</xdr:row>
      <xdr:rowOff>180976</xdr:rowOff>
    </xdr:from>
    <xdr:to>
      <xdr:col>24</xdr:col>
      <xdr:colOff>1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372727" y="1323976"/>
          <a:ext cx="3648074" cy="2867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[1]Master!G279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[1]Master!G11" fLocksText="0">
      <xdr:nvSpPr>
        <xdr:cNvPr id="7" name="Rounded 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142875</xdr:colOff>
          <xdr:row>1</xdr:row>
          <xdr:rowOff>47625</xdr:rowOff>
        </xdr:to>
        <xdr:sp macro="" textlink="">
          <xdr:nvSpPr>
            <xdr:cNvPr id="89089" name="Option Butt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3</xdr:col>
          <xdr:colOff>266700</xdr:colOff>
          <xdr:row>1</xdr:row>
          <xdr:rowOff>47625</xdr:rowOff>
        </xdr:to>
        <xdr:sp macro="" textlink="">
          <xdr:nvSpPr>
            <xdr:cNvPr id="89090" name="Option Butt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jan.paunovic/Desktop/MoF/Budzet/izvrsenje%20budzeta/Izvjestaji/Izvjestaji%202022/Januar%20GDDS/GDD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2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G6" t="str">
            <v>Crna Gora</v>
          </cell>
        </row>
        <row r="7">
          <cell r="G7" t="str">
            <v>Ministarstvo finansija i socijalnog staranja</v>
          </cell>
        </row>
        <row r="8">
          <cell r="G8" t="str">
            <v>Direktorat za državni budžet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2022-06</v>
      </c>
      <c r="O6" s="143" t="str">
        <f>+CONCATENATE(N6,"p")</f>
        <v>2022-06p</v>
      </c>
      <c r="P6" s="130"/>
      <c r="Q6" s="130"/>
      <c r="R6" s="143" t="str">
        <f>+IF(Master!B3-10&gt;=0,CONCATENATE(Master!B4-1,"-",Master!B3),CONCATENATE(Master!B4-1,"-0",Master!B3))</f>
        <v>2021-06</v>
      </c>
      <c r="S6" s="130"/>
      <c r="T6" s="130"/>
    </row>
    <row r="7" spans="1:20">
      <c r="A7" s="144"/>
      <c r="B7" s="515" t="s">
        <v>692</v>
      </c>
      <c r="C7" s="516"/>
      <c r="D7" s="516"/>
      <c r="E7" s="516"/>
      <c r="F7" s="516"/>
      <c r="G7" s="524" t="s">
        <v>691</v>
      </c>
      <c r="H7" s="525"/>
      <c r="I7" s="525"/>
      <c r="J7" s="525"/>
      <c r="K7" s="525"/>
      <c r="L7" s="525"/>
      <c r="M7" s="526"/>
      <c r="N7" s="527" t="str">
        <f>+Master!G242</f>
        <v>Decembar</v>
      </c>
      <c r="O7" s="525"/>
      <c r="P7" s="525"/>
      <c r="Q7" s="525"/>
      <c r="R7" s="525"/>
      <c r="S7" s="525"/>
      <c r="T7" s="528"/>
    </row>
    <row r="8" spans="1:20">
      <c r="A8" s="144"/>
      <c r="B8" s="517"/>
      <c r="C8" s="518"/>
      <c r="D8" s="518"/>
      <c r="E8" s="518"/>
      <c r="F8" s="519"/>
      <c r="G8" s="145" t="str">
        <f>+Master!G25</f>
        <v>Ostvarenje</v>
      </c>
      <c r="H8" s="145" t="str">
        <f>+Master!G24</f>
        <v>Plan</v>
      </c>
      <c r="I8" s="511" t="str">
        <f>+Master!G260</f>
        <v>Odstupanje</v>
      </c>
      <c r="J8" s="511"/>
      <c r="K8" s="145" t="str">
        <f>+CONCATENATE(Master!G245," ",Master!B4-1)</f>
        <v>Jan - Jun 2021</v>
      </c>
      <c r="L8" s="511" t="str">
        <f>+I8</f>
        <v>Odstupanje</v>
      </c>
      <c r="M8" s="523"/>
      <c r="N8" s="146" t="str">
        <f>+G8</f>
        <v>Ostvarenje</v>
      </c>
      <c r="O8" s="145" t="str">
        <f>+H8</f>
        <v>Plan</v>
      </c>
      <c r="P8" s="511" t="str">
        <f>+I8</f>
        <v>Odstupanje</v>
      </c>
      <c r="Q8" s="511"/>
      <c r="R8" s="145" t="str">
        <f>+CONCATENATE(Master!G244," ",Master!B4-1)</f>
        <v>Jun 2021</v>
      </c>
      <c r="S8" s="511" t="str">
        <f>+P8</f>
        <v>Odstupanje</v>
      </c>
      <c r="T8" s="512"/>
    </row>
    <row r="9" spans="1:20" ht="15.7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45" t="e">
        <f>+VLOOKUP($A18,Master!$D$29:$G$225,4,FALSE)</f>
        <v>#N/A</v>
      </c>
      <c r="C18" s="546"/>
      <c r="D18" s="546"/>
      <c r="E18" s="546"/>
      <c r="F18" s="54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45" t="str">
        <f>+VLOOKUP($A19,Master!$D$29:$G$225,4,FALSE)</f>
        <v>Ostali državni porezi</v>
      </c>
      <c r="C19" s="546"/>
      <c r="D19" s="546"/>
      <c r="E19" s="546"/>
      <c r="F19" s="54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55" t="str">
        <f>+VLOOKUP($A20,Master!$D$29:$G$225,4,FALSE)</f>
        <v>Doprinosi</v>
      </c>
      <c r="C20" s="556"/>
      <c r="D20" s="556"/>
      <c r="E20" s="556"/>
      <c r="F20" s="556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45" t="str">
        <f>+VLOOKUP($A21,Master!$D$29:$G$225,4,FALSE)</f>
        <v>Doprinosi za penzijsko i invalidsko osiguranje</v>
      </c>
      <c r="C21" s="546"/>
      <c r="D21" s="546"/>
      <c r="E21" s="546"/>
      <c r="F21" s="54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45" t="str">
        <f>+VLOOKUP($A22,Master!$D$29:$G$225,4,FALSE)</f>
        <v>Doprinosi za zdravstveno osiguranje</v>
      </c>
      <c r="C22" s="546"/>
      <c r="D22" s="546"/>
      <c r="E22" s="546"/>
      <c r="F22" s="54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45" t="str">
        <f>+VLOOKUP($A23,Master!$D$29:$G$225,4,FALSE)</f>
        <v>Doprinosi za osiguranje od nezaposlenosti</v>
      </c>
      <c r="C23" s="546"/>
      <c r="D23" s="546"/>
      <c r="E23" s="546"/>
      <c r="F23" s="54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45" t="str">
        <f>+VLOOKUP($A24,Master!$D$29:$G$225,4,FALSE)</f>
        <v>Ostali doprinosi</v>
      </c>
      <c r="C24" s="546"/>
      <c r="D24" s="546"/>
      <c r="E24" s="546"/>
      <c r="F24" s="54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47" t="str">
        <f>+VLOOKUP($A25,Master!$D$29:$G$225,4,FALSE)</f>
        <v>Takse</v>
      </c>
      <c r="C25" s="548"/>
      <c r="D25" s="548"/>
      <c r="E25" s="548"/>
      <c r="F25" s="54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47" t="str">
        <f>+VLOOKUP($A26,Master!$D$29:$G$225,4,FALSE)</f>
        <v>Naknade</v>
      </c>
      <c r="C26" s="548"/>
      <c r="D26" s="548"/>
      <c r="E26" s="548"/>
      <c r="F26" s="54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47" t="str">
        <f>+VLOOKUP($A27,Master!$D$29:$G$225,4,FALSE)</f>
        <v>Ostali prihodi</v>
      </c>
      <c r="C27" s="548"/>
      <c r="D27" s="548"/>
      <c r="E27" s="548"/>
      <c r="F27" s="54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47" t="str">
        <f>+VLOOKUP($A28,Master!$D$29:$G$225,4,FALSE)</f>
        <v>Primici od otplate kredita i sredstva prenesena iz prethodne godine</v>
      </c>
      <c r="C28" s="548"/>
      <c r="D28" s="548"/>
      <c r="E28" s="548"/>
      <c r="F28" s="54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9" t="str">
        <f>+VLOOKUP($A29,Master!$D$29:$G$225,4,FALSE)</f>
        <v>Donacije i transferi</v>
      </c>
      <c r="C29" s="550"/>
      <c r="D29" s="550"/>
      <c r="E29" s="550"/>
      <c r="F29" s="550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5" t="str">
        <f>+VLOOKUP($A30,Master!$D$29:$G$225,4,FALSE)</f>
        <v>Izdaci budžeta</v>
      </c>
      <c r="C30" s="536"/>
      <c r="D30" s="536"/>
      <c r="E30" s="536"/>
      <c r="F30" s="536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51" t="str">
        <f>+VLOOKUP($A31,Master!$D$29:$G$225,4,FALSE)</f>
        <v>Tekući izdaci</v>
      </c>
      <c r="C31" s="552"/>
      <c r="D31" s="552"/>
      <c r="E31" s="552"/>
      <c r="F31" s="552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53" t="str">
        <f>+VLOOKUP($A32,Master!$D$29:$G$225,4,FALSE)</f>
        <v>Tekuća budžetska potrošnja</v>
      </c>
      <c r="C32" s="554"/>
      <c r="D32" s="554"/>
      <c r="E32" s="554"/>
      <c r="F32" s="554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45" t="str">
        <f>+VLOOKUP($A33,Master!$D$29:$G$225,4,FALSE)</f>
        <v>Bruto zarade i doprinosi na teret poslodavca</v>
      </c>
      <c r="C33" s="546"/>
      <c r="D33" s="546"/>
      <c r="E33" s="546"/>
      <c r="F33" s="54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45" t="str">
        <f>+VLOOKUP($A34,Master!$D$29:$G$225,4,FALSE)</f>
        <v>Ostala lična primanja</v>
      </c>
      <c r="C34" s="546"/>
      <c r="D34" s="546"/>
      <c r="E34" s="546"/>
      <c r="F34" s="54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45" t="str">
        <f>+VLOOKUP($A35,Master!$D$29:$G$225,4,FALSE)</f>
        <v>Rashodi za materijal</v>
      </c>
      <c r="C35" s="546"/>
      <c r="D35" s="546"/>
      <c r="E35" s="546"/>
      <c r="F35" s="54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45" t="str">
        <f>+VLOOKUP($A36,Master!$D$29:$G$225,4,FALSE)</f>
        <v>Rashodi za usluge</v>
      </c>
      <c r="C36" s="546"/>
      <c r="D36" s="546"/>
      <c r="E36" s="546"/>
      <c r="F36" s="54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45" t="str">
        <f>+VLOOKUP($A37,Master!$D$29:$G$225,4,FALSE)</f>
        <v>Rashodi za tekuće održavanje</v>
      </c>
      <c r="C37" s="546"/>
      <c r="D37" s="546"/>
      <c r="E37" s="546"/>
      <c r="F37" s="54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45" t="str">
        <f>+VLOOKUP($A38,Master!$D$29:$G$225,4,FALSE)</f>
        <v>Kamate</v>
      </c>
      <c r="C38" s="546"/>
      <c r="D38" s="546"/>
      <c r="E38" s="546"/>
      <c r="F38" s="54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45" t="str">
        <f>+VLOOKUP($A39,Master!$D$29:$G$225,4,FALSE)</f>
        <v>Renta</v>
      </c>
      <c r="C39" s="546"/>
      <c r="D39" s="546"/>
      <c r="E39" s="546"/>
      <c r="F39" s="54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45" t="str">
        <f>+VLOOKUP($A40,Master!$D$29:$G$225,4,FALSE)</f>
        <v>Subvencije</v>
      </c>
      <c r="C40" s="546"/>
      <c r="D40" s="546"/>
      <c r="E40" s="546"/>
      <c r="F40" s="54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45" t="str">
        <f>+VLOOKUP($A41,Master!$D$29:$G$225,4,FALSE)</f>
        <v>Ostali izdaci</v>
      </c>
      <c r="C41" s="546"/>
      <c r="D41" s="546"/>
      <c r="E41" s="546"/>
      <c r="F41" s="54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45" t="e">
        <f>+VLOOKUP($A42,Master!$D$29:$G$225,4,FALSE)</f>
        <v>#N/A</v>
      </c>
      <c r="C42" s="546"/>
      <c r="D42" s="546"/>
      <c r="E42" s="546"/>
      <c r="F42" s="54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41" t="str">
        <f>+VLOOKUP($A43,Master!$D$29:$G$225,4,FALSE)</f>
        <v>Transferi za socijalnu zaštitu</v>
      </c>
      <c r="C43" s="542"/>
      <c r="D43" s="542"/>
      <c r="E43" s="542"/>
      <c r="F43" s="54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45" t="str">
        <f>+VLOOKUP($A44,Master!$D$29:$G$225,4,FALSE)</f>
        <v>Prava iz oblasti socijalne zaštite</v>
      </c>
      <c r="C44" s="546"/>
      <c r="D44" s="546"/>
      <c r="E44" s="546"/>
      <c r="F44" s="54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45" t="str">
        <f>+VLOOKUP($A45,Master!$D$29:$G$225,4,FALSE)</f>
        <v>Sredstva za tehnološke viškove</v>
      </c>
      <c r="C45" s="546"/>
      <c r="D45" s="546"/>
      <c r="E45" s="546"/>
      <c r="F45" s="54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45" t="str">
        <f>+VLOOKUP($A46,Master!$D$29:$G$225,4,FALSE)</f>
        <v>Prava iz oblasti penzijskog i invalidskog osiguranja</v>
      </c>
      <c r="C46" s="546"/>
      <c r="D46" s="546"/>
      <c r="E46" s="546"/>
      <c r="F46" s="54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45" t="str">
        <f>+VLOOKUP($A47,Master!$D$29:$G$225,4,FALSE)</f>
        <v>Ostala prava iz oblasti zdravstvene zaštite</v>
      </c>
      <c r="C47" s="546"/>
      <c r="D47" s="546"/>
      <c r="E47" s="546"/>
      <c r="F47" s="54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45" t="str">
        <f>+VLOOKUP($A48,Master!$D$29:$G$225,4,FALSE)</f>
        <v>Ostala prava iz zdravstvenog osiguranja</v>
      </c>
      <c r="C48" s="546"/>
      <c r="D48" s="546"/>
      <c r="E48" s="546"/>
      <c r="F48" s="54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43" t="str">
        <f>+VLOOKUP($A49,Master!$D$29:$G$225,4,FALSE)</f>
        <v xml:space="preserve">Transferi institucijama, pojedincima, nevladinom i javnom sektoru </v>
      </c>
      <c r="C49" s="544"/>
      <c r="D49" s="544"/>
      <c r="E49" s="544"/>
      <c r="F49" s="54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43" t="str">
        <f>+VLOOKUP($A50,Master!$D$29:$G$225,4,FALSE)</f>
        <v>Kapitalni izdaci</v>
      </c>
      <c r="C50" s="544"/>
      <c r="D50" s="544"/>
      <c r="E50" s="544"/>
      <c r="F50" s="54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13" t="str">
        <f>+VLOOKUP($A51,Master!$D$29:$G$225,4,FALSE)</f>
        <v>Pozajmice i krediti</v>
      </c>
      <c r="C51" s="514"/>
      <c r="D51" s="514"/>
      <c r="E51" s="514"/>
      <c r="F51" s="51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13" t="str">
        <f>+VLOOKUP($A52,Master!$D$29:$G$225,4,FALSE)</f>
        <v>Rezerve</v>
      </c>
      <c r="C52" s="514"/>
      <c r="D52" s="514"/>
      <c r="E52" s="514"/>
      <c r="F52" s="51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31" t="str">
        <f>+VLOOKUP($A53,Master!$D$29:$G$225,4,FALSE)</f>
        <v>Otplata garancija</v>
      </c>
      <c r="C53" s="532"/>
      <c r="D53" s="532"/>
      <c r="E53" s="532"/>
      <c r="F53" s="532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31" t="str">
        <f>+VLOOKUP($A54,Master!$D$29:$G$225,4,FALSE)</f>
        <v>Otplata obaveza iz prethodnog perioda</v>
      </c>
      <c r="C54" s="532"/>
      <c r="D54" s="532"/>
      <c r="E54" s="532"/>
      <c r="F54" s="532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31" t="str">
        <f>+VLOOKUP($A55,Master!$D$29:$G$227,4,FALSE)</f>
        <v>Neto povećanje obaveza</v>
      </c>
      <c r="C55" s="532"/>
      <c r="D55" s="532"/>
      <c r="E55" s="532"/>
      <c r="F55" s="532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37" t="str">
        <f>+VLOOKUP($A56,Master!$D$29:$G$225,4,FALSE)</f>
        <v>Suficit / deficit</v>
      </c>
      <c r="C56" s="538"/>
      <c r="D56" s="538"/>
      <c r="E56" s="538"/>
      <c r="F56" s="53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9" t="str">
        <f>+VLOOKUP($A57,Master!$D$29:$G$225,4,FALSE)</f>
        <v>Primarni suficit/deficit</v>
      </c>
      <c r="C57" s="540"/>
      <c r="D57" s="540"/>
      <c r="E57" s="540"/>
      <c r="F57" s="54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41" t="str">
        <f>+VLOOKUP($A58,Master!$D$29:$G$225,4,FALSE)</f>
        <v>Otplata dugova</v>
      </c>
      <c r="C58" s="542"/>
      <c r="D58" s="542"/>
      <c r="E58" s="542"/>
      <c r="F58" s="54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9" t="str">
        <f>+VLOOKUP($A59,Master!$D$29:$G$225,4,FALSE)</f>
        <v>Otplata hartija od vrijednosti i kredita rezidentima</v>
      </c>
      <c r="C59" s="530"/>
      <c r="D59" s="530"/>
      <c r="E59" s="530"/>
      <c r="F59" s="530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13" t="str">
        <f>+VLOOKUP($A60,Master!$D$29:$G$225,4,FALSE)</f>
        <v>Otplata hartija od vrijednosti i kredita nerezidentima</v>
      </c>
      <c r="C60" s="514"/>
      <c r="D60" s="514"/>
      <c r="E60" s="514"/>
      <c r="F60" s="51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33" t="str">
        <f>+VLOOKUP($A62,Master!$D$29:$G$225,4,FALSE)</f>
        <v>Nedostajuća sredstva</v>
      </c>
      <c r="C62" s="534"/>
      <c r="D62" s="534"/>
      <c r="E62" s="534"/>
      <c r="F62" s="53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5" t="str">
        <f>+VLOOKUP($A63,Master!$D$29:$G$225,4,FALSE)</f>
        <v>Finansiranje</v>
      </c>
      <c r="C63" s="536"/>
      <c r="D63" s="536"/>
      <c r="E63" s="536"/>
      <c r="F63" s="536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9" t="str">
        <f>+VLOOKUP($A64,Master!$D$29:$G$225,4,FALSE)</f>
        <v>Pozajmice i krediti od domaćih izvora</v>
      </c>
      <c r="C64" s="530"/>
      <c r="D64" s="530"/>
      <c r="E64" s="530"/>
      <c r="F64" s="530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13" t="str">
        <f>+VLOOKUP($A65,Master!$D$29:$G$225,4,FALSE)</f>
        <v>Pozajmice i krediti od inostranih izvora</v>
      </c>
      <c r="C65" s="514"/>
      <c r="D65" s="514"/>
      <c r="E65" s="514"/>
      <c r="F65" s="51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13" t="str">
        <f>+VLOOKUP($A66,Master!$D$29:$G$225,4,FALSE)</f>
        <v>Primici od prodaje imovine</v>
      </c>
      <c r="C66" s="514"/>
      <c r="D66" s="514"/>
      <c r="E66" s="514"/>
      <c r="F66" s="51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6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Jun</v>
      </c>
    </row>
    <row r="245" spans="4:7">
      <c r="D245" s="49"/>
      <c r="E245" s="9"/>
      <c r="F245" s="10"/>
      <c r="G245" s="52" t="str">
        <f>+CONCATENATE("Jan - ",LEFT(G244,3))</f>
        <v>Jan - Jun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Jun</v>
      </c>
      <c r="F253" s="10" t="str">
        <f>+CONCATENATE("Analytics for period ",G245)</f>
        <v>Analytics for period Jan - Jun</v>
      </c>
      <c r="G253" s="52" t="str">
        <f>+IF(ISBLANK(IF($B$2=1,E253,F253)),"",IF($B$2=1,E253,F253))</f>
        <v>Analitika za period Jan - Jun</v>
      </c>
    </row>
    <row r="254" spans="4:7">
      <c r="D254" s="46"/>
      <c r="E254" s="9" t="str">
        <f>+CONCATENATE("Analitika za period ",G244)</f>
        <v>Analitika za period Jun</v>
      </c>
      <c r="F254" s="10" t="str">
        <f>+CONCATENATE("Analytics for period ",G244)</f>
        <v>Analytics for period Jun</v>
      </c>
      <c r="G254" s="52" t="str">
        <f>+IF(ISBLANK(IF($B$2=1,E254,F254)),"",IF($B$2=1,E254,F254))</f>
        <v>Analitika za period Jun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Jun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Jun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Jun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Jun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Jun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Jun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L32"/>
  <sheetViews>
    <sheetView zoomScaleNormal="100" workbookViewId="0">
      <selection activeCell="H20" sqref="H20"/>
    </sheetView>
  </sheetViews>
  <sheetFormatPr defaultColWidth="9.140625" defaultRowHeight="15"/>
  <cols>
    <col min="1" max="1" width="9.140625" style="130"/>
    <col min="2" max="2" width="3.140625" style="130" customWidth="1"/>
    <col min="3" max="3" width="9.140625" style="130"/>
    <col min="4" max="4" width="10" style="130" bestFit="1" customWidth="1"/>
    <col min="5" max="7" width="9.140625" style="130"/>
    <col min="8" max="8" width="11" style="130" bestFit="1" customWidth="1"/>
    <col min="9" max="11" width="9.140625" style="130"/>
    <col min="12" max="12" width="3.28515625" style="130" customWidth="1"/>
    <col min="13" max="16384" width="9.140625" style="130"/>
  </cols>
  <sheetData>
    <row r="1" spans="3:11" s="126" customFormat="1"/>
    <row r="2" spans="3:11" s="126" customFormat="1">
      <c r="C2" s="127"/>
      <c r="E2" s="128" t="str">
        <f>+[1]Master!G6</f>
        <v>Crna Gora</v>
      </c>
      <c r="I2" s="129"/>
    </row>
    <row r="3" spans="3:11" s="126" customFormat="1">
      <c r="E3" s="129" t="str">
        <f>+[1]Master!G7</f>
        <v>Ministarstvo finansija i socijalnog staranja</v>
      </c>
    </row>
    <row r="4" spans="3:11" s="126" customFormat="1">
      <c r="E4" s="129" t="str">
        <f>+[1]Master!G8</f>
        <v>Direktorat za državni budžet</v>
      </c>
    </row>
    <row r="5" spans="3:11" s="126" customFormat="1"/>
    <row r="6" spans="3:11">
      <c r="C6" s="456" t="s">
        <v>846</v>
      </c>
    </row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">
        <v>840</v>
      </c>
      <c r="E11" s="135"/>
      <c r="F11" s="135"/>
      <c r="G11" s="137" t="s">
        <v>841</v>
      </c>
      <c r="H11" s="135"/>
      <c r="I11" s="135"/>
      <c r="J11" s="135"/>
      <c r="K11" s="136"/>
    </row>
    <row r="12" spans="3:11">
      <c r="C12" s="134"/>
      <c r="D12" s="138">
        <f>'2022'!L10</f>
        <v>169061004.28000003</v>
      </c>
      <c r="E12" s="455">
        <f>D12/'2022'!$T$7</f>
        <v>3.1859830446253588E-2</v>
      </c>
      <c r="F12" s="135"/>
      <c r="G12" s="138">
        <f>'2022'!S10</f>
        <v>922344685.84000015</v>
      </c>
      <c r="H12" s="455">
        <f>G12/'2022'!$T$7</f>
        <v>0.17381740649781399</v>
      </c>
      <c r="I12" s="135"/>
      <c r="J12" s="135"/>
      <c r="K12" s="136"/>
    </row>
    <row r="13" spans="3:11">
      <c r="C13" s="134"/>
      <c r="D13" s="139" t="s">
        <v>417</v>
      </c>
      <c r="E13" s="139" t="s">
        <v>810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">
        <v>842</v>
      </c>
      <c r="E15" s="135"/>
      <c r="F15" s="135"/>
      <c r="G15" s="137" t="s">
        <v>843</v>
      </c>
      <c r="H15" s="135"/>
      <c r="I15" s="135"/>
      <c r="J15" s="135"/>
      <c r="K15" s="136"/>
    </row>
    <row r="16" spans="3:11">
      <c r="C16" s="134"/>
      <c r="D16" s="138">
        <f>'2022'!L29</f>
        <v>167721044.99000004</v>
      </c>
      <c r="E16" s="455">
        <f>D16/'2022'!$T$7</f>
        <v>3.1607312865596267E-2</v>
      </c>
      <c r="F16" s="135"/>
      <c r="G16" s="138">
        <f>'2022'!S29</f>
        <v>955361219.9799999</v>
      </c>
      <c r="H16" s="455">
        <f>G16/'2022'!$T$7</f>
        <v>0.18003942785692748</v>
      </c>
      <c r="I16" s="135"/>
      <c r="J16" s="135"/>
      <c r="K16" s="136"/>
    </row>
    <row r="17" spans="3:12">
      <c r="C17" s="134"/>
      <c r="D17" s="139" t="s">
        <v>417</v>
      </c>
      <c r="E17" s="139" t="s">
        <v>810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">
        <v>844</v>
      </c>
      <c r="E19" s="135"/>
      <c r="F19" s="135"/>
      <c r="G19" s="137" t="s">
        <v>845</v>
      </c>
      <c r="H19" s="135"/>
      <c r="I19" s="135"/>
      <c r="J19" s="135"/>
      <c r="K19" s="136"/>
    </row>
    <row r="20" spans="3:12">
      <c r="C20" s="134"/>
      <c r="D20" s="138">
        <f>'2022'!L53</f>
        <v>1339959.2899999917</v>
      </c>
      <c r="E20" s="510">
        <f>D20/'2022'!$T$7</f>
        <v>2.5251758065731792E-4</v>
      </c>
      <c r="F20" s="135"/>
      <c r="G20" s="138">
        <f>'2022'!S53</f>
        <v>-33016534.139999881</v>
      </c>
      <c r="H20" s="510">
        <f>G20/'2022'!$T$7</f>
        <v>-6.2220213591135005E-3</v>
      </c>
      <c r="I20" s="135"/>
      <c r="J20" s="135"/>
      <c r="K20" s="136"/>
    </row>
    <row r="21" spans="3:12">
      <c r="C21" s="134"/>
      <c r="D21" s="139" t="s">
        <v>417</v>
      </c>
      <c r="E21" s="139" t="s">
        <v>810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L99cUavZFeOtjTD9EqtwazjcXQle3YI382t9+RF7HNkfj4cwFwxG/niwCAZCdTR368hXG5rkbSE2UrwM1A8i9Q==" saltValue="tEUI+ePW8hKHQng1Z4kFEg==" spinCount="100000" sheet="1" objects="1" scenarios="1"/>
  <pageMargins left="0.19685039370078741" right="0.19685039370078741" top="0.19685039370078741" bottom="0.19685039370078741" header="0.31496062992125984" footer="0.31496062992125984"/>
  <pageSetup paperSize="9" scale="99" fitToHeight="0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142875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3</xdr:col>
                    <xdr:colOff>266700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zoomScale="85" zoomScaleNormal="85" workbookViewId="0">
      <pane ySplit="5" topLeftCell="A6" activePane="bottomLeft" state="frozen"/>
      <selection activeCell="DK219" sqref="DK219"/>
      <selection pane="bottomLeft" activeCell="H15" sqref="H15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4"/>
      <c r="P4" s="484"/>
      <c r="Q4" s="484"/>
    </row>
    <row r="5" spans="1:20" s="1" customFormat="1">
      <c r="B5" s="484"/>
      <c r="G5" s="163"/>
      <c r="H5" s="163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2022-06</v>
      </c>
      <c r="O6" s="143" t="str">
        <f>+CONCATENATE(N6,"p")</f>
        <v>2022-06p</v>
      </c>
      <c r="P6" s="130"/>
      <c r="Q6" s="130"/>
      <c r="R6" s="143" t="str">
        <f>+IF(Master!B3-10&gt;=0,CONCATENATE(Master!B4-1,"-",Master!B3),CONCATENATE(Master!B4-1,"-0",Master!B3))</f>
        <v>2021-06</v>
      </c>
      <c r="S6" s="130"/>
      <c r="T6" s="130"/>
    </row>
    <row r="7" spans="1:20" ht="14.25" customHeight="1">
      <c r="A7" s="144"/>
      <c r="B7" s="515" t="str">
        <f>+Master!G253</f>
        <v>Analitika za period Jan - Jun</v>
      </c>
      <c r="C7" s="516"/>
      <c r="D7" s="516"/>
      <c r="E7" s="516"/>
      <c r="F7" s="516"/>
      <c r="G7" s="524" t="str">
        <f>+Master!G245</f>
        <v>Jan - Jun</v>
      </c>
      <c r="H7" s="525"/>
      <c r="I7" s="525"/>
      <c r="J7" s="525"/>
      <c r="K7" s="525"/>
      <c r="L7" s="525"/>
      <c r="M7" s="526"/>
      <c r="N7" s="527" t="str">
        <f>+Master!G244</f>
        <v>Jun</v>
      </c>
      <c r="O7" s="525"/>
      <c r="P7" s="525"/>
      <c r="Q7" s="525"/>
      <c r="R7" s="525"/>
      <c r="S7" s="525"/>
      <c r="T7" s="528"/>
    </row>
    <row r="8" spans="1:20">
      <c r="A8" s="144"/>
      <c r="B8" s="517"/>
      <c r="C8" s="518"/>
      <c r="D8" s="518"/>
      <c r="E8" s="518"/>
      <c r="F8" s="519"/>
      <c r="G8" s="357" t="str">
        <f>+Master!G25</f>
        <v>Ostvarenje</v>
      </c>
      <c r="H8" s="145" t="str">
        <f>+Master!G24</f>
        <v>Plan</v>
      </c>
      <c r="I8" s="511" t="str">
        <f>+Master!G260</f>
        <v>Odstupanje</v>
      </c>
      <c r="J8" s="511"/>
      <c r="K8" s="145" t="str">
        <f>+CONCATENATE(Master!G245," ",Master!B4-1)</f>
        <v>Jan - Jun 2021</v>
      </c>
      <c r="L8" s="511" t="str">
        <f>+I8</f>
        <v>Odstupanje</v>
      </c>
      <c r="M8" s="523"/>
      <c r="N8" s="146" t="str">
        <f>+G8</f>
        <v>Ostvarenje</v>
      </c>
      <c r="O8" s="145" t="str">
        <f>+H8</f>
        <v>Plan</v>
      </c>
      <c r="P8" s="511" t="str">
        <f>+I8</f>
        <v>Odstupanje</v>
      </c>
      <c r="Q8" s="511"/>
      <c r="R8" s="145" t="str">
        <f>+CONCATENATE(Master!G244," ",Master!B4-1)</f>
        <v>Jun 2021</v>
      </c>
      <c r="S8" s="511" t="str">
        <f>+P8</f>
        <v>Odstupanje</v>
      </c>
      <c r="T8" s="512"/>
    </row>
    <row r="9" spans="1:20" ht="15.75" thickBot="1">
      <c r="A9" s="144"/>
      <c r="B9" s="520"/>
      <c r="C9" s="521"/>
      <c r="D9" s="521"/>
      <c r="E9" s="521"/>
      <c r="F9" s="522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5" t="str">
        <f>+VLOOKUP($A10,Master!$D$29:$G$225,4,FALSE)</f>
        <v>Prihodi budžeta</v>
      </c>
      <c r="C10" s="536"/>
      <c r="D10" s="536"/>
      <c r="E10" s="536"/>
      <c r="F10" s="536"/>
      <c r="G10" s="151">
        <f>'2022'!S10</f>
        <v>922344685.84000015</v>
      </c>
      <c r="H10" s="151">
        <f>SUM('2022'!G84:L84)</f>
        <v>832186816.27442133</v>
      </c>
      <c r="I10" s="152">
        <f>+G10-H10</f>
        <v>90157869.565578818</v>
      </c>
      <c r="J10" s="154">
        <f>IF(+IF(ISERROR(G10/H10),"…",G10/H10-1)&gt;200%,"...",IF(ISERROR(G10/H10),"…",G10/H10-1))</f>
        <v>0.10833849780173455</v>
      </c>
      <c r="K10" s="151">
        <f>SUM('2021'!G10:L10)</f>
        <v>788082044.47000003</v>
      </c>
      <c r="L10" s="152">
        <f>+G10-K10</f>
        <v>134262641.37000012</v>
      </c>
      <c r="M10" s="154">
        <f>IF(+IF(ISERROR(G10/K10),"…",G10/K10-1)&gt;200%,"...",IF(ISERROR(G10/K10),"…",G10/K10-1))</f>
        <v>0.17036632456243095</v>
      </c>
      <c r="N10" s="151">
        <f>'2022'!L10</f>
        <v>169061004.28000003</v>
      </c>
      <c r="O10" s="151">
        <f>'2022'!L84</f>
        <v>163567969.03586718</v>
      </c>
      <c r="P10" s="152">
        <f>+N10-O10</f>
        <v>5493035.2441328466</v>
      </c>
      <c r="Q10" s="154">
        <f>IF(+IF(ISERROR(N10/O10),"…",N10/O10-1)&gt;200%,"...",IF(ISERROR(N10/O10),"…",N10/O10-1))</f>
        <v>3.3582585126604725E-2</v>
      </c>
      <c r="R10" s="151">
        <f>'2021'!L10</f>
        <v>158964980.91000003</v>
      </c>
      <c r="S10" s="152">
        <f>+N10-R10</f>
        <v>10096023.370000005</v>
      </c>
      <c r="T10" s="154">
        <f>IF(+IF(ISERROR(N10/R10),"…",N10/R10-1)&gt;200%,"...",IF(ISERROR(N10/R10),"…",N10/R10-1))</f>
        <v>6.3510990359040065E-2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277">
        <f>'2022'!S11</f>
        <v>662298981.97000015</v>
      </c>
      <c r="H11" s="277">
        <f>SUM('2022'!G85:L85)</f>
        <v>563324175.74860585</v>
      </c>
      <c r="I11" s="158">
        <f t="shared" ref="I11:I57" si="0">+G11-H11</f>
        <v>98974806.2213943</v>
      </c>
      <c r="J11" s="160">
        <f t="shared" ref="J11:J64" si="1">IF(+IF(ISERROR(G11/H11-1),"…",G11/H11-1)&gt;200%,"...",IF(ISERROR(G11/H11-1),"…",G11/H11-1))</f>
        <v>0.17569777844145595</v>
      </c>
      <c r="K11" s="277">
        <f>SUM('2021'!G11:L11)</f>
        <v>504352177.59000003</v>
      </c>
      <c r="L11" s="158">
        <f>+G11-K11</f>
        <v>157946804.38000011</v>
      </c>
      <c r="M11" s="160">
        <f t="shared" ref="M11:M64" si="2">IF(+IF(ISERROR(G11/K11),"…",G11/K11-1)&gt;200%,"...",IF(ISERROR(G11/K11),"…",G11/K11-1))</f>
        <v>0.31316768599024236</v>
      </c>
      <c r="N11" s="277">
        <f>'2022'!L11</f>
        <v>115551273.18000002</v>
      </c>
      <c r="O11" s="277">
        <f>'2022'!L85</f>
        <v>108847757.90236668</v>
      </c>
      <c r="P11" s="158">
        <f>+N11-O11</f>
        <v>6703515.2776333392</v>
      </c>
      <c r="Q11" s="160">
        <f t="shared" ref="Q11:Q64" si="3">IF(+IF(ISERROR(N11/O11),"…",N11/O11-1)&gt;200%,"...",IF(ISERROR(N11/O11),"…",N11/O11-1))</f>
        <v>6.1586158565123617E-2</v>
      </c>
      <c r="R11" s="277">
        <f>'2021'!L11</f>
        <v>99847003.469999999</v>
      </c>
      <c r="S11" s="158">
        <f t="shared" ref="S11:S57" si="4">+N11-R11</f>
        <v>15704269.710000023</v>
      </c>
      <c r="T11" s="160">
        <f t="shared" ref="T11:T64" si="5">IF(+IF(ISERROR(N11/R11),"…",N11/R11-1)&gt;200%,"...",IF(ISERROR(N11/R11),"…",N11/R11-1))</f>
        <v>0.15728333514504045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f>'2022'!S12</f>
        <v>44026278.759999998</v>
      </c>
      <c r="H12" s="163">
        <f>SUM('2022'!G86:L86)</f>
        <v>59366362.964044236</v>
      </c>
      <c r="I12" s="164">
        <f t="shared" si="0"/>
        <v>-15340084.204044238</v>
      </c>
      <c r="J12" s="166">
        <f t="shared" si="1"/>
        <v>-0.25839690083987621</v>
      </c>
      <c r="K12" s="163">
        <f>SUM('2021'!G12:L12)</f>
        <v>52939159.909999996</v>
      </c>
      <c r="L12" s="164">
        <f>+G12-K12</f>
        <v>-8912881.1499999985</v>
      </c>
      <c r="M12" s="166">
        <f t="shared" si="2"/>
        <v>-0.16836083468556118</v>
      </c>
      <c r="N12" s="163">
        <f>'2022'!L12</f>
        <v>7322347.5800000001</v>
      </c>
      <c r="O12" s="163">
        <f>'2022'!L86</f>
        <v>11838864.683369705</v>
      </c>
      <c r="P12" s="164">
        <f t="shared" ref="P12:P57" si="6">+N12-O12</f>
        <v>-4516517.1033697054</v>
      </c>
      <c r="Q12" s="166">
        <f t="shared" si="3"/>
        <v>-0.38149917447017945</v>
      </c>
      <c r="R12" s="163">
        <f>'2021'!L12</f>
        <v>10833911.470000001</v>
      </c>
      <c r="S12" s="164">
        <f t="shared" si="4"/>
        <v>-3511563.8900000006</v>
      </c>
      <c r="T12" s="166">
        <f t="shared" si="5"/>
        <v>-0.32412706156255866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f>'2022'!S13</f>
        <v>75194080.169999987</v>
      </c>
      <c r="H13" s="163">
        <f>SUM('2022'!G87:L87)</f>
        <v>64665463.346388571</v>
      </c>
      <c r="I13" s="164">
        <f t="shared" si="0"/>
        <v>10528616.823611416</v>
      </c>
      <c r="J13" s="166">
        <f t="shared" si="1"/>
        <v>0.16281669192121262</v>
      </c>
      <c r="K13" s="163">
        <f>SUM('2021'!G13:L13)</f>
        <v>56759780.129999995</v>
      </c>
      <c r="L13" s="164">
        <f t="shared" ref="L13:L57" si="7">+G13-K13</f>
        <v>18434300.039999992</v>
      </c>
      <c r="M13" s="166">
        <f t="shared" si="2"/>
        <v>0.32477750966932772</v>
      </c>
      <c r="N13" s="163">
        <f>'2022'!L13</f>
        <v>3024620.31</v>
      </c>
      <c r="O13" s="163">
        <f>'2022'!L87</f>
        <v>4933009.0913874442</v>
      </c>
      <c r="P13" s="164">
        <f t="shared" si="6"/>
        <v>-1908388.7813874441</v>
      </c>
      <c r="Q13" s="166">
        <f t="shared" si="3"/>
        <v>-0.38686099012452779</v>
      </c>
      <c r="R13" s="163">
        <f>'2021'!L13</f>
        <v>3910959.72</v>
      </c>
      <c r="S13" s="164">
        <f t="shared" si="4"/>
        <v>-886339.41000000015</v>
      </c>
      <c r="T13" s="166">
        <f t="shared" si="5"/>
        <v>-0.22662964424496812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f>'2022'!S14</f>
        <v>1246284.6100000001</v>
      </c>
      <c r="H14" s="163">
        <f>SUM('2022'!G88:L88)</f>
        <v>889422.75602441805</v>
      </c>
      <c r="I14" s="164">
        <f t="shared" si="0"/>
        <v>356861.85397558205</v>
      </c>
      <c r="J14" s="166">
        <f t="shared" si="1"/>
        <v>0.40122860760916357</v>
      </c>
      <c r="K14" s="163">
        <f>SUM('2021'!G14:L14)</f>
        <v>733785.71</v>
      </c>
      <c r="L14" s="164">
        <f t="shared" si="7"/>
        <v>512498.90000000014</v>
      </c>
      <c r="M14" s="166">
        <f t="shared" si="2"/>
        <v>0.69843128997428994</v>
      </c>
      <c r="N14" s="163">
        <f>'2022'!L14</f>
        <v>263126.03999999998</v>
      </c>
      <c r="O14" s="163">
        <f>'2022'!L88</f>
        <v>130623.85679923798</v>
      </c>
      <c r="P14" s="164">
        <f t="shared" si="6"/>
        <v>132502.183200762</v>
      </c>
      <c r="Q14" s="166">
        <f t="shared" si="3"/>
        <v>1.01437965810802</v>
      </c>
      <c r="R14" s="163">
        <f>'2021'!L14</f>
        <v>131529.14000000001</v>
      </c>
      <c r="S14" s="164">
        <f t="shared" si="4"/>
        <v>131596.89999999997</v>
      </c>
      <c r="T14" s="166">
        <f t="shared" si="5"/>
        <v>1.0005151710107731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f>'2022'!S15</f>
        <v>401051714.55000007</v>
      </c>
      <c r="H15" s="163">
        <f>SUM('2022'!G89:L89)</f>
        <v>310730675.1814481</v>
      </c>
      <c r="I15" s="164">
        <f t="shared" si="0"/>
        <v>90321039.36855197</v>
      </c>
      <c r="J15" s="166">
        <f t="shared" si="1"/>
        <v>0.290673070226523</v>
      </c>
      <c r="K15" s="163">
        <f>SUM('2021'!G15:L15)</f>
        <v>279066381.57999998</v>
      </c>
      <c r="L15" s="164">
        <f t="shared" si="7"/>
        <v>121985332.97000009</v>
      </c>
      <c r="M15" s="166">
        <f t="shared" si="2"/>
        <v>0.43711941323548698</v>
      </c>
      <c r="N15" s="163">
        <f>'2022'!L15</f>
        <v>79678383.590000004</v>
      </c>
      <c r="O15" s="163">
        <f>'2022'!L89</f>
        <v>65702977.290997334</v>
      </c>
      <c r="P15" s="164">
        <f t="shared" si="6"/>
        <v>13975406.29900267</v>
      </c>
      <c r="Q15" s="166">
        <f t="shared" si="3"/>
        <v>0.2127058297085358</v>
      </c>
      <c r="R15" s="163">
        <f>'2021'!L15</f>
        <v>60277408.149999999</v>
      </c>
      <c r="S15" s="164">
        <f t="shared" si="4"/>
        <v>19400975.440000005</v>
      </c>
      <c r="T15" s="166">
        <f t="shared" si="5"/>
        <v>0.32186147406538756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f>'2022'!S16</f>
        <v>117742127.37</v>
      </c>
      <c r="H16" s="163">
        <f>SUM('2022'!G90:L90)</f>
        <v>108474782.13247749</v>
      </c>
      <c r="I16" s="164">
        <f t="shared" si="0"/>
        <v>9267345.2375225127</v>
      </c>
      <c r="J16" s="166">
        <f t="shared" si="1"/>
        <v>8.5433176774713848E-2</v>
      </c>
      <c r="K16" s="163">
        <f>SUM('2021'!G16:L16)</f>
        <v>97499049.179999992</v>
      </c>
      <c r="L16" s="164">
        <f t="shared" si="7"/>
        <v>20243078.190000013</v>
      </c>
      <c r="M16" s="166">
        <f t="shared" si="2"/>
        <v>0.20762333951203793</v>
      </c>
      <c r="N16" s="163">
        <f>'2022'!L16</f>
        <v>20484664.210000001</v>
      </c>
      <c r="O16" s="163">
        <f>'2022'!L90</f>
        <v>22457232.88613506</v>
      </c>
      <c r="P16" s="164">
        <f t="shared" si="6"/>
        <v>-1972568.6761350594</v>
      </c>
      <c r="Q16" s="166">
        <f t="shared" si="3"/>
        <v>-8.7836675432658051E-2</v>
      </c>
      <c r="R16" s="163">
        <f>'2021'!L16</f>
        <v>20986549.629999999</v>
      </c>
      <c r="S16" s="164">
        <f t="shared" si="4"/>
        <v>-501885.41999999806</v>
      </c>
      <c r="T16" s="166">
        <f t="shared" si="5"/>
        <v>-2.391462288219881E-2</v>
      </c>
    </row>
    <row r="17" spans="1:20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f>'2022'!S17</f>
        <v>17349262.68</v>
      </c>
      <c r="H17" s="163">
        <f>SUM('2022'!G91:L91)</f>
        <v>13666539.55479918</v>
      </c>
      <c r="I17" s="164">
        <f t="shared" si="0"/>
        <v>3682723.1252008192</v>
      </c>
      <c r="J17" s="166">
        <f t="shared" si="1"/>
        <v>0.26947005205188046</v>
      </c>
      <c r="K17" s="163">
        <f>SUM('2021'!G17:L17)</f>
        <v>12170753.529999999</v>
      </c>
      <c r="L17" s="164">
        <f t="shared" si="7"/>
        <v>5178509.1500000004</v>
      </c>
      <c r="M17" s="166">
        <f t="shared" si="2"/>
        <v>0.42548796483597839</v>
      </c>
      <c r="N17" s="163">
        <f>'2022'!L17</f>
        <v>3720198.33</v>
      </c>
      <c r="O17" s="163">
        <f>'2022'!L91</f>
        <v>2684994.2017241237</v>
      </c>
      <c r="P17" s="164">
        <f t="shared" si="6"/>
        <v>1035204.1282758764</v>
      </c>
      <c r="Q17" s="166">
        <f t="shared" si="3"/>
        <v>0.38555171836540181</v>
      </c>
      <c r="R17" s="163">
        <f>'2021'!L17</f>
        <v>2642568.09</v>
      </c>
      <c r="S17" s="164">
        <f t="shared" si="4"/>
        <v>1077630.2400000002</v>
      </c>
      <c r="T17" s="166">
        <f t="shared" si="5"/>
        <v>0.40779658396616769</v>
      </c>
    </row>
    <row r="18" spans="1:20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f>'2022'!S18</f>
        <v>5689233.8300000001</v>
      </c>
      <c r="H18" s="163">
        <f>SUM('2022'!G92:L92)</f>
        <v>5530929.813423912</v>
      </c>
      <c r="I18" s="164">
        <f t="shared" si="0"/>
        <v>158304.01657608803</v>
      </c>
      <c r="J18" s="166">
        <f t="shared" si="1"/>
        <v>2.8621592013674535E-2</v>
      </c>
      <c r="K18" s="163">
        <f>SUM('2021'!G18:L18)</f>
        <v>5183267.5500000007</v>
      </c>
      <c r="L18" s="164">
        <f t="shared" si="7"/>
        <v>505966.27999999933</v>
      </c>
      <c r="M18" s="166">
        <f t="shared" si="2"/>
        <v>9.7615312178897407E-2</v>
      </c>
      <c r="N18" s="163">
        <f>'2022'!L18</f>
        <v>1057933.1200000001</v>
      </c>
      <c r="O18" s="163">
        <f>'2022'!L92</f>
        <v>1100055.8919537803</v>
      </c>
      <c r="P18" s="164">
        <f t="shared" si="6"/>
        <v>-42122.771953780204</v>
      </c>
      <c r="Q18" s="166">
        <f t="shared" si="3"/>
        <v>-3.8291483425416772E-2</v>
      </c>
      <c r="R18" s="163">
        <f>'2021'!L18</f>
        <v>1064077.27</v>
      </c>
      <c r="S18" s="164">
        <f t="shared" si="4"/>
        <v>-6144.1499999999069</v>
      </c>
      <c r="T18" s="166">
        <f t="shared" si="5"/>
        <v>-5.7741577357440788E-3</v>
      </c>
    </row>
    <row r="19" spans="1:20">
      <c r="A19" s="150">
        <v>712</v>
      </c>
      <c r="B19" s="547" t="str">
        <f>+VLOOKUP($A19,Master!$D$29:$G$225,4,FALSE)</f>
        <v>Doprinosi</v>
      </c>
      <c r="C19" s="548"/>
      <c r="D19" s="548"/>
      <c r="E19" s="548"/>
      <c r="F19" s="548"/>
      <c r="G19" s="169">
        <f>'2022'!S19</f>
        <v>192625168.97999996</v>
      </c>
      <c r="H19" s="169">
        <f>SUM('2022'!G93:L93)</f>
        <v>203637143.30439293</v>
      </c>
      <c r="I19" s="170">
        <f t="shared" si="0"/>
        <v>-11011974.324392974</v>
      </c>
      <c r="J19" s="172">
        <f t="shared" si="1"/>
        <v>-5.4076452584745249E-2</v>
      </c>
      <c r="K19" s="169">
        <f>SUM('2021'!G19:L19)</f>
        <v>236530929.43000001</v>
      </c>
      <c r="L19" s="170">
        <f t="shared" si="7"/>
        <v>-43905760.450000048</v>
      </c>
      <c r="M19" s="172">
        <f t="shared" si="2"/>
        <v>-0.18562375988546442</v>
      </c>
      <c r="N19" s="169">
        <f>'2022'!L19</f>
        <v>37796292.359999999</v>
      </c>
      <c r="O19" s="169">
        <f>'2022'!L93</f>
        <v>40049430.910925195</v>
      </c>
      <c r="P19" s="170">
        <f t="shared" si="6"/>
        <v>-2253138.5509251952</v>
      </c>
      <c r="Q19" s="172">
        <f t="shared" si="3"/>
        <v>-5.6258940506207167E-2</v>
      </c>
      <c r="R19" s="169">
        <f>'2021'!L19</f>
        <v>48669027.800000004</v>
      </c>
      <c r="S19" s="170">
        <f t="shared" si="4"/>
        <v>-10872735.440000005</v>
      </c>
      <c r="T19" s="172">
        <f t="shared" si="5"/>
        <v>-0.22340153340807034</v>
      </c>
    </row>
    <row r="20" spans="1:20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f>'2022'!S20</f>
        <v>160247207.20999998</v>
      </c>
      <c r="H20" s="163">
        <f>SUM('2022'!G94:L94)</f>
        <v>177327425.86636278</v>
      </c>
      <c r="I20" s="164">
        <f t="shared" si="0"/>
        <v>-17080218.656362802</v>
      </c>
      <c r="J20" s="166">
        <f t="shared" si="1"/>
        <v>-9.6320231193311123E-2</v>
      </c>
      <c r="K20" s="163">
        <f>SUM('2021'!G20:L20)</f>
        <v>145681644.56</v>
      </c>
      <c r="L20" s="164">
        <f t="shared" si="7"/>
        <v>14565562.649999976</v>
      </c>
      <c r="M20" s="166">
        <f t="shared" si="2"/>
        <v>9.998214046795062E-2</v>
      </c>
      <c r="N20" s="163">
        <f>'2022'!L20</f>
        <v>33851315.109999999</v>
      </c>
      <c r="O20" s="163">
        <f>'2022'!L94</f>
        <v>35607882.632401399</v>
      </c>
      <c r="P20" s="164">
        <f t="shared" si="6"/>
        <v>-1756567.5224013999</v>
      </c>
      <c r="Q20" s="166">
        <f t="shared" si="3"/>
        <v>-4.9330861386377767E-2</v>
      </c>
      <c r="R20" s="163">
        <f>'2021'!L20</f>
        <v>29842404.879999999</v>
      </c>
      <c r="S20" s="164">
        <f t="shared" si="4"/>
        <v>4008910.2300000004</v>
      </c>
      <c r="T20" s="166">
        <f t="shared" si="5"/>
        <v>0.1343360310980406</v>
      </c>
    </row>
    <row r="21" spans="1:20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f>'2022'!S21</f>
        <v>19547115.169999998</v>
      </c>
      <c r="H21" s="163">
        <f>SUM('2022'!G95:L95)</f>
        <v>11153520.1419544</v>
      </c>
      <c r="I21" s="164">
        <f t="shared" si="0"/>
        <v>8393595.0280455984</v>
      </c>
      <c r="J21" s="166">
        <f t="shared" si="1"/>
        <v>0.75255120546855547</v>
      </c>
      <c r="K21" s="163">
        <f>SUM('2021'!G21:L21)</f>
        <v>77833791.310000002</v>
      </c>
      <c r="L21" s="164">
        <f t="shared" si="7"/>
        <v>-58286676.140000001</v>
      </c>
      <c r="M21" s="166">
        <f t="shared" si="2"/>
        <v>-0.74886081172447516</v>
      </c>
      <c r="N21" s="163">
        <f>'2022'!L21</f>
        <v>1150315.93</v>
      </c>
      <c r="O21" s="163">
        <f>'2022'!L95</f>
        <v>1387272.7272727001</v>
      </c>
      <c r="P21" s="164">
        <f t="shared" si="6"/>
        <v>-236956.79727270012</v>
      </c>
      <c r="Q21" s="166">
        <f t="shared" si="3"/>
        <v>-0.17080765203143855</v>
      </c>
      <c r="R21" s="163">
        <f>'2021'!L21</f>
        <v>16061038.619999999</v>
      </c>
      <c r="S21" s="164">
        <f t="shared" si="4"/>
        <v>-14910722.689999999</v>
      </c>
      <c r="T21" s="166">
        <f t="shared" si="5"/>
        <v>-0.9283784842801156</v>
      </c>
    </row>
    <row r="22" spans="1:20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f>'2022'!S22</f>
        <v>7343843.0999999996</v>
      </c>
      <c r="H22" s="163">
        <f>SUM('2022'!G96:L96)</f>
        <v>8436880.7029271591</v>
      </c>
      <c r="I22" s="164">
        <f t="shared" si="0"/>
        <v>-1093037.6029271595</v>
      </c>
      <c r="J22" s="166">
        <f t="shared" si="1"/>
        <v>-0.12955470646253564</v>
      </c>
      <c r="K22" s="163">
        <f>SUM('2021'!G22:L22)</f>
        <v>7086426.5200000005</v>
      </c>
      <c r="L22" s="164">
        <f t="shared" si="7"/>
        <v>257416.57999999914</v>
      </c>
      <c r="M22" s="166">
        <f t="shared" si="2"/>
        <v>3.6325301514591679E-2</v>
      </c>
      <c r="N22" s="163">
        <f>'2022'!L22</f>
        <v>1561408.27</v>
      </c>
      <c r="O22" s="163">
        <f>'2022'!L96</f>
        <v>1755326.7677572384</v>
      </c>
      <c r="P22" s="164">
        <f t="shared" si="6"/>
        <v>-193918.49775723834</v>
      </c>
      <c r="Q22" s="166">
        <f t="shared" si="3"/>
        <v>-0.11047430103570166</v>
      </c>
      <c r="R22" s="163">
        <f>'2021'!L22</f>
        <v>1443808.88</v>
      </c>
      <c r="S22" s="164">
        <f t="shared" si="4"/>
        <v>117599.39000000013</v>
      </c>
      <c r="T22" s="166">
        <f t="shared" si="5"/>
        <v>8.1450801161439212E-2</v>
      </c>
    </row>
    <row r="23" spans="1:20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f>'2022'!S23</f>
        <v>5487003.5</v>
      </c>
      <c r="H23" s="163">
        <f>SUM('2022'!G97:L97)</f>
        <v>6719316.5931486068</v>
      </c>
      <c r="I23" s="164">
        <f t="shared" si="0"/>
        <v>-1232313.0931486068</v>
      </c>
      <c r="J23" s="166">
        <f t="shared" si="1"/>
        <v>-0.18339857574282814</v>
      </c>
      <c r="K23" s="163">
        <f>SUM('2021'!G23:L23)</f>
        <v>5929067.04</v>
      </c>
      <c r="L23" s="164">
        <f t="shared" si="7"/>
        <v>-442063.54000000004</v>
      </c>
      <c r="M23" s="166">
        <f t="shared" si="2"/>
        <v>-7.4558701565971885E-2</v>
      </c>
      <c r="N23" s="163">
        <f>'2022'!L23</f>
        <v>1233253.05</v>
      </c>
      <c r="O23" s="163">
        <f>'2022'!L97</f>
        <v>1298948.7834938644</v>
      </c>
      <c r="P23" s="164">
        <f t="shared" si="6"/>
        <v>-65695.733493864303</v>
      </c>
      <c r="Q23" s="166">
        <f t="shared" si="3"/>
        <v>-5.0576076846662432E-2</v>
      </c>
      <c r="R23" s="163">
        <f>'2021'!L23</f>
        <v>1321775.42</v>
      </c>
      <c r="S23" s="164">
        <f t="shared" si="4"/>
        <v>-88522.369999999879</v>
      </c>
      <c r="T23" s="166">
        <f t="shared" si="5"/>
        <v>-6.697232272635234E-2</v>
      </c>
    </row>
    <row r="24" spans="1:20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f>'2022'!S24</f>
        <v>5611278.3499999996</v>
      </c>
      <c r="H24" s="175">
        <f>SUM('2022'!G98:L98)</f>
        <v>5595445.3115968909</v>
      </c>
      <c r="I24" s="176">
        <f t="shared" si="0"/>
        <v>15833.038403108716</v>
      </c>
      <c r="J24" s="178">
        <f t="shared" si="1"/>
        <v>2.8296297294325701E-3</v>
      </c>
      <c r="K24" s="175">
        <f>SUM('2021'!G24:L24)</f>
        <v>4924242.4800000004</v>
      </c>
      <c r="L24" s="176">
        <f t="shared" si="7"/>
        <v>687035.86999999918</v>
      </c>
      <c r="M24" s="178">
        <f t="shared" si="2"/>
        <v>0.13952112894326829</v>
      </c>
      <c r="N24" s="175">
        <f>'2022'!L24</f>
        <v>1292686.0099999998</v>
      </c>
      <c r="O24" s="175">
        <f>'2022'!L98</f>
        <v>1185843.6965174251</v>
      </c>
      <c r="P24" s="176">
        <f t="shared" si="6"/>
        <v>106842.31348257465</v>
      </c>
      <c r="Q24" s="178">
        <f t="shared" si="3"/>
        <v>9.0098141767205986E-2</v>
      </c>
      <c r="R24" s="175">
        <f>'2021'!L24</f>
        <v>1102631.99</v>
      </c>
      <c r="S24" s="176">
        <f t="shared" si="4"/>
        <v>190054.01999999979</v>
      </c>
      <c r="T24" s="178">
        <f t="shared" si="5"/>
        <v>0.17236396342899485</v>
      </c>
    </row>
    <row r="25" spans="1:20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f>'2022'!S25</f>
        <v>27662396.659999996</v>
      </c>
      <c r="H25" s="175">
        <f>SUM('2022'!G99:L99)</f>
        <v>28905221.88921129</v>
      </c>
      <c r="I25" s="176">
        <f t="shared" si="0"/>
        <v>-1242825.2292112932</v>
      </c>
      <c r="J25" s="178">
        <f t="shared" si="1"/>
        <v>-4.2996564218563238E-2</v>
      </c>
      <c r="K25" s="175">
        <f>SUM('2021'!G25:L25)</f>
        <v>17102066.899999999</v>
      </c>
      <c r="L25" s="176">
        <f t="shared" si="7"/>
        <v>10560329.759999998</v>
      </c>
      <c r="M25" s="178">
        <f t="shared" si="2"/>
        <v>0.61748850719324455</v>
      </c>
      <c r="N25" s="175">
        <f>'2022'!L25</f>
        <v>4570368.01</v>
      </c>
      <c r="O25" s="175">
        <f>'2022'!L99</f>
        <v>5739309.4993893243</v>
      </c>
      <c r="P25" s="176">
        <f t="shared" si="6"/>
        <v>-1168941.4893893246</v>
      </c>
      <c r="Q25" s="178">
        <f t="shared" si="3"/>
        <v>-0.20367284418338172</v>
      </c>
      <c r="R25" s="175">
        <f>'2021'!L25</f>
        <v>3324411.04</v>
      </c>
      <c r="S25" s="176">
        <f t="shared" si="4"/>
        <v>1245956.9699999997</v>
      </c>
      <c r="T25" s="178">
        <f t="shared" si="5"/>
        <v>0.3747902876655107</v>
      </c>
    </row>
    <row r="26" spans="1:20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f>'2022'!S26</f>
        <v>14225284.159999998</v>
      </c>
      <c r="H26" s="175">
        <f>SUM('2022'!G100:L100)</f>
        <v>14678220.189034093</v>
      </c>
      <c r="I26" s="176">
        <f t="shared" si="0"/>
        <v>-452936.02903409488</v>
      </c>
      <c r="J26" s="178">
        <f t="shared" si="1"/>
        <v>-3.0857694134638902E-2</v>
      </c>
      <c r="K26" s="175">
        <f>SUM('2021'!G26:L26)</f>
        <v>12411406.380000001</v>
      </c>
      <c r="L26" s="176">
        <f t="shared" si="7"/>
        <v>1813877.7799999975</v>
      </c>
      <c r="M26" s="178">
        <f t="shared" si="2"/>
        <v>0.14614603087389977</v>
      </c>
      <c r="N26" s="175">
        <f>'2022'!L26</f>
        <v>2748963.77</v>
      </c>
      <c r="O26" s="175">
        <f>'2022'!L100</f>
        <v>3097932.5006113267</v>
      </c>
      <c r="P26" s="176">
        <f t="shared" si="6"/>
        <v>-348968.73061132664</v>
      </c>
      <c r="Q26" s="178">
        <f t="shared" si="3"/>
        <v>-0.1126456856443655</v>
      </c>
      <c r="R26" s="175">
        <f>'2021'!L26</f>
        <v>2287001.67</v>
      </c>
      <c r="S26" s="176">
        <f t="shared" si="4"/>
        <v>461962.10000000009</v>
      </c>
      <c r="T26" s="178">
        <f t="shared" si="5"/>
        <v>0.2019946491774971</v>
      </c>
    </row>
    <row r="27" spans="1:20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f>'2022'!S27</f>
        <v>6770687.6699999999</v>
      </c>
      <c r="H27" s="175">
        <f>SUM('2022'!G101:L101)</f>
        <v>3798436.2900473643</v>
      </c>
      <c r="I27" s="176">
        <f t="shared" si="0"/>
        <v>2972251.3799526356</v>
      </c>
      <c r="J27" s="178">
        <f t="shared" si="1"/>
        <v>0.78249341386625537</v>
      </c>
      <c r="K27" s="175">
        <f>SUM('2021'!G27:L27)</f>
        <v>4636824.5</v>
      </c>
      <c r="L27" s="176">
        <f t="shared" si="7"/>
        <v>2133863.17</v>
      </c>
      <c r="M27" s="178">
        <f t="shared" si="2"/>
        <v>0.46019925274290618</v>
      </c>
      <c r="N27" s="175">
        <f>'2022'!L27</f>
        <v>3753999.56</v>
      </c>
      <c r="O27" s="175">
        <f>'2022'!L101</f>
        <v>1560498.8700287652</v>
      </c>
      <c r="P27" s="176">
        <f t="shared" si="6"/>
        <v>2193500.6899712346</v>
      </c>
      <c r="Q27" s="178">
        <f t="shared" si="3"/>
        <v>1.4056406781831257</v>
      </c>
      <c r="R27" s="175">
        <f>'2021'!L27</f>
        <v>1262111.45</v>
      </c>
      <c r="S27" s="176">
        <f t="shared" si="4"/>
        <v>2491888.1100000003</v>
      </c>
      <c r="T27" s="178">
        <f t="shared" si="5"/>
        <v>1.9743804003996637</v>
      </c>
    </row>
    <row r="28" spans="1:20" ht="15.7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f>'2022'!S28</f>
        <v>13150888.049999999</v>
      </c>
      <c r="H28" s="175">
        <f>SUM('2022'!G102:L102)</f>
        <v>12248173.541532822</v>
      </c>
      <c r="I28" s="176">
        <f t="shared" si="0"/>
        <v>902714.50846717693</v>
      </c>
      <c r="J28" s="178">
        <f t="shared" si="1"/>
        <v>7.3701969147165203E-2</v>
      </c>
      <c r="K28" s="175">
        <f>SUM('2021'!G28:L28)</f>
        <v>8124397.1900000004</v>
      </c>
      <c r="L28" s="176">
        <f t="shared" si="7"/>
        <v>5026490.8599999985</v>
      </c>
      <c r="M28" s="178">
        <f t="shared" si="2"/>
        <v>0.61869093084061766</v>
      </c>
      <c r="N28" s="175">
        <f>'2022'!L28</f>
        <v>3347421.3900000006</v>
      </c>
      <c r="O28" s="175">
        <f>'2022'!L102</f>
        <v>3087195.6560284691</v>
      </c>
      <c r="P28" s="176">
        <f t="shared" si="6"/>
        <v>260225.7339715315</v>
      </c>
      <c r="Q28" s="178">
        <f t="shared" si="3"/>
        <v>8.4291947438893233E-2</v>
      </c>
      <c r="R28" s="175">
        <f>'2021'!L28</f>
        <v>2472793.4900000002</v>
      </c>
      <c r="S28" s="176">
        <f t="shared" si="4"/>
        <v>874627.90000000037</v>
      </c>
      <c r="T28" s="178">
        <f t="shared" si="5"/>
        <v>0.35370034074297085</v>
      </c>
    </row>
    <row r="29" spans="1:20" ht="15.7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>'2022'!S29</f>
        <v>955361219.9799999</v>
      </c>
      <c r="H29" s="151">
        <f>SUM('2022'!G103:L103)</f>
        <v>1037888400.3312857</v>
      </c>
      <c r="I29" s="152">
        <f t="shared" si="0"/>
        <v>-82527180.351285815</v>
      </c>
      <c r="J29" s="154">
        <f t="shared" si="1"/>
        <v>-7.9514503028402461E-2</v>
      </c>
      <c r="K29" s="151">
        <f>SUM('2021'!G29:L29)</f>
        <v>947978254.52999997</v>
      </c>
      <c r="L29" s="152">
        <f t="shared" si="7"/>
        <v>7382965.4499999285</v>
      </c>
      <c r="M29" s="154">
        <f t="shared" si="2"/>
        <v>7.7881168842426352E-3</v>
      </c>
      <c r="N29" s="151">
        <f>'2022'!L29</f>
        <v>167721044.99000004</v>
      </c>
      <c r="O29" s="151">
        <f>'2022'!L103</f>
        <v>176451567.45454761</v>
      </c>
      <c r="P29" s="152">
        <f t="shared" si="6"/>
        <v>-8730522.4645475745</v>
      </c>
      <c r="Q29" s="154">
        <f t="shared" si="3"/>
        <v>-4.9478293621826208E-2</v>
      </c>
      <c r="R29" s="151">
        <f>'2021'!L29</f>
        <v>155953410.75</v>
      </c>
      <c r="S29" s="152">
        <f t="shared" si="4"/>
        <v>11767634.240000039</v>
      </c>
      <c r="T29" s="154">
        <f t="shared" si="5"/>
        <v>7.5456087708553277E-2</v>
      </c>
    </row>
    <row r="30" spans="1:20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313">
        <f>'2022'!S30</f>
        <v>399805164.57999992</v>
      </c>
      <c r="H30" s="313">
        <f>SUM('2022'!G104:L104)</f>
        <v>410393582.722</v>
      </c>
      <c r="I30" s="188">
        <f t="shared" si="0"/>
        <v>-10588418.142000079</v>
      </c>
      <c r="J30" s="190">
        <f t="shared" si="1"/>
        <v>-2.5800642572846089E-2</v>
      </c>
      <c r="K30" s="313">
        <f>SUM('2021'!G30:L30)</f>
        <v>414785819.05000001</v>
      </c>
      <c r="L30" s="188">
        <f t="shared" si="7"/>
        <v>-14980654.470000088</v>
      </c>
      <c r="M30" s="190">
        <f t="shared" si="2"/>
        <v>-3.6116602308899681E-2</v>
      </c>
      <c r="N30" s="313">
        <f>'2022'!L30</f>
        <v>71887959.380000025</v>
      </c>
      <c r="O30" s="313">
        <f>'2022'!L104</f>
        <v>67573285.934666663</v>
      </c>
      <c r="P30" s="188">
        <f t="shared" si="6"/>
        <v>4314673.4453333616</v>
      </c>
      <c r="Q30" s="190">
        <f t="shared" si="3"/>
        <v>6.3851763099178172E-2</v>
      </c>
      <c r="R30" s="313">
        <f>'2021'!L30</f>
        <v>67095940.299999997</v>
      </c>
      <c r="S30" s="188">
        <f t="shared" si="4"/>
        <v>4792019.080000028</v>
      </c>
      <c r="T30" s="190">
        <f t="shared" si="5"/>
        <v>7.1420402763176183E-2</v>
      </c>
    </row>
    <row r="31" spans="1:20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f>'2022'!S31</f>
        <v>265000346.84999996</v>
      </c>
      <c r="H31" s="163">
        <f>SUM('2022'!G105:L105)</f>
        <v>269573326.19</v>
      </c>
      <c r="I31" s="164">
        <f t="shared" si="0"/>
        <v>-4572979.3400000334</v>
      </c>
      <c r="J31" s="166">
        <f t="shared" si="1"/>
        <v>-1.6963767909206728E-2</v>
      </c>
      <c r="K31" s="163">
        <f>SUM('2021'!G31:L31)</f>
        <v>271240319.25999999</v>
      </c>
      <c r="L31" s="164">
        <f t="shared" si="7"/>
        <v>-6239972.4100000262</v>
      </c>
      <c r="M31" s="166">
        <f t="shared" si="2"/>
        <v>-2.3005327626158145E-2</v>
      </c>
      <c r="N31" s="163">
        <f>'2022'!L31</f>
        <v>47101971.300000019</v>
      </c>
      <c r="O31" s="163">
        <f>'2022'!L105</f>
        <v>45490305.276666664</v>
      </c>
      <c r="P31" s="164">
        <f>+N31-O31</f>
        <v>1611666.0233333558</v>
      </c>
      <c r="Q31" s="166">
        <f>IF(+IF(ISERROR(N31/O31),"…",N31/O31-1)&gt;200%,"...",IF(ISERROR(N31/O31),"…",N31/O31-1))</f>
        <v>3.5428780122080727E-2</v>
      </c>
      <c r="R31" s="163">
        <f>'2021'!L31</f>
        <v>44231501.740000002</v>
      </c>
      <c r="S31" s="164">
        <f t="shared" si="4"/>
        <v>2870469.5600000173</v>
      </c>
      <c r="T31" s="166">
        <f t="shared" si="5"/>
        <v>6.4896497904889383E-2</v>
      </c>
    </row>
    <row r="32" spans="1:20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f>'2022'!S32</f>
        <v>7025544.2200000007</v>
      </c>
      <c r="H32" s="163">
        <f>SUM('2022'!G106:L106)</f>
        <v>6794945.0199999996</v>
      </c>
      <c r="I32" s="164">
        <f t="shared" si="0"/>
        <v>230599.20000000112</v>
      </c>
      <c r="J32" s="166">
        <f t="shared" si="1"/>
        <v>3.3936875033022895E-2</v>
      </c>
      <c r="K32" s="163">
        <f>SUM('2021'!G32:L32)</f>
        <v>4617884.0999999996</v>
      </c>
      <c r="L32" s="164">
        <f t="shared" si="7"/>
        <v>2407660.120000001</v>
      </c>
      <c r="M32" s="166">
        <f t="shared" si="2"/>
        <v>0.52137733816229836</v>
      </c>
      <c r="N32" s="163">
        <f>'2022'!L32</f>
        <v>2203226.2300000004</v>
      </c>
      <c r="O32" s="163">
        <f>'2022'!L106</f>
        <v>1112991.68</v>
      </c>
      <c r="P32" s="164">
        <f t="shared" si="6"/>
        <v>1090234.5500000005</v>
      </c>
      <c r="Q32" s="166">
        <f t="shared" si="3"/>
        <v>0.97955318947218051</v>
      </c>
      <c r="R32" s="163">
        <f>'2021'!L32</f>
        <v>813914.56</v>
      </c>
      <c r="S32" s="164">
        <f t="shared" si="4"/>
        <v>1389311.6700000004</v>
      </c>
      <c r="T32" s="166">
        <f t="shared" si="5"/>
        <v>1.7069502602337034</v>
      </c>
    </row>
    <row r="33" spans="1:20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f>'2022'!S33</f>
        <v>14208009.649999999</v>
      </c>
      <c r="H33" s="163">
        <f>SUM('2022'!G107:L107)</f>
        <v>12746026.329999998</v>
      </c>
      <c r="I33" s="164">
        <f t="shared" si="0"/>
        <v>1461983.3200000003</v>
      </c>
      <c r="J33" s="166">
        <f t="shared" si="1"/>
        <v>0.11470110622311891</v>
      </c>
      <c r="K33" s="163">
        <f>SUM('2021'!G33:L33)</f>
        <v>13790326.170000002</v>
      </c>
      <c r="L33" s="164">
        <f t="shared" si="7"/>
        <v>417683.47999999672</v>
      </c>
      <c r="M33" s="166">
        <f t="shared" si="2"/>
        <v>3.0288150900204425E-2</v>
      </c>
      <c r="N33" s="163">
        <f>'2022'!L33</f>
        <v>4898276.6399999997</v>
      </c>
      <c r="O33" s="163">
        <f>'2022'!L107</f>
        <v>1959339.96</v>
      </c>
      <c r="P33" s="164">
        <f t="shared" si="6"/>
        <v>2938936.6799999997</v>
      </c>
      <c r="Q33" s="166">
        <f t="shared" si="3"/>
        <v>1.4999626098576582</v>
      </c>
      <c r="R33" s="163">
        <f>'2021'!L33</f>
        <v>3282627.05</v>
      </c>
      <c r="S33" s="164">
        <f t="shared" si="4"/>
        <v>1615649.5899999999</v>
      </c>
      <c r="T33" s="166">
        <f t="shared" si="5"/>
        <v>0.49218189132999446</v>
      </c>
    </row>
    <row r="34" spans="1:20">
      <c r="A34" s="150">
        <v>414</v>
      </c>
      <c r="B34" s="545" t="str">
        <f>+VLOOKUP($A34,Master!$D$29:$G$225,4,FALSE)</f>
        <v>Rashodi za usluge</v>
      </c>
      <c r="C34" s="546"/>
      <c r="D34" s="546"/>
      <c r="E34" s="546"/>
      <c r="F34" s="546"/>
      <c r="G34" s="163">
        <f>'2022'!S34</f>
        <v>22920874.359999999</v>
      </c>
      <c r="H34" s="163">
        <f>SUM('2022'!G108:L108)</f>
        <v>22229603.580000006</v>
      </c>
      <c r="I34" s="164">
        <f t="shared" si="0"/>
        <v>691270.77999999374</v>
      </c>
      <c r="J34" s="166">
        <f t="shared" si="1"/>
        <v>3.1096855934126033E-2</v>
      </c>
      <c r="K34" s="163">
        <f>SUM('2021'!G34:L34)</f>
        <v>22066786.990000002</v>
      </c>
      <c r="L34" s="164">
        <f t="shared" si="7"/>
        <v>854087.36999999732</v>
      </c>
      <c r="M34" s="166">
        <f t="shared" si="2"/>
        <v>3.870465466436257E-2</v>
      </c>
      <c r="N34" s="163">
        <f>'2022'!L34</f>
        <v>5667935.04</v>
      </c>
      <c r="O34" s="163">
        <f>'2022'!L108</f>
        <v>4355673.6900000004</v>
      </c>
      <c r="P34" s="164">
        <f t="shared" si="6"/>
        <v>1312261.3499999996</v>
      </c>
      <c r="Q34" s="166">
        <f t="shared" si="3"/>
        <v>0.3012763221939152</v>
      </c>
      <c r="R34" s="163">
        <f>'2021'!L34</f>
        <v>3878369.19</v>
      </c>
      <c r="S34" s="164">
        <f t="shared" si="4"/>
        <v>1789565.85</v>
      </c>
      <c r="T34" s="166">
        <f t="shared" si="5"/>
        <v>0.46142225309911766</v>
      </c>
    </row>
    <row r="35" spans="1:20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f>'2022'!S35</f>
        <v>8649817.0500000007</v>
      </c>
      <c r="H35" s="163">
        <f>SUM('2022'!G109:L109)</f>
        <v>9852269.5000000019</v>
      </c>
      <c r="I35" s="164">
        <f t="shared" si="0"/>
        <v>-1202452.4500000011</v>
      </c>
      <c r="J35" s="166">
        <f t="shared" si="1"/>
        <v>-0.12204827019804942</v>
      </c>
      <c r="K35" s="163">
        <f>SUM('2021'!G35:L35)</f>
        <v>8611557.8599999994</v>
      </c>
      <c r="L35" s="164">
        <f t="shared" si="7"/>
        <v>38259.190000001341</v>
      </c>
      <c r="M35" s="166">
        <f t="shared" si="2"/>
        <v>4.4427722163620231E-3</v>
      </c>
      <c r="N35" s="163">
        <f>'2022'!L35</f>
        <v>1758456.5100000002</v>
      </c>
      <c r="O35" s="163">
        <f>'2022'!L109</f>
        <v>1756101.9100000004</v>
      </c>
      <c r="P35" s="164">
        <f t="shared" si="6"/>
        <v>2354.5999999998603</v>
      </c>
      <c r="Q35" s="166">
        <f t="shared" si="3"/>
        <v>1.3408105683341276E-3</v>
      </c>
      <c r="R35" s="163">
        <f>'2021'!L35</f>
        <v>1668289.12</v>
      </c>
      <c r="S35" s="164">
        <f t="shared" si="4"/>
        <v>90167.39000000013</v>
      </c>
      <c r="T35" s="166">
        <f t="shared" si="5"/>
        <v>5.4047819960607368E-2</v>
      </c>
    </row>
    <row r="36" spans="1:20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f>'2022'!S36</f>
        <v>39075082.880000003</v>
      </c>
      <c r="H36" s="163">
        <f>SUM('2022'!G110:L110)</f>
        <v>40395646.370000005</v>
      </c>
      <c r="I36" s="164">
        <f t="shared" si="0"/>
        <v>-1320563.4900000021</v>
      </c>
      <c r="J36" s="166">
        <f t="shared" si="1"/>
        <v>-3.2690737954888194E-2</v>
      </c>
      <c r="K36" s="163">
        <f>SUM('2021'!G36:L36)</f>
        <v>59088525.250000007</v>
      </c>
      <c r="L36" s="164">
        <f t="shared" si="7"/>
        <v>-20013442.370000005</v>
      </c>
      <c r="M36" s="166">
        <f t="shared" si="2"/>
        <v>-0.33870268864088804</v>
      </c>
      <c r="N36" s="163">
        <f>'2022'!L36</f>
        <v>1216799.03</v>
      </c>
      <c r="O36" s="163">
        <f>'2022'!L110</f>
        <v>5081336.79</v>
      </c>
      <c r="P36" s="164">
        <f t="shared" si="6"/>
        <v>-3864537.76</v>
      </c>
      <c r="Q36" s="166">
        <f t="shared" si="3"/>
        <v>-0.76053564636875803</v>
      </c>
      <c r="R36" s="163">
        <f>'2021'!L36</f>
        <v>5290054.43</v>
      </c>
      <c r="S36" s="164">
        <f t="shared" si="4"/>
        <v>-4073255.3999999994</v>
      </c>
      <c r="T36" s="166">
        <f t="shared" si="5"/>
        <v>-0.7699836464631612</v>
      </c>
    </row>
    <row r="37" spans="1:20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f>'2022'!S37</f>
        <v>4528851.2500000009</v>
      </c>
      <c r="H37" s="163">
        <f>SUM('2022'!G111:L111)</f>
        <v>5927945.1799999988</v>
      </c>
      <c r="I37" s="164">
        <f t="shared" si="0"/>
        <v>-1399093.9299999978</v>
      </c>
      <c r="J37" s="166">
        <f t="shared" si="1"/>
        <v>-0.23601667821091388</v>
      </c>
      <c r="K37" s="163">
        <f>SUM('2021'!G37:L37)</f>
        <v>4217781.4800000004</v>
      </c>
      <c r="L37" s="164">
        <f t="shared" si="7"/>
        <v>311069.77000000048</v>
      </c>
      <c r="M37" s="166">
        <f t="shared" si="2"/>
        <v>7.375198821348139E-2</v>
      </c>
      <c r="N37" s="163">
        <f>'2022'!L37</f>
        <v>995508.2</v>
      </c>
      <c r="O37" s="163">
        <f>'2022'!L111</f>
        <v>962625.17999999982</v>
      </c>
      <c r="P37" s="164">
        <f t="shared" si="6"/>
        <v>32883.020000000135</v>
      </c>
      <c r="Q37" s="166">
        <f t="shared" si="3"/>
        <v>3.4159733905984258E-2</v>
      </c>
      <c r="R37" s="163">
        <f>'2021'!L37</f>
        <v>989320.52</v>
      </c>
      <c r="S37" s="164">
        <f t="shared" si="4"/>
        <v>6187.6799999999348</v>
      </c>
      <c r="T37" s="166">
        <f t="shared" si="5"/>
        <v>6.2544745357147047E-3</v>
      </c>
    </row>
    <row r="38" spans="1:20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f>'2022'!S38</f>
        <v>20867715.430000003</v>
      </c>
      <c r="H38" s="163">
        <f>SUM('2022'!G112:L112)</f>
        <v>21717832.979999997</v>
      </c>
      <c r="I38" s="164">
        <f t="shared" si="0"/>
        <v>-850117.54999999329</v>
      </c>
      <c r="J38" s="166">
        <f t="shared" si="1"/>
        <v>-3.9143755768951238E-2</v>
      </c>
      <c r="K38" s="163">
        <f>SUM('2021'!G38:L38)</f>
        <v>16556557.139999999</v>
      </c>
      <c r="L38" s="164">
        <f t="shared" si="7"/>
        <v>4311158.2900000047</v>
      </c>
      <c r="M38" s="166">
        <f t="shared" si="2"/>
        <v>0.26038978113296363</v>
      </c>
      <c r="N38" s="163">
        <f>'2022'!L38</f>
        <v>3319529.0100000002</v>
      </c>
      <c r="O38" s="163">
        <f>'2022'!L112</f>
        <v>3444638.83</v>
      </c>
      <c r="P38" s="164">
        <f t="shared" si="6"/>
        <v>-125109.81999999983</v>
      </c>
      <c r="Q38" s="166">
        <f t="shared" si="3"/>
        <v>-3.6320156096016576E-2</v>
      </c>
      <c r="R38" s="163">
        <f>'2021'!L38</f>
        <v>4169288.28</v>
      </c>
      <c r="S38" s="164">
        <f t="shared" si="4"/>
        <v>-849759.26999999955</v>
      </c>
      <c r="T38" s="166">
        <f t="shared" si="5"/>
        <v>-0.20381398764779091</v>
      </c>
    </row>
    <row r="39" spans="1:20">
      <c r="A39" s="150">
        <v>419</v>
      </c>
      <c r="B39" s="545" t="str">
        <f>+VLOOKUP($A39,Master!$D$29:$G$225,4,FALSE)</f>
        <v>Ostali izdaci</v>
      </c>
      <c r="C39" s="546"/>
      <c r="D39" s="546"/>
      <c r="E39" s="546"/>
      <c r="F39" s="546"/>
      <c r="G39" s="163">
        <f>'2022'!S39</f>
        <v>17528922.889999997</v>
      </c>
      <c r="H39" s="163">
        <f>SUM('2022'!G113:L113)</f>
        <v>21155987.571999997</v>
      </c>
      <c r="I39" s="164">
        <f t="shared" si="0"/>
        <v>-3627064.682</v>
      </c>
      <c r="J39" s="166">
        <f t="shared" si="1"/>
        <v>-0.17144388413237821</v>
      </c>
      <c r="K39" s="163">
        <f>SUM('2021'!G39:L39)</f>
        <v>14596080.800000001</v>
      </c>
      <c r="L39" s="164">
        <f t="shared" si="7"/>
        <v>2932842.0899999961</v>
      </c>
      <c r="M39" s="166">
        <f t="shared" si="2"/>
        <v>0.20093353347290299</v>
      </c>
      <c r="N39" s="163">
        <f>'2022'!L39</f>
        <v>4726257.419999999</v>
      </c>
      <c r="O39" s="163">
        <f>'2022'!L113</f>
        <v>3410272.6179999989</v>
      </c>
      <c r="P39" s="164">
        <f t="shared" si="6"/>
        <v>1315984.8020000001</v>
      </c>
      <c r="Q39" s="166">
        <f t="shared" si="3"/>
        <v>0.38588844629429575</v>
      </c>
      <c r="R39" s="163">
        <f>'2021'!L39</f>
        <v>2772575.41</v>
      </c>
      <c r="S39" s="164">
        <f t="shared" si="4"/>
        <v>1953682.0099999988</v>
      </c>
      <c r="T39" s="166">
        <f t="shared" si="5"/>
        <v>0.70464522009159669</v>
      </c>
    </row>
    <row r="40" spans="1:20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'2022'!S40</f>
        <v>296890619.23000002</v>
      </c>
      <c r="H40" s="193">
        <f>SUM('2022'!G114:L114)</f>
        <v>316569408.63928574</v>
      </c>
      <c r="I40" s="194">
        <f t="shared" si="0"/>
        <v>-19678789.409285724</v>
      </c>
      <c r="J40" s="196">
        <f t="shared" si="1"/>
        <v>-6.2162637551971045E-2</v>
      </c>
      <c r="K40" s="193">
        <f>SUM('2021'!G40:L40)</f>
        <v>279962882.99999994</v>
      </c>
      <c r="L40" s="194">
        <f t="shared" si="7"/>
        <v>16927736.230000079</v>
      </c>
      <c r="M40" s="196">
        <f t="shared" si="2"/>
        <v>6.0464216001090643E-2</v>
      </c>
      <c r="N40" s="193">
        <f>'2022'!L40</f>
        <v>53833353.830000021</v>
      </c>
      <c r="O40" s="193">
        <f>'2022'!L114</f>
        <v>55102848.149880961</v>
      </c>
      <c r="P40" s="194">
        <f t="shared" si="6"/>
        <v>-1269494.31988094</v>
      </c>
      <c r="Q40" s="196">
        <f t="shared" si="3"/>
        <v>-2.3038633437383993E-2</v>
      </c>
      <c r="R40" s="193">
        <f>'2021'!L40</f>
        <v>47701801.869999997</v>
      </c>
      <c r="S40" s="194">
        <f t="shared" si="4"/>
        <v>6131551.9600000232</v>
      </c>
      <c r="T40" s="196">
        <f t="shared" si="5"/>
        <v>0.12853921067196006</v>
      </c>
    </row>
    <row r="41" spans="1:20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f>'2022'!S41</f>
        <v>57407134.149999999</v>
      </c>
      <c r="H41" s="163">
        <f>SUM('2022'!G115:L115)</f>
        <v>61444285.794285722</v>
      </c>
      <c r="I41" s="164">
        <f t="shared" si="0"/>
        <v>-4037151.6442857236</v>
      </c>
      <c r="J41" s="166">
        <f t="shared" si="1"/>
        <v>-6.5704265125678729E-2</v>
      </c>
      <c r="K41" s="163">
        <f>SUM('2021'!G41:L41)</f>
        <v>40013765.259999998</v>
      </c>
      <c r="L41" s="164">
        <f t="shared" si="7"/>
        <v>17393368.890000001</v>
      </c>
      <c r="M41" s="166">
        <f t="shared" si="2"/>
        <v>0.43468463357502096</v>
      </c>
      <c r="N41" s="163">
        <f>'2022'!L41</f>
        <v>11977864.439999999</v>
      </c>
      <c r="O41" s="163">
        <f>'2022'!L115</f>
        <v>12324047.632380953</v>
      </c>
      <c r="P41" s="164">
        <f t="shared" si="6"/>
        <v>-346183.19238095358</v>
      </c>
      <c r="Q41" s="166">
        <f t="shared" si="3"/>
        <v>-2.8090056344100001E-2</v>
      </c>
      <c r="R41" s="163">
        <f>'2021'!L41</f>
        <v>6972648.9400000004</v>
      </c>
      <c r="S41" s="164">
        <f t="shared" si="4"/>
        <v>5005215.4999999991</v>
      </c>
      <c r="T41" s="166">
        <f t="shared" si="5"/>
        <v>0.71783558057635388</v>
      </c>
    </row>
    <row r="42" spans="1:20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f>'2022'!S42</f>
        <v>12003465.699999999</v>
      </c>
      <c r="H42" s="163">
        <f>SUM('2022'!G116:L116)</f>
        <v>14352319.74</v>
      </c>
      <c r="I42" s="164">
        <f t="shared" si="0"/>
        <v>-2348854.040000001</v>
      </c>
      <c r="J42" s="166">
        <f t="shared" si="1"/>
        <v>-0.16365675253553125</v>
      </c>
      <c r="K42" s="163">
        <f>SUM('2021'!G42:L42)</f>
        <v>10151094.299999999</v>
      </c>
      <c r="L42" s="164">
        <f t="shared" si="7"/>
        <v>1852371.4000000004</v>
      </c>
      <c r="M42" s="166">
        <f t="shared" si="2"/>
        <v>0.18247997164207219</v>
      </c>
      <c r="N42" s="163">
        <f>'2022'!L42</f>
        <v>2335079.0099999998</v>
      </c>
      <c r="O42" s="163">
        <f>'2022'!L116</f>
        <v>2291666.67</v>
      </c>
      <c r="P42" s="164">
        <f t="shared" si="6"/>
        <v>43412.339999999851</v>
      </c>
      <c r="Q42" s="166">
        <f t="shared" si="3"/>
        <v>1.8943566517900301E-2</v>
      </c>
      <c r="R42" s="163">
        <f>'2021'!L42</f>
        <v>2394445.0099999998</v>
      </c>
      <c r="S42" s="164">
        <f t="shared" si="4"/>
        <v>-59366</v>
      </c>
      <c r="T42" s="166">
        <f t="shared" si="5"/>
        <v>-2.479321920197286E-2</v>
      </c>
    </row>
    <row r="43" spans="1:20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f>'2022'!S43</f>
        <v>216837827.32999995</v>
      </c>
      <c r="H43" s="163">
        <f>SUM('2022'!G117:L117)</f>
        <v>228174803.08500001</v>
      </c>
      <c r="I43" s="164">
        <f t="shared" si="0"/>
        <v>-11336975.755000055</v>
      </c>
      <c r="J43" s="166">
        <f t="shared" si="1"/>
        <v>-4.9685484995364626E-2</v>
      </c>
      <c r="K43" s="163">
        <f>SUM('2021'!G43:L43)</f>
        <v>216286085.34999999</v>
      </c>
      <c r="L43" s="164">
        <f t="shared" si="7"/>
        <v>551741.97999995947</v>
      </c>
      <c r="M43" s="166">
        <f t="shared" si="2"/>
        <v>2.5509823209712845E-3</v>
      </c>
      <c r="N43" s="163">
        <f>'2022'!L43</f>
        <v>37914418.51000002</v>
      </c>
      <c r="O43" s="163">
        <f>'2022'!L117</f>
        <v>38029133.847500004</v>
      </c>
      <c r="P43" s="164">
        <f t="shared" si="6"/>
        <v>-114715.33749998361</v>
      </c>
      <c r="Q43" s="166">
        <f t="shared" si="3"/>
        <v>-3.0165119710588995E-3</v>
      </c>
      <c r="R43" s="163">
        <f>'2021'!L43</f>
        <v>35679553.039999999</v>
      </c>
      <c r="S43" s="164">
        <f t="shared" si="4"/>
        <v>2234865.4700000212</v>
      </c>
      <c r="T43" s="166">
        <f t="shared" si="5"/>
        <v>6.263714871917081E-2</v>
      </c>
    </row>
    <row r="44" spans="1:20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f>'2022'!S44</f>
        <v>5648805.6399999997</v>
      </c>
      <c r="H44" s="163">
        <f>SUM('2022'!G118:L118)</f>
        <v>6816000</v>
      </c>
      <c r="I44" s="164">
        <f t="shared" si="0"/>
        <v>-1167194.3600000003</v>
      </c>
      <c r="J44" s="166">
        <f t="shared" si="1"/>
        <v>-0.17124330399061038</v>
      </c>
      <c r="K44" s="163">
        <f>SUM('2021'!G44:L44)</f>
        <v>8425594.3599999994</v>
      </c>
      <c r="L44" s="164">
        <f t="shared" si="7"/>
        <v>-2776788.7199999997</v>
      </c>
      <c r="M44" s="166">
        <f t="shared" si="2"/>
        <v>-0.32956591563233051</v>
      </c>
      <c r="N44" s="163">
        <f>'2022'!L44</f>
        <v>804103.22</v>
      </c>
      <c r="O44" s="163">
        <f>'2022'!L118</f>
        <v>1278000</v>
      </c>
      <c r="P44" s="164">
        <f t="shared" si="6"/>
        <v>-473896.78</v>
      </c>
      <c r="Q44" s="166">
        <f t="shared" si="3"/>
        <v>-0.37081125195618159</v>
      </c>
      <c r="R44" s="163">
        <f>'2021'!L44</f>
        <v>1598295.14</v>
      </c>
      <c r="S44" s="164">
        <f t="shared" si="4"/>
        <v>-794191.91999999993</v>
      </c>
      <c r="T44" s="166">
        <f t="shared" si="5"/>
        <v>-0.49689941496036827</v>
      </c>
    </row>
    <row r="45" spans="1:20">
      <c r="A45" s="150">
        <v>425</v>
      </c>
      <c r="B45" s="545" t="str">
        <f>+VLOOKUP($A45,Master!$D$29:$G$225,4,FALSE)</f>
        <v>Ostala prava iz zdravstvenog osiguranja</v>
      </c>
      <c r="C45" s="546"/>
      <c r="D45" s="546"/>
      <c r="E45" s="546"/>
      <c r="F45" s="546"/>
      <c r="G45" s="163">
        <f>'2022'!S45</f>
        <v>4993386.4100000011</v>
      </c>
      <c r="H45" s="163">
        <f>SUM('2022'!G119:L119)</f>
        <v>5782000.0199999996</v>
      </c>
      <c r="I45" s="164">
        <f t="shared" si="0"/>
        <v>-788613.60999999847</v>
      </c>
      <c r="J45" s="166">
        <f t="shared" si="1"/>
        <v>-0.13639114619027592</v>
      </c>
      <c r="K45" s="163">
        <f>SUM('2021'!G45:L45)</f>
        <v>5086343.7300000004</v>
      </c>
      <c r="L45" s="164">
        <f t="shared" si="7"/>
        <v>-92957.319999999367</v>
      </c>
      <c r="M45" s="166">
        <f t="shared" si="2"/>
        <v>-1.8275862767929585E-2</v>
      </c>
      <c r="N45" s="163">
        <f>'2022'!L45</f>
        <v>801888.65</v>
      </c>
      <c r="O45" s="163">
        <f>'2022'!L119</f>
        <v>1180000</v>
      </c>
      <c r="P45" s="164">
        <f t="shared" si="6"/>
        <v>-378111.35</v>
      </c>
      <c r="Q45" s="166">
        <f t="shared" si="3"/>
        <v>-0.32043334745762708</v>
      </c>
      <c r="R45" s="163">
        <f>'2021'!L45</f>
        <v>1056859.74</v>
      </c>
      <c r="S45" s="164">
        <f t="shared" si="4"/>
        <v>-254971.08999999997</v>
      </c>
      <c r="T45" s="166">
        <f t="shared" si="5"/>
        <v>-0.24125347986100787</v>
      </c>
    </row>
    <row r="46" spans="1:20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f>'2022'!S46</f>
        <v>133541868.39999999</v>
      </c>
      <c r="H46" s="175">
        <f>SUM('2022'!G120:L120)</f>
        <v>135936236.77000001</v>
      </c>
      <c r="I46" s="176">
        <f t="shared" si="0"/>
        <v>-2394368.3700000197</v>
      </c>
      <c r="J46" s="178">
        <f t="shared" si="1"/>
        <v>-1.7613908012263257E-2</v>
      </c>
      <c r="K46" s="175">
        <f>SUM('2021'!G46:L46)</f>
        <v>118575540.47</v>
      </c>
      <c r="L46" s="176">
        <f t="shared" si="7"/>
        <v>14966327.929999992</v>
      </c>
      <c r="M46" s="178">
        <f t="shared" si="2"/>
        <v>0.1262176657232823</v>
      </c>
      <c r="N46" s="175">
        <f>'2022'!L46</f>
        <v>26579249.149999995</v>
      </c>
      <c r="O46" s="175">
        <f>'2022'!L120</f>
        <v>21015003.09</v>
      </c>
      <c r="P46" s="176">
        <f t="shared" si="6"/>
        <v>5564246.0599999949</v>
      </c>
      <c r="Q46" s="178">
        <f t="shared" si="3"/>
        <v>0.26477493418251008</v>
      </c>
      <c r="R46" s="175">
        <f>'2021'!L46</f>
        <v>24268005.550000001</v>
      </c>
      <c r="S46" s="176">
        <f t="shared" si="4"/>
        <v>2311243.599999994</v>
      </c>
      <c r="T46" s="178">
        <f t="shared" si="5"/>
        <v>9.5238300289575806E-2</v>
      </c>
    </row>
    <row r="47" spans="1:20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f>'2022'!S47</f>
        <v>91236566.00999999</v>
      </c>
      <c r="H47" s="175">
        <f>SUM('2022'!G121:L121)</f>
        <v>127601402.70000002</v>
      </c>
      <c r="I47" s="176">
        <f t="shared" si="0"/>
        <v>-36364836.690000027</v>
      </c>
      <c r="J47" s="178">
        <f t="shared" si="1"/>
        <v>-0.28498775029531886</v>
      </c>
      <c r="K47" s="175">
        <f>SUM('2021'!G47:L47)</f>
        <v>62491682.160000004</v>
      </c>
      <c r="L47" s="176">
        <f t="shared" si="7"/>
        <v>28744883.849999987</v>
      </c>
      <c r="M47" s="178">
        <f t="shared" si="2"/>
        <v>0.45997935815527069</v>
      </c>
      <c r="N47" s="175">
        <f>'2022'!L47</f>
        <v>11312535.829999998</v>
      </c>
      <c r="O47" s="175">
        <f>'2022'!L121</f>
        <v>27488572.200000007</v>
      </c>
      <c r="P47" s="176">
        <f t="shared" si="6"/>
        <v>-16176036.370000008</v>
      </c>
      <c r="Q47" s="178">
        <f t="shared" si="3"/>
        <v>-0.58846404434203403</v>
      </c>
      <c r="R47" s="175">
        <f>'2021'!L47</f>
        <v>11935338.039999999</v>
      </c>
      <c r="S47" s="176">
        <f t="shared" si="4"/>
        <v>-622802.21000000089</v>
      </c>
      <c r="T47" s="178">
        <f t="shared" si="5"/>
        <v>-5.2181363268702263E-2</v>
      </c>
    </row>
    <row r="48" spans="1:20">
      <c r="A48" s="150">
        <v>451</v>
      </c>
      <c r="B48" s="513" t="str">
        <f>+VLOOKUP($A48,Master!$D$29:$G$225,4,FALSE)</f>
        <v>Pozajmice i krediti</v>
      </c>
      <c r="C48" s="514"/>
      <c r="D48" s="514"/>
      <c r="E48" s="514"/>
      <c r="F48" s="514"/>
      <c r="G48" s="163">
        <f>'2022'!S48</f>
        <v>813754</v>
      </c>
      <c r="H48" s="163">
        <f>SUM('2022'!G122:L122)</f>
        <v>737000.46</v>
      </c>
      <c r="I48" s="164">
        <f>G48-H48</f>
        <v>76753.540000000037</v>
      </c>
      <c r="J48" s="282">
        <f t="shared" si="1"/>
        <v>0.10414313716981938</v>
      </c>
      <c r="K48" s="163">
        <f>SUM('2021'!G48:L48)</f>
        <v>828780</v>
      </c>
      <c r="L48" s="279">
        <f t="shared" si="7"/>
        <v>-15026</v>
      </c>
      <c r="M48" s="282">
        <f t="shared" si="2"/>
        <v>-1.8130263761191201E-2</v>
      </c>
      <c r="N48" s="163">
        <f>'2022'!L48</f>
        <v>700</v>
      </c>
      <c r="O48" s="163">
        <f>'2022'!L122</f>
        <v>243666.74</v>
      </c>
      <c r="P48" s="164">
        <f t="shared" si="6"/>
        <v>-242966.74</v>
      </c>
      <c r="Q48" s="282">
        <f t="shared" si="3"/>
        <v>-0.99712722384679997</v>
      </c>
      <c r="R48" s="163">
        <f>'2021'!L48</f>
        <v>276662</v>
      </c>
      <c r="S48" s="279">
        <f>+N48-R48-S58</f>
        <v>-275962</v>
      </c>
      <c r="T48" s="282">
        <f t="shared" si="5"/>
        <v>-0.9974698368406214</v>
      </c>
    </row>
    <row r="49" spans="1:23">
      <c r="A49" s="150">
        <v>47</v>
      </c>
      <c r="B49" s="513" t="str">
        <f>+VLOOKUP($A49,Master!$D$29:$G$225,4,FALSE)</f>
        <v>Rezerve</v>
      </c>
      <c r="C49" s="514"/>
      <c r="D49" s="514"/>
      <c r="E49" s="514"/>
      <c r="F49" s="514"/>
      <c r="G49" s="163">
        <f>'2022'!S49</f>
        <v>5424960.2899999991</v>
      </c>
      <c r="H49" s="163">
        <f>SUM('2022'!G123:L123)</f>
        <v>20232706.080000002</v>
      </c>
      <c r="I49" s="164">
        <f t="shared" ref="I49:I50" si="8">G49-H49</f>
        <v>-14807745.790000003</v>
      </c>
      <c r="J49" s="283">
        <f t="shared" si="1"/>
        <v>-0.7318717393239571</v>
      </c>
      <c r="K49" s="163">
        <f>SUM('2021'!G49:L49)</f>
        <v>49654378.669999994</v>
      </c>
      <c r="L49" s="280">
        <f t="shared" si="7"/>
        <v>-44229418.379999995</v>
      </c>
      <c r="M49" s="283">
        <f t="shared" si="2"/>
        <v>-0.89074558104827051</v>
      </c>
      <c r="N49" s="163">
        <f>'2022'!L49</f>
        <v>3114786.03</v>
      </c>
      <c r="O49" s="163">
        <f>'2022'!L123</f>
        <v>3372117.68</v>
      </c>
      <c r="P49" s="164">
        <f t="shared" si="6"/>
        <v>-257331.65000000037</v>
      </c>
      <c r="Q49" s="283">
        <f t="shared" si="3"/>
        <v>-7.6311586492438299E-2</v>
      </c>
      <c r="R49" s="163">
        <f>'2021'!L49</f>
        <v>3382486.47</v>
      </c>
      <c r="S49" s="280">
        <f t="shared" si="4"/>
        <v>-267700.44000000041</v>
      </c>
      <c r="T49" s="283">
        <f t="shared" si="5"/>
        <v>-7.914309262558572E-2</v>
      </c>
      <c r="W49" s="344"/>
    </row>
    <row r="50" spans="1:23" ht="15.7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63">
        <f>'2022'!S50</f>
        <v>500000</v>
      </c>
      <c r="H50" s="163">
        <f>SUM('2022'!G124:L124)</f>
        <v>0</v>
      </c>
      <c r="I50" s="164">
        <f t="shared" si="8"/>
        <v>500000</v>
      </c>
      <c r="J50" s="284" t="str">
        <f t="shared" si="1"/>
        <v>...</v>
      </c>
      <c r="K50" s="163">
        <f>SUM('2021'!G50:L50)</f>
        <v>3831496.4</v>
      </c>
      <c r="L50" s="280">
        <f t="shared" si="7"/>
        <v>-3331496.4</v>
      </c>
      <c r="M50" s="284">
        <f t="shared" si="2"/>
        <v>-0.86950268307703482</v>
      </c>
      <c r="N50" s="163">
        <f>'2022'!L50</f>
        <v>0</v>
      </c>
      <c r="O50" s="163">
        <f>'2022'!L124</f>
        <v>0</v>
      </c>
      <c r="P50" s="164">
        <f t="shared" si="6"/>
        <v>0</v>
      </c>
      <c r="Q50" s="284" t="str">
        <f t="shared" si="3"/>
        <v>...</v>
      </c>
      <c r="R50" s="163">
        <f>'2021'!L50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31" t="str">
        <f>+VLOOKUP($A51,Master!$D$29:$G$225,4,FALSE)</f>
        <v>Otplata obaveza iz prethodnog perioda</v>
      </c>
      <c r="C51" s="532"/>
      <c r="D51" s="532"/>
      <c r="E51" s="532"/>
      <c r="F51" s="532"/>
      <c r="G51" s="314">
        <f>'2022'!S51</f>
        <v>27148287.469999995</v>
      </c>
      <c r="H51" s="314">
        <f>SUM('2022'!G125:L125)</f>
        <v>26418062.96000002</v>
      </c>
      <c r="I51" s="281">
        <f>G51-H51</f>
        <v>730224.50999997556</v>
      </c>
      <c r="J51" s="285">
        <f t="shared" si="1"/>
        <v>2.7641107188881353E-2</v>
      </c>
      <c r="K51" s="314">
        <f>SUM('2021'!G51:L51)</f>
        <v>17847674.780000001</v>
      </c>
      <c r="L51" s="287">
        <f t="shared" si="7"/>
        <v>9300612.6899999939</v>
      </c>
      <c r="M51" s="285">
        <f t="shared" si="2"/>
        <v>0.5211106099054541</v>
      </c>
      <c r="N51" s="314">
        <f>'2022'!L51</f>
        <v>992460.77</v>
      </c>
      <c r="O51" s="314">
        <f>'2022'!L125</f>
        <v>1656073.6600000036</v>
      </c>
      <c r="P51" s="281">
        <f>N51-O51</f>
        <v>-663612.89000000362</v>
      </c>
      <c r="Q51" s="285">
        <f t="shared" si="3"/>
        <v>-0.40071459744127691</v>
      </c>
      <c r="R51" s="314">
        <f>'2021'!L51</f>
        <v>1293176.52</v>
      </c>
      <c r="S51" s="287">
        <f>+N51-R51</f>
        <v>-300715.75</v>
      </c>
      <c r="T51" s="285">
        <f t="shared" si="5"/>
        <v>-0.23254037275591732</v>
      </c>
    </row>
    <row r="52" spans="1:23" ht="15.75" thickBot="1">
      <c r="A52" s="144">
        <v>1005</v>
      </c>
      <c r="B52" s="531" t="str">
        <f>+VLOOKUP($A52,Master!$D$29:$G$227,4,FALSE)</f>
        <v>Neto povećanje obaveza</v>
      </c>
      <c r="C52" s="532"/>
      <c r="D52" s="532"/>
      <c r="E52" s="532"/>
      <c r="F52" s="532"/>
      <c r="G52" s="163">
        <f>'2022'!S52</f>
        <v>0</v>
      </c>
      <c r="H52" s="163">
        <f>SUM('2022'!G126:L126)</f>
        <v>0</v>
      </c>
      <c r="I52" s="281">
        <f>G52-H52</f>
        <v>0</v>
      </c>
      <c r="J52" s="285" t="str">
        <f t="shared" si="1"/>
        <v>...</v>
      </c>
      <c r="K52" s="163">
        <f>SUM('2021'!G52:L52)</f>
        <v>0</v>
      </c>
      <c r="L52" s="287">
        <f t="shared" si="7"/>
        <v>0</v>
      </c>
      <c r="M52" s="285" t="str">
        <f t="shared" si="2"/>
        <v>...</v>
      </c>
      <c r="N52" s="163">
        <f>'2022'!L52</f>
        <v>0</v>
      </c>
      <c r="O52" s="163">
        <f>'2022'!L126</f>
        <v>0</v>
      </c>
      <c r="P52" s="281">
        <f>N52-O52</f>
        <v>0</v>
      </c>
      <c r="Q52" s="285" t="str">
        <f t="shared" si="3"/>
        <v>...</v>
      </c>
      <c r="R52" s="163">
        <f>'2021'!L52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>'2022'!S53</f>
        <v>-33016534.139999881</v>
      </c>
      <c r="H53" s="151">
        <f>SUM('2022'!G127:L127)</f>
        <v>-205701584.05686453</v>
      </c>
      <c r="I53" s="320">
        <f>+G53-H53</f>
        <v>172685049.91686463</v>
      </c>
      <c r="J53" s="286">
        <f t="shared" si="1"/>
        <v>-0.83949304867349617</v>
      </c>
      <c r="K53" s="151">
        <f>SUM('2021'!G53:L53)</f>
        <v>-159896210.05999997</v>
      </c>
      <c r="L53" s="288">
        <f t="shared" si="7"/>
        <v>126879675.92000009</v>
      </c>
      <c r="M53" s="286">
        <f t="shared" si="2"/>
        <v>-0.79351271598238227</v>
      </c>
      <c r="N53" s="151">
        <f>'2022'!L53</f>
        <v>1339959.2899999917</v>
      </c>
      <c r="O53" s="151">
        <f>'2022'!L127</f>
        <v>-12883598.418680429</v>
      </c>
      <c r="P53" s="320">
        <f>N53-O53</f>
        <v>14223557.708680421</v>
      </c>
      <c r="Q53" s="286">
        <f t="shared" si="3"/>
        <v>-1.104005049401193</v>
      </c>
      <c r="R53" s="151">
        <f>'2021'!L53</f>
        <v>3011570.1600000262</v>
      </c>
      <c r="S53" s="288">
        <f t="shared" si="4"/>
        <v>-1671610.8700000346</v>
      </c>
      <c r="T53" s="286">
        <f t="shared" si="5"/>
        <v>-0.55506290114125045</v>
      </c>
    </row>
    <row r="54" spans="1:23" ht="15.7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151">
        <f>'2022'!S54</f>
        <v>6058548.7400001166</v>
      </c>
      <c r="H54" s="151">
        <f>SUM('2022'!G128:L128)</f>
        <v>-165305937.68686453</v>
      </c>
      <c r="I54" s="206">
        <f t="shared" si="0"/>
        <v>171364486.42686465</v>
      </c>
      <c r="J54" s="208">
        <f t="shared" si="1"/>
        <v>-1.0366505209962675</v>
      </c>
      <c r="K54" s="151">
        <f>SUM('2021'!G54:L54)</f>
        <v>-100807684.80999994</v>
      </c>
      <c r="L54" s="206">
        <f t="shared" si="7"/>
        <v>106866233.55000006</v>
      </c>
      <c r="M54" s="208">
        <f t="shared" si="2"/>
        <v>-1.0601000682777224</v>
      </c>
      <c r="N54" s="151">
        <f>'2022'!L54</f>
        <v>2556758.3199999919</v>
      </c>
      <c r="O54" s="151">
        <f>'2022'!L128</f>
        <v>-7802261.6286804294</v>
      </c>
      <c r="P54" s="206">
        <f t="shared" si="6"/>
        <v>10359019.948680421</v>
      </c>
      <c r="Q54" s="208">
        <f t="shared" si="3"/>
        <v>-1.3276945123964534</v>
      </c>
      <c r="R54" s="151">
        <f>'2021'!L54</f>
        <v>8301624.5900000259</v>
      </c>
      <c r="S54" s="206">
        <f t="shared" si="4"/>
        <v>-5744866.270000034</v>
      </c>
      <c r="T54" s="208">
        <f t="shared" si="5"/>
        <v>-0.69201711155671708</v>
      </c>
    </row>
    <row r="55" spans="1:23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491">
        <f>'2022'!S55</f>
        <v>162496331.44</v>
      </c>
      <c r="H55" s="491">
        <f>SUM('2022'!G129:L129)</f>
        <v>159936917.88999999</v>
      </c>
      <c r="I55" s="492">
        <f t="shared" si="0"/>
        <v>2559413.5500000119</v>
      </c>
      <c r="J55" s="493">
        <f t="shared" si="1"/>
        <v>1.6002643940908667E-2</v>
      </c>
      <c r="K55" s="491">
        <f>SUM('2021'!G55:L55)</f>
        <v>350558736.19000006</v>
      </c>
      <c r="L55" s="492">
        <f t="shared" si="7"/>
        <v>-188062404.75000006</v>
      </c>
      <c r="M55" s="493">
        <f t="shared" si="2"/>
        <v>-0.53646474994156679</v>
      </c>
      <c r="N55" s="491">
        <f>'2022'!L55</f>
        <v>11628176.57</v>
      </c>
      <c r="O55" s="491">
        <f>'2022'!L129</f>
        <v>35886748.219999999</v>
      </c>
      <c r="P55" s="492">
        <f t="shared" si="6"/>
        <v>-24258571.649999999</v>
      </c>
      <c r="Q55" s="493">
        <f t="shared" si="3"/>
        <v>-0.67597575297949353</v>
      </c>
      <c r="R55" s="491">
        <f>'2021'!L55</f>
        <v>15052883.600000001</v>
      </c>
      <c r="S55" s="492">
        <f t="shared" si="4"/>
        <v>-3424707.0300000012</v>
      </c>
      <c r="T55" s="493">
        <f t="shared" si="5"/>
        <v>-0.22751169284269235</v>
      </c>
    </row>
    <row r="56" spans="1:23">
      <c r="A56" s="144">
        <v>4611</v>
      </c>
      <c r="B56" s="513" t="str">
        <f>+VLOOKUP($A56,Master!$D$29:$G$225,4,FALSE)</f>
        <v>Otplata hartija od vrijednosti i kredita rezidentima</v>
      </c>
      <c r="C56" s="514"/>
      <c r="D56" s="514"/>
      <c r="E56" s="514"/>
      <c r="F56" s="514"/>
      <c r="G56" s="163">
        <f>'2022'!S56</f>
        <v>21982894.329999998</v>
      </c>
      <c r="H56" s="163">
        <f>SUM('2022'!G130:L130)</f>
        <v>20199023.789999999</v>
      </c>
      <c r="I56" s="212">
        <f t="shared" si="0"/>
        <v>1783870.5399999991</v>
      </c>
      <c r="J56" s="214">
        <f t="shared" si="1"/>
        <v>8.83146907764496E-2</v>
      </c>
      <c r="K56" s="163">
        <f>SUM('2021'!G56:L56)</f>
        <v>65871478.150000006</v>
      </c>
      <c r="L56" s="212">
        <f t="shared" si="7"/>
        <v>-43888583.820000008</v>
      </c>
      <c r="M56" s="214">
        <f t="shared" si="2"/>
        <v>-0.6662759824526574</v>
      </c>
      <c r="N56" s="163">
        <f>'2022'!L56</f>
        <v>713784.35</v>
      </c>
      <c r="O56" s="163">
        <f>'2022'!L130</f>
        <v>713784.35</v>
      </c>
      <c r="P56" s="212">
        <f t="shared" si="6"/>
        <v>0</v>
      </c>
      <c r="Q56" s="214">
        <f t="shared" si="3"/>
        <v>0</v>
      </c>
      <c r="R56" s="163">
        <f>'2021'!L56</f>
        <v>3255507.63</v>
      </c>
      <c r="S56" s="212">
        <f t="shared" si="4"/>
        <v>-2541723.2799999998</v>
      </c>
      <c r="T56" s="214">
        <f t="shared" si="5"/>
        <v>-0.78074560679189686</v>
      </c>
    </row>
    <row r="57" spans="1:23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163">
        <f>'2022'!S57</f>
        <v>140513437.11000001</v>
      </c>
      <c r="H57" s="163">
        <f>SUM('2022'!G131:L131)</f>
        <v>139737894.09999999</v>
      </c>
      <c r="I57" s="212">
        <f t="shared" si="0"/>
        <v>775543.01000002027</v>
      </c>
      <c r="J57" s="214">
        <f t="shared" si="1"/>
        <v>5.5499835244763318E-3</v>
      </c>
      <c r="K57" s="163">
        <f>SUM('2021'!G57:L57)</f>
        <v>284687258.04000002</v>
      </c>
      <c r="L57" s="212">
        <f t="shared" si="7"/>
        <v>-144173820.93000001</v>
      </c>
      <c r="M57" s="214">
        <f t="shared" si="2"/>
        <v>-0.50642878055941254</v>
      </c>
      <c r="N57" s="163">
        <f>'2022'!L57</f>
        <v>10914392.220000001</v>
      </c>
      <c r="O57" s="163">
        <f>'2022'!L131</f>
        <v>35172963.869999997</v>
      </c>
      <c r="P57" s="212">
        <f t="shared" si="6"/>
        <v>-24258571.649999999</v>
      </c>
      <c r="Q57" s="214">
        <f t="shared" si="3"/>
        <v>-0.68969370166415822</v>
      </c>
      <c r="R57" s="163">
        <f>'2021'!L57</f>
        <v>11797375.970000001</v>
      </c>
      <c r="S57" s="212">
        <f t="shared" si="4"/>
        <v>-882983.75</v>
      </c>
      <c r="T57" s="214">
        <f t="shared" si="5"/>
        <v>-7.4845775216910382E-2</v>
      </c>
    </row>
    <row r="58" spans="1:23" ht="15.75" thickBot="1">
      <c r="A58" s="144">
        <v>4418</v>
      </c>
      <c r="B58" s="541" t="str">
        <f>+VLOOKUP($A58,Master!$D$29:$G$225,4,FALSE)</f>
        <v>Izdaci za kupovinu hartija od vrijednosti</v>
      </c>
      <c r="C58" s="542"/>
      <c r="D58" s="542"/>
      <c r="E58" s="542"/>
      <c r="F58" s="542"/>
      <c r="G58" s="335">
        <f>'2022'!S58</f>
        <v>0</v>
      </c>
      <c r="H58" s="335">
        <f>SUM('2022'!G132:L132)</f>
        <v>285540.01999999996</v>
      </c>
      <c r="I58" s="336">
        <f t="shared" ref="I58:I64" si="9">+G58-H58</f>
        <v>-285540.01999999996</v>
      </c>
      <c r="J58" s="337">
        <f t="shared" si="1"/>
        <v>-1</v>
      </c>
      <c r="K58" s="335">
        <f>SUM('2021'!G58:L58)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'2022'!L58</f>
        <v>0</v>
      </c>
      <c r="O58" s="335">
        <f>'2022'!L132</f>
        <v>48116.67</v>
      </c>
      <c r="P58" s="336">
        <f t="shared" ref="P58:P64" si="11">+N58-O58</f>
        <v>-48116.67</v>
      </c>
      <c r="Q58" s="337">
        <f t="shared" si="3"/>
        <v>-1</v>
      </c>
      <c r="R58" s="335">
        <f>'2021'!L58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319">
        <f>'2022'!S59</f>
        <v>-195512865.57999989</v>
      </c>
      <c r="H59" s="319">
        <f>SUM('2022'!G133:L133)</f>
        <v>-365924041.96686447</v>
      </c>
      <c r="I59" s="321">
        <f t="shared" si="9"/>
        <v>170411176.38686457</v>
      </c>
      <c r="J59" s="322">
        <f t="shared" si="1"/>
        <v>-0.4657009565998832</v>
      </c>
      <c r="K59" s="319">
        <f>SUM('2021'!G59:L59)</f>
        <v>-510454946.25</v>
      </c>
      <c r="L59" s="321">
        <f t="shared" si="10"/>
        <v>314942080.67000008</v>
      </c>
      <c r="M59" s="322">
        <f t="shared" si="2"/>
        <v>-0.61698311081847046</v>
      </c>
      <c r="N59" s="319">
        <f>'2022'!L59</f>
        <v>-10288217.280000009</v>
      </c>
      <c r="O59" s="319">
        <f>'2022'!L133</f>
        <v>-48818463.30868043</v>
      </c>
      <c r="P59" s="321">
        <f t="shared" si="11"/>
        <v>38530246.028680421</v>
      </c>
      <c r="Q59" s="322">
        <f t="shared" si="3"/>
        <v>-0.78925560981001519</v>
      </c>
      <c r="R59" s="319">
        <f>'2021'!L59</f>
        <v>-12041313.439999975</v>
      </c>
      <c r="S59" s="321">
        <f t="shared" si="12"/>
        <v>1753096.1599999666</v>
      </c>
      <c r="T59" s="322">
        <f t="shared" si="5"/>
        <v>-0.14559011097380503</v>
      </c>
    </row>
    <row r="60" spans="1:23" ht="15.7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'2022'!S60</f>
        <v>195512865.57999989</v>
      </c>
      <c r="H60" s="151">
        <f>SUM('2022'!G134:L134)</f>
        <v>365924041.96686447</v>
      </c>
      <c r="I60" s="320">
        <f t="shared" si="9"/>
        <v>-170411176.38686457</v>
      </c>
      <c r="J60" s="323">
        <f t="shared" si="1"/>
        <v>-0.4657009565998832</v>
      </c>
      <c r="K60" s="151">
        <f>SUM('2021'!G60:L60)</f>
        <v>510454946.25</v>
      </c>
      <c r="L60" s="320">
        <f t="shared" si="10"/>
        <v>-314942080.67000008</v>
      </c>
      <c r="M60" s="323">
        <f t="shared" si="2"/>
        <v>-0.61698311081847046</v>
      </c>
      <c r="N60" s="151">
        <f>'2022'!L60</f>
        <v>10288217.280000009</v>
      </c>
      <c r="O60" s="151">
        <f>'2022'!L134</f>
        <v>48818463.30868043</v>
      </c>
      <c r="P60" s="320">
        <f t="shared" si="11"/>
        <v>-38530246.028680421</v>
      </c>
      <c r="Q60" s="323">
        <f t="shared" si="3"/>
        <v>-0.78925560981001519</v>
      </c>
      <c r="R60" s="151">
        <f>'2021'!L60</f>
        <v>12041313.439999975</v>
      </c>
      <c r="S60" s="320">
        <f t="shared" si="12"/>
        <v>-1753096.1599999666</v>
      </c>
      <c r="T60" s="323">
        <f t="shared" si="5"/>
        <v>-0.14559011097380503</v>
      </c>
    </row>
    <row r="61" spans="1:23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483">
        <f>'2022'!S61</f>
        <v>0</v>
      </c>
      <c r="H61" s="483">
        <f>SUM('2022'!G135:L135)</f>
        <v>0</v>
      </c>
      <c r="I61" s="212">
        <f t="shared" si="9"/>
        <v>0</v>
      </c>
      <c r="J61" s="214" t="str">
        <f t="shared" si="1"/>
        <v>...</v>
      </c>
      <c r="K61" s="483">
        <f>SUM('2021'!G61:L61)</f>
        <v>0</v>
      </c>
      <c r="L61" s="212">
        <f t="shared" si="10"/>
        <v>0</v>
      </c>
      <c r="M61" s="214" t="str">
        <f t="shared" si="2"/>
        <v>...</v>
      </c>
      <c r="N61" s="483">
        <f>'2022'!L61</f>
        <v>0</v>
      </c>
      <c r="O61" s="483">
        <f>'2022'!L135</f>
        <v>0</v>
      </c>
      <c r="P61" s="212">
        <f t="shared" si="11"/>
        <v>0</v>
      </c>
      <c r="Q61" s="214" t="str">
        <f t="shared" si="3"/>
        <v>...</v>
      </c>
      <c r="R61" s="483">
        <f>'2021'!L61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163">
        <f>'2022'!S62</f>
        <v>53829536.350000001</v>
      </c>
      <c r="H62" s="163">
        <f>SUM('2022'!G136:L136)</f>
        <v>77474726.832000002</v>
      </c>
      <c r="I62" s="212">
        <f t="shared" si="9"/>
        <v>-23645190.482000001</v>
      </c>
      <c r="J62" s="214">
        <f t="shared" si="1"/>
        <v>-0.30519875898721649</v>
      </c>
      <c r="K62" s="163">
        <f>SUM('2021'!G62:L62)</f>
        <v>66711405.730000004</v>
      </c>
      <c r="L62" s="212">
        <f t="shared" si="10"/>
        <v>-12881869.380000003</v>
      </c>
      <c r="M62" s="214">
        <f t="shared" si="2"/>
        <v>-0.19309845503985612</v>
      </c>
      <c r="N62" s="163">
        <f>'2022'!L62</f>
        <v>12964839.459999999</v>
      </c>
      <c r="O62" s="163">
        <f>'2022'!L136</f>
        <v>15689404.472000001</v>
      </c>
      <c r="P62" s="212">
        <f t="shared" si="11"/>
        <v>-2724565.012000002</v>
      </c>
      <c r="Q62" s="214">
        <f t="shared" si="3"/>
        <v>-0.17365636897578751</v>
      </c>
      <c r="R62" s="163">
        <f>'2021'!L62</f>
        <v>34345894.609999999</v>
      </c>
      <c r="S62" s="212">
        <f t="shared" si="12"/>
        <v>-21381055.149999999</v>
      </c>
      <c r="T62" s="214">
        <f t="shared" si="5"/>
        <v>-0.62252142192781279</v>
      </c>
    </row>
    <row r="63" spans="1:23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163">
        <f>'2022'!S63</f>
        <v>2183668.0499999998</v>
      </c>
      <c r="H63" s="163">
        <f>SUM('2022'!G137:L137)</f>
        <v>3000000</v>
      </c>
      <c r="I63" s="212">
        <f t="shared" si="9"/>
        <v>-816331.95000000019</v>
      </c>
      <c r="J63" s="214">
        <f t="shared" si="1"/>
        <v>-0.27211065000000001</v>
      </c>
      <c r="K63" s="163">
        <f>SUM('2021'!G63:L63)</f>
        <v>669564.07000000007</v>
      </c>
      <c r="L63" s="212">
        <f t="shared" si="10"/>
        <v>1514103.9799999997</v>
      </c>
      <c r="M63" s="214" t="str">
        <f t="shared" si="2"/>
        <v>...</v>
      </c>
      <c r="N63" s="163">
        <f>'2022'!L63</f>
        <v>243495.38999999998</v>
      </c>
      <c r="O63" s="163">
        <f>'2022'!L137</f>
        <v>500000</v>
      </c>
      <c r="P63" s="212">
        <f t="shared" si="11"/>
        <v>-256504.61000000002</v>
      </c>
      <c r="Q63" s="214">
        <f t="shared" si="3"/>
        <v>-0.51300922000000004</v>
      </c>
      <c r="R63" s="163">
        <f>'2021'!L63</f>
        <v>216679.2</v>
      </c>
      <c r="S63" s="212">
        <f t="shared" si="12"/>
        <v>26816.189999999973</v>
      </c>
      <c r="T63" s="214">
        <f t="shared" si="5"/>
        <v>0.12375987173665015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139499661.17999989</v>
      </c>
      <c r="H64" s="317">
        <f>SUM('2022'!G138:L138)</f>
        <v>285449315.13486457</v>
      </c>
      <c r="I64" s="226">
        <f t="shared" si="9"/>
        <v>-145949653.95486468</v>
      </c>
      <c r="J64" s="228">
        <f t="shared" si="1"/>
        <v>-0.51129796505522773</v>
      </c>
      <c r="K64" s="317">
        <f>SUM('2021'!G64:L64)</f>
        <v>443073976.44999999</v>
      </c>
      <c r="L64" s="226">
        <f t="shared" si="10"/>
        <v>-303574315.2700001</v>
      </c>
      <c r="M64" s="228">
        <f t="shared" si="2"/>
        <v>-0.68515492086062035</v>
      </c>
      <c r="N64" s="317">
        <f>'2022'!L64</f>
        <v>-2920117.569999991</v>
      </c>
      <c r="O64" s="317">
        <f>'2022'!L138</f>
        <v>32629058.836680427</v>
      </c>
      <c r="P64" s="226">
        <f t="shared" si="11"/>
        <v>-35549176.40668042</v>
      </c>
      <c r="Q64" s="228">
        <f t="shared" si="3"/>
        <v>-1.0894943854990171</v>
      </c>
      <c r="R64" s="317">
        <f>'2021'!L64</f>
        <v>-22521260.370000027</v>
      </c>
      <c r="S64" s="226">
        <f t="shared" si="12"/>
        <v>19601142.800000034</v>
      </c>
      <c r="T64" s="228">
        <f t="shared" si="5"/>
        <v>-0.87033951377384711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RRYL0L5rYI+09DknbEAEL0vPenByO3NcdUYc/S6YG1UlrjK8341FLBsJG9NqyjcBWMgipxXr7a34e9UAXfbKLw==" saltValue="t8qXirc+yoMfs7drIwBYTw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3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16" t="str">
        <f>+Master!G251</f>
        <v>Ostvarenje budžeta</v>
      </c>
      <c r="C7" s="516"/>
      <c r="D7" s="516"/>
      <c r="E7" s="516"/>
      <c r="F7" s="516"/>
      <c r="G7" s="524">
        <v>2022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tr">
        <f>+Master!G248</f>
        <v>BDP</v>
      </c>
      <c r="T7" s="236">
        <v>5306400000</v>
      </c>
    </row>
    <row r="8" spans="1:20" ht="16.5" customHeight="1">
      <c r="A8" s="144"/>
      <c r="B8" s="517"/>
      <c r="C8" s="518"/>
      <c r="D8" s="518"/>
      <c r="E8" s="518"/>
      <c r="F8" s="51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4" t="str">
        <f>+Master!G246</f>
        <v>Jan - Dec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f>+G11+G19+SUM(G24:G28)</f>
        <v>107803954.11</v>
      </c>
      <c r="H10" s="151">
        <f t="shared" ref="H10:R10" si="1">+H11+H19+SUM(H24:H28)</f>
        <v>124618414.24000001</v>
      </c>
      <c r="I10" s="151">
        <f t="shared" si="1"/>
        <v>184136926.66000003</v>
      </c>
      <c r="J10" s="151">
        <f t="shared" si="1"/>
        <v>181994151.28</v>
      </c>
      <c r="K10" s="151">
        <f t="shared" si="1"/>
        <v>154730235.27000001</v>
      </c>
      <c r="L10" s="151">
        <f t="shared" si="1"/>
        <v>169061004.28000003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922344685.84000015</v>
      </c>
      <c r="T10" s="462">
        <f>+S10/$T$7*100</f>
        <v>17.381740649781399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662298981.97000015</v>
      </c>
      <c r="T11" s="463">
        <f t="shared" ref="T11:T64" si="3">+S11/$T$7*100</f>
        <v>12.481135646954623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44026278.759999998</v>
      </c>
      <c r="T12" s="464">
        <f t="shared" si="3"/>
        <v>0.82968262400120607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75194080.169999987</v>
      </c>
      <c r="T13" s="464">
        <f t="shared" si="3"/>
        <v>1.4170450808457709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1246284.6100000001</v>
      </c>
      <c r="T14" s="464">
        <f t="shared" si="3"/>
        <v>2.3486442974521335E-2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v>50270008.859999999</v>
      </c>
      <c r="H15" s="163">
        <v>54121445.459999993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401051714.55000007</v>
      </c>
      <c r="T15" s="464">
        <f t="shared" si="3"/>
        <v>7.5578869770465866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v>21096875.200000003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117742127.37</v>
      </c>
      <c r="T16" s="464">
        <f t="shared" si="3"/>
        <v>2.2188701826096788</v>
      </c>
    </row>
    <row r="17" spans="1:23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17349262.68</v>
      </c>
      <c r="T17" s="464">
        <f t="shared" si="3"/>
        <v>0.32694977159656263</v>
      </c>
    </row>
    <row r="18" spans="1:23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v>821034.23</v>
      </c>
      <c r="H18" s="163">
        <v>868952.95</v>
      </c>
      <c r="I18" s="163">
        <v>953225.39999999991</v>
      </c>
      <c r="J18" s="163">
        <v>1052043.6399999999</v>
      </c>
      <c r="K18" s="163">
        <v>936044.49</v>
      </c>
      <c r="L18" s="163">
        <v>1057933.1200000001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5689233.8300000001</v>
      </c>
      <c r="T18" s="464">
        <f t="shared" si="3"/>
        <v>0.10721456788029549</v>
      </c>
    </row>
    <row r="19" spans="1:23">
      <c r="A19" s="150">
        <v>712</v>
      </c>
      <c r="B19" s="555" t="str">
        <f>+VLOOKUP($A19,Master!$D$29:$G$225,4,FALSE)</f>
        <v>Doprinosi</v>
      </c>
      <c r="C19" s="556"/>
      <c r="D19" s="556"/>
      <c r="E19" s="556"/>
      <c r="F19" s="556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192625168.97999996</v>
      </c>
      <c r="T19" s="465">
        <f t="shared" si="3"/>
        <v>3.6300536895070095</v>
      </c>
    </row>
    <row r="20" spans="1:23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160247207.20999998</v>
      </c>
      <c r="T20" s="464">
        <f t="shared" si="3"/>
        <v>3.0198855572516203</v>
      </c>
    </row>
    <row r="21" spans="1:23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19547115.169999998</v>
      </c>
      <c r="T21" s="464">
        <f t="shared" si="3"/>
        <v>0.3683686712271973</v>
      </c>
    </row>
    <row r="22" spans="1:23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7343843.0999999996</v>
      </c>
      <c r="T22" s="464">
        <f t="shared" si="3"/>
        <v>0.13839595771144278</v>
      </c>
    </row>
    <row r="23" spans="1:23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5487003.5</v>
      </c>
      <c r="T23" s="464">
        <f t="shared" si="3"/>
        <v>0.10340350331674959</v>
      </c>
      <c r="W23" s="305"/>
    </row>
    <row r="24" spans="1:23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v>606952.54999999993</v>
      </c>
      <c r="H24" s="175">
        <v>773951.60000000009</v>
      </c>
      <c r="I24" s="175">
        <v>932834.7</v>
      </c>
      <c r="J24" s="175">
        <v>1014885.97</v>
      </c>
      <c r="K24" s="175">
        <v>989967.52</v>
      </c>
      <c r="L24" s="175">
        <v>1292686.0099999998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5611278.3499999996</v>
      </c>
      <c r="T24" s="465">
        <f t="shared" si="3"/>
        <v>0.10574548375546508</v>
      </c>
      <c r="W24" s="305"/>
    </row>
    <row r="25" spans="1:23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27662396.659999996</v>
      </c>
      <c r="T25" s="465">
        <f t="shared" si="3"/>
        <v>0.52130251507613434</v>
      </c>
    </row>
    <row r="26" spans="1:23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v>1297684</v>
      </c>
      <c r="H26" s="175">
        <v>1589565.7000000002</v>
      </c>
      <c r="I26" s="175">
        <v>1733963.4699999997</v>
      </c>
      <c r="J26" s="175">
        <v>3432683.2699999996</v>
      </c>
      <c r="K26" s="175">
        <v>3422423.9499999997</v>
      </c>
      <c r="L26" s="175">
        <v>2748963.77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14225284.159999998</v>
      </c>
      <c r="T26" s="465">
        <f t="shared" si="3"/>
        <v>0.26807787124981153</v>
      </c>
    </row>
    <row r="27" spans="1:23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v>124509.95</v>
      </c>
      <c r="H27" s="175">
        <v>574574.7300000001</v>
      </c>
      <c r="I27" s="175">
        <v>672855.19000000006</v>
      </c>
      <c r="J27" s="175">
        <v>750452.36</v>
      </c>
      <c r="K27" s="175">
        <v>894295.88</v>
      </c>
      <c r="L27" s="175">
        <v>3753999.56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6770687.6699999999</v>
      </c>
      <c r="T27" s="465">
        <f t="shared" si="3"/>
        <v>0.1275947472862958</v>
      </c>
    </row>
    <row r="28" spans="1:23" ht="13.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v>944706.60000000009</v>
      </c>
      <c r="H28" s="175">
        <v>1121297.3199999998</v>
      </c>
      <c r="I28" s="175">
        <v>4945090.66</v>
      </c>
      <c r="J28" s="175">
        <v>2141352.37</v>
      </c>
      <c r="K28" s="175">
        <v>651019.70999999985</v>
      </c>
      <c r="L28" s="175">
        <v>3347421.3900000006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13150888.049999999</v>
      </c>
      <c r="T28" s="466">
        <f t="shared" si="3"/>
        <v>0.24783069595205789</v>
      </c>
    </row>
    <row r="29" spans="1:23" ht="13.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>+G30+G40+G46+SUM(G47:G51)</f>
        <v>135523250.90999997</v>
      </c>
      <c r="H29" s="151">
        <f t="shared" ref="H29:R29" si="6">+H30+H40+H46+SUM(H47:H51)</f>
        <v>150834660.31000003</v>
      </c>
      <c r="I29" s="151">
        <f t="shared" si="6"/>
        <v>152232327.91999999</v>
      </c>
      <c r="J29" s="151">
        <f t="shared" si="6"/>
        <v>202774694.09999993</v>
      </c>
      <c r="K29" s="151">
        <f t="shared" si="6"/>
        <v>146275241.75</v>
      </c>
      <c r="L29" s="151">
        <f t="shared" si="6"/>
        <v>167721044.99000004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955361219.9799999</v>
      </c>
      <c r="T29" s="467">
        <f t="shared" si="3"/>
        <v>18.003942785692747</v>
      </c>
    </row>
    <row r="30" spans="1:23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187">
        <f t="shared" ref="G30:R30" si="7">+SUM(G31:G39)</f>
        <v>50898622.749999978</v>
      </c>
      <c r="H30" s="187">
        <f t="shared" si="7"/>
        <v>61674587.550000019</v>
      </c>
      <c r="I30" s="187">
        <f t="shared" si="7"/>
        <v>59814606.18</v>
      </c>
      <c r="J30" s="187">
        <f t="shared" si="7"/>
        <v>96816434.329999983</v>
      </c>
      <c r="K30" s="187">
        <f t="shared" si="7"/>
        <v>58712954.390000008</v>
      </c>
      <c r="L30" s="187">
        <f t="shared" si="7"/>
        <v>71887959.380000025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399805164.57999992</v>
      </c>
      <c r="T30" s="463">
        <f t="shared" si="3"/>
        <v>7.5343955333182553</v>
      </c>
      <c r="U30" s="242"/>
    </row>
    <row r="31" spans="1:23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v>44240125.009999976</v>
      </c>
      <c r="H31" s="163">
        <v>44550830.430000015</v>
      </c>
      <c r="I31" s="163">
        <v>40375934.010000005</v>
      </c>
      <c r="J31" s="163">
        <v>46977114.019999973</v>
      </c>
      <c r="K31" s="163">
        <v>41754372.079999998</v>
      </c>
      <c r="L31" s="163">
        <v>47101971.300000019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265000346.84999996</v>
      </c>
      <c r="T31" s="464">
        <f t="shared" si="3"/>
        <v>4.9939760826549069</v>
      </c>
      <c r="U31" s="242"/>
    </row>
    <row r="32" spans="1:23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v>137001.32999999999</v>
      </c>
      <c r="H32" s="163">
        <v>1212395.8599999999</v>
      </c>
      <c r="I32" s="163">
        <v>946225.55000000028</v>
      </c>
      <c r="J32" s="163">
        <v>1448549.91</v>
      </c>
      <c r="K32" s="163">
        <v>1078145.3399999999</v>
      </c>
      <c r="L32" s="163">
        <v>2203226.2300000004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7025544.2200000007</v>
      </c>
      <c r="T32" s="464">
        <f t="shared" si="3"/>
        <v>0.1323975618121514</v>
      </c>
      <c r="U32" s="457"/>
    </row>
    <row r="33" spans="1:21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v>140825.03</v>
      </c>
      <c r="H33" s="163">
        <v>3489117.8199999994</v>
      </c>
      <c r="I33" s="163">
        <v>2628375.6700000009</v>
      </c>
      <c r="J33" s="163">
        <v>2038640.9</v>
      </c>
      <c r="K33" s="163">
        <v>1012773.5900000001</v>
      </c>
      <c r="L33" s="163">
        <v>4898276.6399999997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14208009.649999999</v>
      </c>
      <c r="T33" s="464">
        <f t="shared" si="3"/>
        <v>0.26775233020503542</v>
      </c>
      <c r="U33" s="457"/>
    </row>
    <row r="34" spans="1:21" s="361" customFormat="1">
      <c r="A34" s="360">
        <v>414</v>
      </c>
      <c r="B34" s="614" t="str">
        <f>+VLOOKUP($A34,Master!$D$29:$G$225,4,FALSE)</f>
        <v>Rashodi za usluge</v>
      </c>
      <c r="C34" s="615"/>
      <c r="D34" s="615"/>
      <c r="E34" s="615"/>
      <c r="F34" s="615"/>
      <c r="G34" s="163">
        <v>1088181.68</v>
      </c>
      <c r="H34" s="163">
        <v>2912682.95</v>
      </c>
      <c r="I34" s="163">
        <v>4471821.08</v>
      </c>
      <c r="J34" s="163">
        <v>6152905.290000001</v>
      </c>
      <c r="K34" s="163">
        <v>2627348.3200000003</v>
      </c>
      <c r="L34" s="163">
        <v>5667935.04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22920874.359999999</v>
      </c>
      <c r="T34" s="464">
        <f t="shared" si="3"/>
        <v>0.43194773028795413</v>
      </c>
      <c r="U34" s="457"/>
    </row>
    <row r="35" spans="1:21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v>51153.01999999999</v>
      </c>
      <c r="H35" s="163">
        <v>1786959.03</v>
      </c>
      <c r="I35" s="163">
        <v>1812618.69</v>
      </c>
      <c r="J35" s="163">
        <v>1718005.5900000003</v>
      </c>
      <c r="K35" s="163">
        <v>1522624.21</v>
      </c>
      <c r="L35" s="163">
        <v>1758456.5100000002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8649817.0500000007</v>
      </c>
      <c r="T35" s="464">
        <f t="shared" si="3"/>
        <v>0.16300725633197649</v>
      </c>
      <c r="U35" s="457"/>
    </row>
    <row r="36" spans="1:21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39075082.880000003</v>
      </c>
      <c r="T36" s="464">
        <f t="shared" si="3"/>
        <v>0.73637650535202781</v>
      </c>
      <c r="U36" s="457"/>
    </row>
    <row r="37" spans="1:21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v>222069.03999999998</v>
      </c>
      <c r="H37" s="163">
        <v>743329.49000000022</v>
      </c>
      <c r="I37" s="163">
        <v>821318.40000000014</v>
      </c>
      <c r="J37" s="163">
        <v>1247632.42</v>
      </c>
      <c r="K37" s="163">
        <v>498993.7</v>
      </c>
      <c r="L37" s="163">
        <v>995508.2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4528851.2500000009</v>
      </c>
      <c r="T37" s="464">
        <f t="shared" si="3"/>
        <v>8.5346963101160883E-2</v>
      </c>
      <c r="U37" s="457"/>
    </row>
    <row r="38" spans="1:21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v>511006.04000000004</v>
      </c>
      <c r="H38" s="163">
        <v>2686343.5</v>
      </c>
      <c r="I38" s="163">
        <v>4730535.6000000006</v>
      </c>
      <c r="J38" s="163">
        <v>6972651.8400000008</v>
      </c>
      <c r="K38" s="163">
        <v>2647649.44</v>
      </c>
      <c r="L38" s="163">
        <v>3319529.0100000002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20867715.430000003</v>
      </c>
      <c r="T38" s="464">
        <f t="shared" si="3"/>
        <v>0.39325560511834767</v>
      </c>
      <c r="U38" s="457"/>
    </row>
    <row r="39" spans="1:21" s="361" customFormat="1">
      <c r="A39" s="360">
        <v>419</v>
      </c>
      <c r="B39" s="614" t="str">
        <f>+VLOOKUP($A39,Master!$D$29:$G$225,4,FALSE)</f>
        <v>Ostali izdaci</v>
      </c>
      <c r="C39" s="615"/>
      <c r="D39" s="615"/>
      <c r="E39" s="615"/>
      <c r="F39" s="615"/>
      <c r="G39" s="163">
        <v>653499.35000000009</v>
      </c>
      <c r="H39" s="163">
        <v>3022584.2800000003</v>
      </c>
      <c r="I39" s="163">
        <v>3078694.62</v>
      </c>
      <c r="J39" s="163">
        <v>3065313.290000001</v>
      </c>
      <c r="K39" s="163">
        <v>2982573.9299999988</v>
      </c>
      <c r="L39" s="163">
        <v>4726257.419999999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17528922.889999997</v>
      </c>
      <c r="T39" s="464">
        <f t="shared" si="3"/>
        <v>0.33033549845469612</v>
      </c>
      <c r="U39" s="457"/>
    </row>
    <row r="40" spans="1:21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+SUM(G41:G45)</f>
        <v>43461857.61999999</v>
      </c>
      <c r="H40" s="193">
        <f t="shared" ref="H40:R40" si="8">+SUM(H41:H45)</f>
        <v>49030666.979999997</v>
      </c>
      <c r="I40" s="193">
        <f t="shared" si="8"/>
        <v>50290726.349999994</v>
      </c>
      <c r="J40" s="193">
        <f t="shared" si="8"/>
        <v>49190467.409999959</v>
      </c>
      <c r="K40" s="193">
        <f t="shared" si="8"/>
        <v>51083547.040000007</v>
      </c>
      <c r="L40" s="193">
        <f t="shared" si="8"/>
        <v>53833353.830000021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296890619.23000002</v>
      </c>
      <c r="T40" s="490">
        <f t="shared" si="3"/>
        <v>5.5949536263756974</v>
      </c>
      <c r="U40" s="242"/>
    </row>
    <row r="41" spans="1:21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v>8200110.4000000004</v>
      </c>
      <c r="H41" s="163">
        <v>8172331.5999999987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57407134.149999999</v>
      </c>
      <c r="T41" s="464">
        <f t="shared" si="3"/>
        <v>1.0818470931328208</v>
      </c>
      <c r="U41" s="457"/>
    </row>
    <row r="42" spans="1:21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12003465.699999999</v>
      </c>
      <c r="T42" s="464">
        <f t="shared" si="3"/>
        <v>0.22620732888587364</v>
      </c>
      <c r="U42" s="457"/>
    </row>
    <row r="43" spans="1:21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v>35149513.419999994</v>
      </c>
      <c r="H43" s="163">
        <v>36354430.68999999</v>
      </c>
      <c r="I43" s="163">
        <v>36069832.589999996</v>
      </c>
      <c r="J43" s="502">
        <v>36181040.329999961</v>
      </c>
      <c r="K43" s="163">
        <v>35168591.790000007</v>
      </c>
      <c r="L43" s="163">
        <v>37914418.51000002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216837827.32999995</v>
      </c>
      <c r="T43" s="464">
        <f t="shared" si="3"/>
        <v>4.086345306233981</v>
      </c>
      <c r="U43" s="457"/>
    </row>
    <row r="44" spans="1:21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v>103430</v>
      </c>
      <c r="H44" s="163">
        <v>1069904.71</v>
      </c>
      <c r="I44" s="163">
        <v>1609138.94</v>
      </c>
      <c r="J44" s="163">
        <v>1402883.74</v>
      </c>
      <c r="K44" s="163">
        <v>659345.03</v>
      </c>
      <c r="L44" s="163">
        <v>804103.22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5648805.6399999997</v>
      </c>
      <c r="T44" s="464">
        <f t="shared" si="3"/>
        <v>0.10645269184381123</v>
      </c>
      <c r="U44" s="457"/>
    </row>
    <row r="45" spans="1:21" s="361" customFormat="1">
      <c r="A45" s="360">
        <v>425</v>
      </c>
      <c r="B45" s="610" t="str">
        <f>+VLOOKUP($A45,Master!$D$29:$G$225,4,FALSE)</f>
        <v>Ostala prava iz zdravstvenog osiguranja</v>
      </c>
      <c r="C45" s="611"/>
      <c r="D45" s="611"/>
      <c r="E45" s="611"/>
      <c r="F45" s="611"/>
      <c r="G45" s="163">
        <v>8803.7999999999993</v>
      </c>
      <c r="H45" s="163">
        <v>935570.06</v>
      </c>
      <c r="I45" s="163">
        <v>1565923.96</v>
      </c>
      <c r="J45" s="163">
        <v>590306.91</v>
      </c>
      <c r="K45" s="163">
        <v>1090893.03</v>
      </c>
      <c r="L45" s="163">
        <v>801888.65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4993386.4100000011</v>
      </c>
      <c r="T45" s="464">
        <f t="shared" si="3"/>
        <v>9.4101206279210023E-2</v>
      </c>
      <c r="U45" s="457"/>
    </row>
    <row r="46" spans="1:21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v>7351440.8700000001</v>
      </c>
      <c r="H46" s="175">
        <v>23788257.169999998</v>
      </c>
      <c r="I46" s="175">
        <v>30704364.970000006</v>
      </c>
      <c r="J46" s="175">
        <v>28731832.689999998</v>
      </c>
      <c r="K46" s="175">
        <v>16386723.549999999</v>
      </c>
      <c r="L46" s="175">
        <v>26579249.149999995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133541868.39999999</v>
      </c>
      <c r="T46" s="465">
        <f t="shared" si="3"/>
        <v>2.5166189582391074</v>
      </c>
      <c r="U46" s="481"/>
    </row>
    <row r="47" spans="1:21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v>16016474.34</v>
      </c>
      <c r="H47" s="175">
        <v>11650538.710000003</v>
      </c>
      <c r="I47" s="175">
        <v>7995861.7599999998</v>
      </c>
      <c r="J47" s="175">
        <v>25620437.929999996</v>
      </c>
      <c r="K47" s="175">
        <v>18640717.440000001</v>
      </c>
      <c r="L47" s="175">
        <v>11312535.829999998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91236566.00999999</v>
      </c>
      <c r="T47" s="465">
        <f t="shared" si="3"/>
        <v>1.719368423224785</v>
      </c>
      <c r="U47" s="481"/>
    </row>
    <row r="48" spans="1:21">
      <c r="A48" s="150">
        <v>451</v>
      </c>
      <c r="B48" s="612" t="str">
        <f>+VLOOKUP($A48,Master!$D$29:$G$225,4,FALSE)</f>
        <v>Pozajmice i krediti</v>
      </c>
      <c r="C48" s="613"/>
      <c r="D48" s="613"/>
      <c r="E48" s="613"/>
      <c r="F48" s="613"/>
      <c r="G48" s="163">
        <v>0</v>
      </c>
      <c r="H48" s="163">
        <v>248510</v>
      </c>
      <c r="I48" s="163">
        <v>1730</v>
      </c>
      <c r="J48" s="163">
        <v>302436</v>
      </c>
      <c r="K48" s="163">
        <v>260378</v>
      </c>
      <c r="L48" s="163">
        <v>700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813754</v>
      </c>
      <c r="T48" s="464">
        <f t="shared" si="3"/>
        <v>1.5335330921151816E-2</v>
      </c>
      <c r="U48" s="481"/>
    </row>
    <row r="49" spans="1:21" s="361" customFormat="1">
      <c r="A49" s="360">
        <v>47</v>
      </c>
      <c r="B49" s="604" t="str">
        <f>+VLOOKUP($A49,Master!$D$29:$G$225,4,FALSE)</f>
        <v>Rezerve</v>
      </c>
      <c r="C49" s="605"/>
      <c r="D49" s="605"/>
      <c r="E49" s="605"/>
      <c r="F49" s="605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5424960.2899999991</v>
      </c>
      <c r="T49" s="464">
        <f t="shared" si="3"/>
        <v>0.10223428859490426</v>
      </c>
      <c r="U49" s="481"/>
    </row>
    <row r="50" spans="1:21" ht="13.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9.4225840494497216E-3</v>
      </c>
      <c r="U50" s="481"/>
    </row>
    <row r="51" spans="1:21" ht="13.5" thickBot="1">
      <c r="A51" s="144">
        <v>4630</v>
      </c>
      <c r="B51" s="606" t="str">
        <f>+VLOOKUP($A51,Master!$D$29:$G$225,4,TRUE)</f>
        <v>Otplata obaveza iz prethodnog perioda</v>
      </c>
      <c r="C51" s="607"/>
      <c r="D51" s="607"/>
      <c r="E51" s="607"/>
      <c r="F51" s="607"/>
      <c r="G51" s="458">
        <v>17529055.329999998</v>
      </c>
      <c r="H51" s="458">
        <v>3946389.9</v>
      </c>
      <c r="I51" s="458">
        <v>2323374.4</v>
      </c>
      <c r="J51" s="458">
        <v>1211885.74</v>
      </c>
      <c r="K51" s="458">
        <v>1145121.3300000003</v>
      </c>
      <c r="L51" s="458">
        <v>992460.77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27148287.469999995</v>
      </c>
      <c r="T51" s="468">
        <f t="shared" si="3"/>
        <v>0.51161404096939533</v>
      </c>
      <c r="U51" s="481"/>
    </row>
    <row r="52" spans="1:21" ht="13.5" thickBot="1">
      <c r="A52" s="70">
        <v>1005</v>
      </c>
      <c r="B52" s="608" t="str">
        <f>+VLOOKUP($A52,Master!$D$29:$G$227,4,FALSE)</f>
        <v>Neto povećanje obaveza</v>
      </c>
      <c r="C52" s="609"/>
      <c r="D52" s="609"/>
      <c r="E52" s="609"/>
      <c r="F52" s="609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 t="shared" ref="G53:R53" si="9">+G10-G29</f>
        <v>-27719296.799999967</v>
      </c>
      <c r="H53" s="151">
        <f t="shared" si="9"/>
        <v>-26216246.070000023</v>
      </c>
      <c r="I53" s="151">
        <f t="shared" si="9"/>
        <v>31904598.740000039</v>
      </c>
      <c r="J53" s="151">
        <f t="shared" si="9"/>
        <v>-20780542.819999933</v>
      </c>
      <c r="K53" s="151">
        <f t="shared" si="9"/>
        <v>8454993.5200000107</v>
      </c>
      <c r="L53" s="151">
        <f t="shared" si="9"/>
        <v>1339959.2899999917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-33016534.139999881</v>
      </c>
      <c r="T53" s="470">
        <f t="shared" si="3"/>
        <v>-0.6222021359113501</v>
      </c>
      <c r="U53" s="509"/>
    </row>
    <row r="54" spans="1:21" ht="13.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205">
        <f t="shared" ref="G54:R54" si="10">+G53+G36</f>
        <v>-23864534.549999967</v>
      </c>
      <c r="H54" s="205">
        <f t="shared" si="10"/>
        <v>-24945901.880000021</v>
      </c>
      <c r="I54" s="205">
        <f t="shared" si="10"/>
        <v>32853681.300000038</v>
      </c>
      <c r="J54" s="205">
        <f t="shared" si="10"/>
        <v>6415078.2500000671</v>
      </c>
      <c r="K54" s="205">
        <f t="shared" si="10"/>
        <v>13043467.300000012</v>
      </c>
      <c r="L54" s="205">
        <f t="shared" si="10"/>
        <v>2556758.3199999919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6058548.7400001166</v>
      </c>
      <c r="T54" s="470">
        <f t="shared" si="3"/>
        <v>0.11417436944067762</v>
      </c>
    </row>
    <row r="55" spans="1:21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162496331.44</v>
      </c>
      <c r="T55" s="471">
        <f t="shared" si="3"/>
        <v>3.0622706814412783</v>
      </c>
    </row>
    <row r="56" spans="1:21">
      <c r="A56" s="144">
        <v>4611</v>
      </c>
      <c r="B56" s="529" t="str">
        <f>+VLOOKUP($A56,Master!$D$29:$G$225,4,FALSE)</f>
        <v>Otplata hartija od vrijednosti i kredita rezidentima</v>
      </c>
      <c r="C56" s="530"/>
      <c r="D56" s="530"/>
      <c r="E56" s="530"/>
      <c r="F56" s="530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21982894.329999998</v>
      </c>
      <c r="T56" s="472">
        <f t="shared" si="3"/>
        <v>0.41427133894919338</v>
      </c>
    </row>
    <row r="57" spans="1:21" ht="13.5" thickBot="1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140513437.11000001</v>
      </c>
      <c r="T57" s="472">
        <f t="shared" si="3"/>
        <v>2.6479993424920854</v>
      </c>
    </row>
    <row r="58" spans="1:21" ht="13.5" thickBot="1">
      <c r="A58" s="144">
        <v>4418</v>
      </c>
      <c r="B58" s="551" t="str">
        <f>+VLOOKUP($A58,Master!$D$29:$G$225,4,FALSE)</f>
        <v>Izdaci za kupovinu hartija od vrijednosti</v>
      </c>
      <c r="C58" s="552"/>
      <c r="D58" s="552"/>
      <c r="E58" s="552"/>
      <c r="F58" s="552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-56150555.769999966</v>
      </c>
      <c r="H59" s="217">
        <f t="shared" ref="H59:R59" si="12">+H53-H55-H58</f>
        <v>-40425247.200000025</v>
      </c>
      <c r="I59" s="217">
        <f t="shared" si="12"/>
        <v>20232915.750000037</v>
      </c>
      <c r="J59" s="217">
        <f t="shared" si="12"/>
        <v>-78254768.449999928</v>
      </c>
      <c r="K59" s="217">
        <f t="shared" si="12"/>
        <v>-30626992.629999988</v>
      </c>
      <c r="L59" s="217">
        <f t="shared" si="12"/>
        <v>-10288217.280000009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-195512865.57999989</v>
      </c>
      <c r="T59" s="474">
        <f t="shared" si="3"/>
        <v>-3.6844728173526291</v>
      </c>
    </row>
    <row r="60" spans="1:21" ht="13.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+SUM(G61:G64)</f>
        <v>56150555.769999966</v>
      </c>
      <c r="H60" s="151">
        <f t="shared" ref="H60:R60" si="13">+SUM(H61:H64)</f>
        <v>40425247.200000025</v>
      </c>
      <c r="I60" s="151">
        <f t="shared" si="13"/>
        <v>-20232915.750000037</v>
      </c>
      <c r="J60" s="151">
        <f t="shared" si="13"/>
        <v>78254768.449999928</v>
      </c>
      <c r="K60" s="151">
        <f t="shared" si="13"/>
        <v>30626992.629999988</v>
      </c>
      <c r="L60" s="151">
        <f t="shared" si="13"/>
        <v>10288217.280000009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195512865.57999989</v>
      </c>
      <c r="T60" s="475">
        <f t="shared" si="3"/>
        <v>3.6844728173526291</v>
      </c>
    </row>
    <row r="61" spans="1:21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211">
        <v>12789994.92</v>
      </c>
      <c r="H62" s="211">
        <v>10460525.210000001</v>
      </c>
      <c r="I62" s="211">
        <v>1259301.6500000001</v>
      </c>
      <c r="J62" s="211">
        <v>8030214.29</v>
      </c>
      <c r="K62" s="211">
        <v>8324660.8200000003</v>
      </c>
      <c r="L62" s="211">
        <v>12964839.459999999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53829536.350000001</v>
      </c>
      <c r="T62" s="472">
        <f t="shared" si="3"/>
        <v>1.014426661201568</v>
      </c>
    </row>
    <row r="63" spans="1:21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211">
        <v>693159.59000000008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2183668.0499999998</v>
      </c>
      <c r="T63" s="472">
        <f t="shared" si="3"/>
        <v>4.1151591474445949E-2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42667401.259999968</v>
      </c>
      <c r="H64" s="225">
        <f t="shared" ref="H64:R64" si="14">-H59-SUM(H61:H63)</f>
        <v>29894182.770000026</v>
      </c>
      <c r="I64" s="225">
        <f t="shared" si="14"/>
        <v>-21876009.880000036</v>
      </c>
      <c r="J64" s="225">
        <f t="shared" si="14"/>
        <v>69458286.419999927</v>
      </c>
      <c r="K64" s="225">
        <f t="shared" si="14"/>
        <v>22275918.179999989</v>
      </c>
      <c r="L64" s="225">
        <f t="shared" si="14"/>
        <v>-2920117.569999991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139499661.17999989</v>
      </c>
      <c r="T64" s="476">
        <f t="shared" si="3"/>
        <v>2.6288945646766146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93" t="str">
        <f>+Master!G252</f>
        <v>Plan ostvarenja budžeta</v>
      </c>
      <c r="C81" s="594"/>
      <c r="D81" s="594"/>
      <c r="E81" s="594"/>
      <c r="F81" s="594"/>
      <c r="G81" s="601">
        <v>2022</v>
      </c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3"/>
      <c r="S81" s="107" t="str">
        <f>+S7</f>
        <v>BDP</v>
      </c>
      <c r="T81" s="108">
        <v>5306400000</v>
      </c>
    </row>
    <row r="82" spans="1:21" ht="15.75" customHeight="1">
      <c r="B82" s="595"/>
      <c r="C82" s="596"/>
      <c r="D82" s="596"/>
      <c r="E82" s="596"/>
      <c r="F82" s="597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1" t="str">
        <f>+Master!G246</f>
        <v>Jan - Dec</v>
      </c>
      <c r="T82" s="603">
        <f>+T8</f>
        <v>0</v>
      </c>
    </row>
    <row r="83" spans="1:21" ht="13.5" thickBot="1">
      <c r="B83" s="598"/>
      <c r="C83" s="599"/>
      <c r="D83" s="599"/>
      <c r="E83" s="599"/>
      <c r="F83" s="60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89" t="str">
        <f>+VLOOKUP(LEFT($A84,LEN(A84)-1)*1,Master!$D$29:$G$225,4,FALSE)</f>
        <v>Prihodi budžeta</v>
      </c>
      <c r="C84" s="590"/>
      <c r="D84" s="590"/>
      <c r="E84" s="590"/>
      <c r="F84" s="590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91" t="str">
        <f>+VLOOKUP(LEFT($A85,LEN(A85)-1)*1,Master!$D$29:$G$225,4,FALSE)</f>
        <v>Porezi</v>
      </c>
      <c r="C85" s="592"/>
      <c r="D85" s="592"/>
      <c r="E85" s="592"/>
      <c r="F85" s="592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9" t="str">
        <f>+VLOOKUP(LEFT($A86,LEN(A86)-1)*1,Master!$D$29:$G$228,4,FALSE)</f>
        <v>Porez na dohodak fizičkih lica</v>
      </c>
      <c r="C86" s="580"/>
      <c r="D86" s="580"/>
      <c r="E86" s="580"/>
      <c r="F86" s="580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9" t="str">
        <f>+VLOOKUP(LEFT($A87,LEN(A87)-1)*1,Master!$D$29:$G$228,4,FALSE)</f>
        <v>Porez na dobit pravnih lica</v>
      </c>
      <c r="C87" s="580"/>
      <c r="D87" s="580"/>
      <c r="E87" s="580"/>
      <c r="F87" s="580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9" t="str">
        <f>+VLOOKUP(LEFT($A88,LEN(A88)-1)*1,Master!$D$29:$G$228,4,FALSE)</f>
        <v>Porez na promet nepokretnosti</v>
      </c>
      <c r="C88" s="580"/>
      <c r="D88" s="580"/>
      <c r="E88" s="580"/>
      <c r="F88" s="580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9" t="str">
        <f>+VLOOKUP(LEFT($A89,LEN(A89)-1)*1,Master!$D$29:$G$228,4,FALSE)</f>
        <v>Porez na dodatu vrijednost</v>
      </c>
      <c r="C89" s="580"/>
      <c r="D89" s="580"/>
      <c r="E89" s="580"/>
      <c r="F89" s="580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9" t="str">
        <f>+VLOOKUP(LEFT($A90,LEN(A90)-1)*1,Master!$D$29:$G$228,4,FALSE)</f>
        <v>Akcize</v>
      </c>
      <c r="C90" s="580"/>
      <c r="D90" s="580"/>
      <c r="E90" s="580"/>
      <c r="F90" s="580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9" t="str">
        <f>+VLOOKUP(LEFT($A91,LEN(A91)-1)*1,Master!$D$29:$G$228,4,FALSE)</f>
        <v>Porez na međunarodnu trgovinu i transakcije</v>
      </c>
      <c r="C91" s="580"/>
      <c r="D91" s="580"/>
      <c r="E91" s="580"/>
      <c r="F91" s="580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9" t="str">
        <f>+VLOOKUP(LEFT($A92,LEN(A92)-1)*1,Master!$D$29:$G$228,4,FALSE)</f>
        <v>Ostali državni porezi</v>
      </c>
      <c r="C92" s="580"/>
      <c r="D92" s="580"/>
      <c r="E92" s="580"/>
      <c r="F92" s="580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87" t="str">
        <f>+VLOOKUP(LEFT($A93,LEN(A93)-1)*1,Master!$D$29:$G$228,4,FALSE)</f>
        <v>Doprinosi</v>
      </c>
      <c r="C93" s="588"/>
      <c r="D93" s="588"/>
      <c r="E93" s="588"/>
      <c r="F93" s="588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9" t="str">
        <f>+VLOOKUP(LEFT($A94,LEN(A94)-1)*1,Master!$D$29:$G$228,4,FALSE)</f>
        <v>Doprinosi za penzijsko i invalidsko osiguranje</v>
      </c>
      <c r="C94" s="580"/>
      <c r="D94" s="580"/>
      <c r="E94" s="580"/>
      <c r="F94" s="580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9" t="str">
        <f>+VLOOKUP(LEFT($A95,LEN(A95)-1)*1,Master!$D$29:$G$228,4,FALSE)</f>
        <v>Doprinosi za zdravstveno osiguranje</v>
      </c>
      <c r="C95" s="580"/>
      <c r="D95" s="580"/>
      <c r="E95" s="580"/>
      <c r="F95" s="580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9" t="str">
        <f>+VLOOKUP(LEFT($A96,LEN(A96)-1)*1,Master!$D$29:$G$228,4,FALSE)</f>
        <v>Doprinosi za osiguranje od nezaposlenosti</v>
      </c>
      <c r="C96" s="580"/>
      <c r="D96" s="580"/>
      <c r="E96" s="580"/>
      <c r="F96" s="580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9" t="str">
        <f>+VLOOKUP(LEFT($A97,LEN(A97)-1)*1,Master!$D$29:$G$228,4,FALSE)</f>
        <v>Ostali doprinosi</v>
      </c>
      <c r="C97" s="580"/>
      <c r="D97" s="580"/>
      <c r="E97" s="580"/>
      <c r="F97" s="580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85" t="str">
        <f>+VLOOKUP(LEFT($A98,LEN(A98)-1)*1,Master!$D$29:$G$228,4,FALSE)</f>
        <v>Takse</v>
      </c>
      <c r="C98" s="586"/>
      <c r="D98" s="586"/>
      <c r="E98" s="586"/>
      <c r="F98" s="586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85" t="str">
        <f>+VLOOKUP(LEFT($A99,LEN(A99)-1)*1,Master!$D$29:$G$228,4,FALSE)</f>
        <v>Naknade</v>
      </c>
      <c r="C99" s="586"/>
      <c r="D99" s="586"/>
      <c r="E99" s="586"/>
      <c r="F99" s="586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85" t="str">
        <f>+VLOOKUP(LEFT($A100,LEN(A100)-1)*1,Master!$D$29:$G$228,4,FALSE)</f>
        <v>Ostali prihodi</v>
      </c>
      <c r="C100" s="586"/>
      <c r="D100" s="586"/>
      <c r="E100" s="586"/>
      <c r="F100" s="586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85" t="str">
        <f>+VLOOKUP(LEFT($A101,LEN(A101)-1)*1,Master!$D$29:$G$228,4,FALSE)</f>
        <v>Primici od otplate kredita i sredstva prenesena iz prethodne godine</v>
      </c>
      <c r="C101" s="586"/>
      <c r="D101" s="586"/>
      <c r="E101" s="586"/>
      <c r="F101" s="586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81" t="str">
        <f>+VLOOKUP(LEFT($A102,LEN(A102)-1)*1,Master!$D$29:$G$228,4,FALSE)</f>
        <v>Donacije i transferi</v>
      </c>
      <c r="C102" s="582"/>
      <c r="D102" s="582"/>
      <c r="E102" s="582"/>
      <c r="F102" s="582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63" t="str">
        <f>+VLOOKUP(LEFT($A103,LEN(A103)-1)*1,Master!$D$29:$G$228,4,FALSE)</f>
        <v>Izdaci budžeta</v>
      </c>
      <c r="C103" s="564"/>
      <c r="D103" s="564"/>
      <c r="E103" s="564"/>
      <c r="F103" s="564"/>
      <c r="G103" s="503">
        <f t="shared" ref="G103:R103" si="23">+G104+G114+G120+SUM(G121:G125)</f>
        <v>177831446.59654763</v>
      </c>
      <c r="H103" s="503">
        <f t="shared" si="23"/>
        <v>159637648.93654764</v>
      </c>
      <c r="I103" s="503">
        <f t="shared" si="23"/>
        <v>165757927.57454765</v>
      </c>
      <c r="J103" s="503">
        <f t="shared" si="23"/>
        <v>181656276.27454761</v>
      </c>
      <c r="K103" s="503">
        <f t="shared" si="23"/>
        <v>176553533.49454764</v>
      </c>
      <c r="L103" s="503">
        <f t="shared" si="23"/>
        <v>176451567.45454761</v>
      </c>
      <c r="M103" s="503">
        <f t="shared" si="23"/>
        <v>175218266.98454764</v>
      </c>
      <c r="N103" s="503">
        <f t="shared" si="23"/>
        <v>168803890.89883336</v>
      </c>
      <c r="O103" s="503">
        <f t="shared" si="23"/>
        <v>183880560.57883337</v>
      </c>
      <c r="P103" s="503">
        <f t="shared" si="23"/>
        <v>204140909.79883331</v>
      </c>
      <c r="Q103" s="503">
        <f t="shared" si="23"/>
        <v>199230681.58883333</v>
      </c>
      <c r="R103" s="50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83" t="str">
        <f>+VLOOKUP(LEFT($A104,LEN(A104)-1)*1,Master!$D$29:$G$228,4,FALSE)</f>
        <v>Tekući izdaci</v>
      </c>
      <c r="C104" s="584"/>
      <c r="D104" s="584"/>
      <c r="E104" s="584"/>
      <c r="F104" s="584"/>
      <c r="G104" s="504">
        <f t="shared" ref="G104:R104" si="24">+SUM(G105:G113)</f>
        <v>62550652.746666655</v>
      </c>
      <c r="H104" s="504">
        <f t="shared" si="24"/>
        <v>64156007.386666663</v>
      </c>
      <c r="I104" s="504">
        <f t="shared" si="24"/>
        <v>63034205.774666667</v>
      </c>
      <c r="J104" s="504">
        <f t="shared" si="24"/>
        <v>84860701.324666679</v>
      </c>
      <c r="K104" s="504">
        <f t="shared" si="24"/>
        <v>68218729.554666668</v>
      </c>
      <c r="L104" s="504">
        <f t="shared" si="24"/>
        <v>67573285.934666663</v>
      </c>
      <c r="M104" s="504">
        <f t="shared" si="24"/>
        <v>77752915.334666669</v>
      </c>
      <c r="N104" s="504">
        <f t="shared" si="24"/>
        <v>64588135.274666667</v>
      </c>
      <c r="O104" s="504">
        <f t="shared" si="24"/>
        <v>73749748.834666669</v>
      </c>
      <c r="P104" s="504">
        <f t="shared" si="24"/>
        <v>94904927.814666644</v>
      </c>
      <c r="Q104" s="504">
        <f t="shared" si="24"/>
        <v>86693469.254666656</v>
      </c>
      <c r="R104" s="505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9" t="str">
        <f>+VLOOKUP(LEFT($A105,LEN(A105)-1)*1,Master!$D$29:$G$228,4,FALSE)</f>
        <v>Bruto zarade i doprinosi na teret poslodavca</v>
      </c>
      <c r="C105" s="580"/>
      <c r="D105" s="580"/>
      <c r="E105" s="580"/>
      <c r="F105" s="580"/>
      <c r="G105" s="506">
        <v>42116720.066666663</v>
      </c>
      <c r="H105" s="506">
        <v>45499255.106666669</v>
      </c>
      <c r="I105" s="506">
        <v>45488297.416666664</v>
      </c>
      <c r="J105" s="506">
        <v>45488827.916666664</v>
      </c>
      <c r="K105" s="506">
        <v>45489920.406666666</v>
      </c>
      <c r="L105" s="506">
        <v>45490305.276666664</v>
      </c>
      <c r="M105" s="506">
        <v>45491132.876666665</v>
      </c>
      <c r="N105" s="506">
        <v>45491395.996666662</v>
      </c>
      <c r="O105" s="506">
        <v>45493143.776666671</v>
      </c>
      <c r="P105" s="506">
        <v>45484722.336666659</v>
      </c>
      <c r="Q105" s="506">
        <v>45482593.13666667</v>
      </c>
      <c r="R105" s="506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9" t="str">
        <f>+VLOOKUP(LEFT($A106,LEN(A106)-1)*1,Master!$D$29:$G$228,4,FALSE)</f>
        <v>Ostala lična primanja</v>
      </c>
      <c r="C106" s="580"/>
      <c r="D106" s="580"/>
      <c r="E106" s="580"/>
      <c r="F106" s="580"/>
      <c r="G106" s="506">
        <v>1113156.94</v>
      </c>
      <c r="H106" s="506">
        <v>1189148.69</v>
      </c>
      <c r="I106" s="506">
        <v>1150630.3799999999</v>
      </c>
      <c r="J106" s="506">
        <v>1115859.3500000001</v>
      </c>
      <c r="K106" s="506">
        <v>1113157.98</v>
      </c>
      <c r="L106" s="506">
        <v>1112991.68</v>
      </c>
      <c r="M106" s="506">
        <v>1113353.42</v>
      </c>
      <c r="N106" s="506">
        <v>1112760.3500000001</v>
      </c>
      <c r="O106" s="506">
        <v>1144213.94</v>
      </c>
      <c r="P106" s="506">
        <v>1112009.69</v>
      </c>
      <c r="Q106" s="506">
        <v>1111152.95</v>
      </c>
      <c r="R106" s="506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9" t="str">
        <f>+VLOOKUP(LEFT($A107,LEN(A107)-1)*1,Master!$D$29:$G$228,4,FALSE)</f>
        <v>Rashodi za materijal</v>
      </c>
      <c r="C107" s="580"/>
      <c r="D107" s="580"/>
      <c r="E107" s="580"/>
      <c r="F107" s="580"/>
      <c r="G107" s="506">
        <v>2009465.7299999995</v>
      </c>
      <c r="H107" s="506">
        <v>2874795.7299999991</v>
      </c>
      <c r="I107" s="506">
        <v>1986301.3299999996</v>
      </c>
      <c r="J107" s="506">
        <v>1956746.52</v>
      </c>
      <c r="K107" s="506">
        <v>1959377.06</v>
      </c>
      <c r="L107" s="506">
        <v>1959339.96</v>
      </c>
      <c r="M107" s="506">
        <v>4223114</v>
      </c>
      <c r="N107" s="506">
        <v>2325347.7000000002</v>
      </c>
      <c r="O107" s="506">
        <v>4227180.45</v>
      </c>
      <c r="P107" s="506">
        <v>5830846.0499999989</v>
      </c>
      <c r="Q107" s="506">
        <v>5816682.6699999999</v>
      </c>
      <c r="R107" s="506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9" t="str">
        <f>+VLOOKUP(LEFT($A108,LEN(A108)-1)*1,Master!$D$29:$G$228,4,FALSE)</f>
        <v>Rashodi za usluge</v>
      </c>
      <c r="C108" s="580"/>
      <c r="D108" s="580"/>
      <c r="E108" s="580"/>
      <c r="F108" s="580"/>
      <c r="G108" s="506">
        <v>3521944.0499999989</v>
      </c>
      <c r="H108" s="506">
        <v>3202572.2000000016</v>
      </c>
      <c r="I108" s="506">
        <v>3202153.21</v>
      </c>
      <c r="J108" s="506">
        <v>3981055.8700000015</v>
      </c>
      <c r="K108" s="506">
        <v>3966204.5600000015</v>
      </c>
      <c r="L108" s="506">
        <v>4355673.6900000004</v>
      </c>
      <c r="M108" s="506">
        <v>7092836.1399999987</v>
      </c>
      <c r="N108" s="506">
        <v>4331849.03</v>
      </c>
      <c r="O108" s="506">
        <v>6165776.4499999974</v>
      </c>
      <c r="P108" s="506">
        <v>7804737.9599999953</v>
      </c>
      <c r="Q108" s="506">
        <v>7600289.8199999947</v>
      </c>
      <c r="R108" s="506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9" t="str">
        <f>+VLOOKUP(LEFT($A109,LEN(A109)-1)*1,Master!$D$29:$G$228,4,FALSE)</f>
        <v>Rashodi za tekuće održavanje</v>
      </c>
      <c r="C109" s="580"/>
      <c r="D109" s="580"/>
      <c r="E109" s="580"/>
      <c r="F109" s="580"/>
      <c r="G109" s="506">
        <v>1482084.5400000005</v>
      </c>
      <c r="H109" s="506">
        <v>1461485.3000000003</v>
      </c>
      <c r="I109" s="506">
        <v>1646265.1700000002</v>
      </c>
      <c r="J109" s="506">
        <v>1750230.6700000004</v>
      </c>
      <c r="K109" s="506">
        <v>1756101.9100000004</v>
      </c>
      <c r="L109" s="506">
        <v>1756101.9100000004</v>
      </c>
      <c r="M109" s="506">
        <v>2627886.0200000009</v>
      </c>
      <c r="N109" s="506">
        <v>1747230.6700000004</v>
      </c>
      <c r="O109" s="506">
        <v>2627886.0200000009</v>
      </c>
      <c r="P109" s="506">
        <v>3499649.6000000006</v>
      </c>
      <c r="Q109" s="506">
        <v>3488586.12</v>
      </c>
      <c r="R109" s="506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9" t="str">
        <f>+VLOOKUP(LEFT($A110,LEN(A110)-1)*1,Master!$D$29:$G$228,4,FALSE)</f>
        <v>Kamate</v>
      </c>
      <c r="C110" s="580"/>
      <c r="D110" s="580"/>
      <c r="E110" s="580"/>
      <c r="F110" s="580"/>
      <c r="G110" s="506">
        <v>4229041.6800000006</v>
      </c>
      <c r="H110" s="506">
        <v>1039259.3500000003</v>
      </c>
      <c r="I110" s="506">
        <v>1331158.92</v>
      </c>
      <c r="J110" s="506">
        <v>22646995.380000003</v>
      </c>
      <c r="K110" s="506">
        <v>6067854.2499999991</v>
      </c>
      <c r="L110" s="506">
        <v>5081336.79</v>
      </c>
      <c r="M110" s="506">
        <v>4060077.8100000005</v>
      </c>
      <c r="N110" s="506">
        <v>1150681.1799999997</v>
      </c>
      <c r="O110" s="506">
        <v>1101986.1700000002</v>
      </c>
      <c r="P110" s="506">
        <v>13628170.610000001</v>
      </c>
      <c r="Q110" s="506">
        <v>5965119.169999999</v>
      </c>
      <c r="R110" s="506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9" t="str">
        <f>+VLOOKUP(LEFT($A111,LEN(A111)-1)*1,Master!$D$29:$G$228,4,FALSE)</f>
        <v>Renta</v>
      </c>
      <c r="C111" s="580"/>
      <c r="D111" s="580"/>
      <c r="E111" s="580"/>
      <c r="F111" s="580"/>
      <c r="G111" s="506">
        <v>1114759.2699999998</v>
      </c>
      <c r="H111" s="506">
        <v>962655.17999999982</v>
      </c>
      <c r="I111" s="506">
        <v>962640.17999999982</v>
      </c>
      <c r="J111" s="506">
        <v>962640.17999999982</v>
      </c>
      <c r="K111" s="506">
        <v>962625.18999999983</v>
      </c>
      <c r="L111" s="506">
        <v>962625.17999999982</v>
      </c>
      <c r="M111" s="506">
        <v>962625.18999999983</v>
      </c>
      <c r="N111" s="506">
        <v>962625.17999999982</v>
      </c>
      <c r="O111" s="506">
        <v>962625.17999999982</v>
      </c>
      <c r="P111" s="506">
        <v>961836.57999999984</v>
      </c>
      <c r="Q111" s="506">
        <v>789373.07</v>
      </c>
      <c r="R111" s="506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9" t="str">
        <f>+VLOOKUP(LEFT($A112,LEN(A112)-1)*1,Master!$D$29:$G$228,4,FALSE)</f>
        <v>Subvencije</v>
      </c>
      <c r="C112" s="580"/>
      <c r="D112" s="580"/>
      <c r="E112" s="580"/>
      <c r="F112" s="580"/>
      <c r="G112" s="506">
        <v>3647138.83</v>
      </c>
      <c r="H112" s="506">
        <v>3917138.83</v>
      </c>
      <c r="I112" s="506">
        <v>3632138.83</v>
      </c>
      <c r="J112" s="506">
        <v>3632138.83</v>
      </c>
      <c r="K112" s="506">
        <v>3444638.83</v>
      </c>
      <c r="L112" s="506">
        <v>3444638.83</v>
      </c>
      <c r="M112" s="506">
        <v>6055944.3200000003</v>
      </c>
      <c r="N112" s="506">
        <v>3444638.83</v>
      </c>
      <c r="O112" s="506">
        <v>6055944.3200000003</v>
      </c>
      <c r="P112" s="506">
        <v>8667249.7999999989</v>
      </c>
      <c r="Q112" s="506">
        <v>8667249.7999999989</v>
      </c>
      <c r="R112" s="506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9" t="str">
        <f>+VLOOKUP(LEFT($A113,LEN(A113)-1)*1,Master!$D$29:$G$228,4,FALSE)</f>
        <v>Ostali izdaci</v>
      </c>
      <c r="C113" s="580"/>
      <c r="D113" s="580"/>
      <c r="E113" s="580"/>
      <c r="F113" s="580"/>
      <c r="G113" s="506">
        <v>3316341.6399999992</v>
      </c>
      <c r="H113" s="506">
        <v>4009697</v>
      </c>
      <c r="I113" s="506">
        <v>3634620.3380000009</v>
      </c>
      <c r="J113" s="506">
        <v>3326206.6079999981</v>
      </c>
      <c r="K113" s="506">
        <v>3458849.3679999984</v>
      </c>
      <c r="L113" s="506">
        <v>3410272.6179999989</v>
      </c>
      <c r="M113" s="506">
        <v>6125945.5580000011</v>
      </c>
      <c r="N113" s="506">
        <v>4021606.3380000009</v>
      </c>
      <c r="O113" s="506">
        <v>5970992.5280000009</v>
      </c>
      <c r="P113" s="506">
        <v>7915705.1879999992</v>
      </c>
      <c r="Q113" s="506">
        <v>7772422.5180000002</v>
      </c>
      <c r="R113" s="506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75" t="str">
        <f>+VLOOKUP(LEFT($A114,LEN(A114)-1)*1,Master!$D$29:$G$228,4,FALSE)</f>
        <v>Transferi za socijalnu zaštitu</v>
      </c>
      <c r="C114" s="576"/>
      <c r="D114" s="576"/>
      <c r="E114" s="576"/>
      <c r="F114" s="576"/>
      <c r="G114" s="507">
        <f t="shared" ref="G114:R114" si="25">+SUM(G115:G119)</f>
        <v>51655501.199880958</v>
      </c>
      <c r="H114" s="507">
        <f t="shared" si="25"/>
        <v>50843848.149880961</v>
      </c>
      <c r="I114" s="507">
        <f t="shared" si="25"/>
        <v>52476514.839880966</v>
      </c>
      <c r="J114" s="507">
        <f t="shared" si="25"/>
        <v>51481848.149880961</v>
      </c>
      <c r="K114" s="507">
        <f t="shared" si="25"/>
        <v>55008848.149880961</v>
      </c>
      <c r="L114" s="507">
        <f t="shared" si="25"/>
        <v>55102848.149880961</v>
      </c>
      <c r="M114" s="507">
        <f t="shared" si="25"/>
        <v>54796848.149880961</v>
      </c>
      <c r="N114" s="507">
        <f t="shared" si="25"/>
        <v>55319453.584166676</v>
      </c>
      <c r="O114" s="507">
        <f t="shared" si="25"/>
        <v>54859133.86416667</v>
      </c>
      <c r="P114" s="507">
        <f t="shared" si="25"/>
        <v>55191133.86416667</v>
      </c>
      <c r="Q114" s="507">
        <f t="shared" si="25"/>
        <v>56919133.86416667</v>
      </c>
      <c r="R114" s="507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9" t="str">
        <f>+VLOOKUP(LEFT($A115,LEN(A115)-1)*1,Master!$D$29:$G$228,4,FALSE)</f>
        <v>Prava iz oblasti socijalne zaštite</v>
      </c>
      <c r="C115" s="580"/>
      <c r="D115" s="580"/>
      <c r="E115" s="580"/>
      <c r="F115" s="580"/>
      <c r="G115" s="506">
        <v>9199047.6323809531</v>
      </c>
      <c r="H115" s="506">
        <v>9199047.6323809531</v>
      </c>
      <c r="I115" s="506">
        <v>9199047.6323809531</v>
      </c>
      <c r="J115" s="506">
        <v>9199047.6323809531</v>
      </c>
      <c r="K115" s="506">
        <v>12324047.632380953</v>
      </c>
      <c r="L115" s="506">
        <v>12324047.632380953</v>
      </c>
      <c r="M115" s="506">
        <v>12324047.632380953</v>
      </c>
      <c r="N115" s="506">
        <v>11938333.346666668</v>
      </c>
      <c r="O115" s="506">
        <v>11938333.346666668</v>
      </c>
      <c r="P115" s="506">
        <v>11938333.346666668</v>
      </c>
      <c r="Q115" s="506">
        <v>14138333.346666666</v>
      </c>
      <c r="R115" s="506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9" t="str">
        <f>+VLOOKUP(LEFT($A116,LEN(A116)-1)*1,Master!$D$29:$G$228,4,FALSE)</f>
        <v>Sredstva za tehnološke viškove</v>
      </c>
      <c r="C116" s="580"/>
      <c r="D116" s="580"/>
      <c r="E116" s="580"/>
      <c r="F116" s="580"/>
      <c r="G116" s="506">
        <v>2893986.39</v>
      </c>
      <c r="H116" s="506">
        <v>2291666.67</v>
      </c>
      <c r="I116" s="506">
        <v>2291666.67</v>
      </c>
      <c r="J116" s="506">
        <v>2291666.67</v>
      </c>
      <c r="K116" s="506">
        <v>2291666.67</v>
      </c>
      <c r="L116" s="506">
        <v>2291666.67</v>
      </c>
      <c r="M116" s="506">
        <v>2291666.67</v>
      </c>
      <c r="N116" s="506">
        <v>2893986.39</v>
      </c>
      <c r="O116" s="506">
        <v>2291666.67</v>
      </c>
      <c r="P116" s="506">
        <v>2291666.67</v>
      </c>
      <c r="Q116" s="506">
        <v>2291666.67</v>
      </c>
      <c r="R116" s="506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9" t="str">
        <f>+VLOOKUP(LEFT($A117,LEN(A117)-1)*1,Master!$D$29:$G$228,4,FALSE)</f>
        <v>Prava iz oblasti penzijskog i invalidskog osiguranja</v>
      </c>
      <c r="C117" s="580"/>
      <c r="D117" s="580"/>
      <c r="E117" s="580"/>
      <c r="F117" s="580"/>
      <c r="G117" s="506">
        <v>38029133.847500004</v>
      </c>
      <c r="H117" s="506">
        <v>38029133.847500004</v>
      </c>
      <c r="I117" s="506">
        <v>38029133.847500004</v>
      </c>
      <c r="J117" s="506">
        <v>38029133.847500004</v>
      </c>
      <c r="K117" s="506">
        <v>38029133.847500004</v>
      </c>
      <c r="L117" s="506">
        <v>38029133.847500004</v>
      </c>
      <c r="M117" s="506">
        <v>38029133.847500004</v>
      </c>
      <c r="N117" s="506">
        <v>38029133.847500004</v>
      </c>
      <c r="O117" s="506">
        <v>38029133.847500004</v>
      </c>
      <c r="P117" s="506">
        <v>38929133.847500004</v>
      </c>
      <c r="Q117" s="506">
        <v>38929133.847500004</v>
      </c>
      <c r="R117" s="506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9" t="str">
        <f>+VLOOKUP(LEFT($A118,LEN(A118)-1)*1,Master!$D$29:$G$228,4,FALSE)</f>
        <v>Ostala prava iz oblasti zdravstvene zaštite</v>
      </c>
      <c r="C118" s="580"/>
      <c r="D118" s="580"/>
      <c r="E118" s="580"/>
      <c r="F118" s="580"/>
      <c r="G118" s="506">
        <v>943333.33</v>
      </c>
      <c r="H118" s="506">
        <v>852000</v>
      </c>
      <c r="I118" s="506">
        <v>1186666.67</v>
      </c>
      <c r="J118" s="506">
        <v>1136000</v>
      </c>
      <c r="K118" s="506">
        <v>1420000</v>
      </c>
      <c r="L118" s="506">
        <v>1278000</v>
      </c>
      <c r="M118" s="506">
        <v>1562000</v>
      </c>
      <c r="N118" s="506">
        <v>1278000</v>
      </c>
      <c r="O118" s="506">
        <v>1420000</v>
      </c>
      <c r="P118" s="506">
        <v>852000</v>
      </c>
      <c r="Q118" s="506">
        <v>852000</v>
      </c>
      <c r="R118" s="506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9" t="str">
        <f>+VLOOKUP(LEFT($A119,LEN(A119)-1)*1,Master!$D$29:$G$228,4,FALSE)</f>
        <v>Ostala prava iz zdravstvenog osiguranja</v>
      </c>
      <c r="C119" s="580"/>
      <c r="D119" s="580"/>
      <c r="E119" s="580"/>
      <c r="F119" s="580"/>
      <c r="G119" s="506">
        <v>590000</v>
      </c>
      <c r="H119" s="506">
        <v>472000</v>
      </c>
      <c r="I119" s="506">
        <v>1770000.02</v>
      </c>
      <c r="J119" s="506">
        <v>826000</v>
      </c>
      <c r="K119" s="506">
        <v>944000</v>
      </c>
      <c r="L119" s="506">
        <v>1180000</v>
      </c>
      <c r="M119" s="506">
        <v>590000</v>
      </c>
      <c r="N119" s="506">
        <v>1180000</v>
      </c>
      <c r="O119" s="506">
        <v>1180000</v>
      </c>
      <c r="P119" s="506">
        <v>1180000</v>
      </c>
      <c r="Q119" s="506">
        <v>708000</v>
      </c>
      <c r="R119" s="506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77" t="str">
        <f>+VLOOKUP(LEFT($A120,LEN(A120)-1)*1,Master!$D$29:$G$228,4,FALSE)</f>
        <v xml:space="preserve">Transferi institucijama, pojedincima, nevladinom i javnom sektoru </v>
      </c>
      <c r="C120" s="578"/>
      <c r="D120" s="578"/>
      <c r="E120" s="578"/>
      <c r="F120" s="578"/>
      <c r="G120" s="508">
        <v>22444871.560000002</v>
      </c>
      <c r="H120" s="508">
        <v>23941685.57</v>
      </c>
      <c r="I120" s="508">
        <v>26995988.960000001</v>
      </c>
      <c r="J120" s="508">
        <v>20625695.450000003</v>
      </c>
      <c r="K120" s="508">
        <v>20912992.140000004</v>
      </c>
      <c r="L120" s="508">
        <v>21015003.09</v>
      </c>
      <c r="M120" s="508">
        <v>20912172.160000004</v>
      </c>
      <c r="N120" s="508">
        <v>22653446.830000002</v>
      </c>
      <c r="O120" s="508">
        <v>24411188.830000002</v>
      </c>
      <c r="P120" s="508">
        <v>21012710.830000002</v>
      </c>
      <c r="Q120" s="508">
        <v>20910855.890000001</v>
      </c>
      <c r="R120" s="508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77" t="str">
        <f>+VLOOKUP(LEFT($A121,LEN(A121)-1)*1,Master!$D$29:$G$228,4,FALSE)</f>
        <v>Kapitalni izdaci</v>
      </c>
      <c r="C121" s="578"/>
      <c r="D121" s="578"/>
      <c r="E121" s="578"/>
      <c r="F121" s="578"/>
      <c r="G121" s="508">
        <v>19668608.670000002</v>
      </c>
      <c r="H121" s="508">
        <v>15424249.750000004</v>
      </c>
      <c r="I121" s="508">
        <v>18221026.579999998</v>
      </c>
      <c r="J121" s="508">
        <v>19416173.270000003</v>
      </c>
      <c r="K121" s="508">
        <v>27382772.230000004</v>
      </c>
      <c r="L121" s="508">
        <v>27488572.200000007</v>
      </c>
      <c r="M121" s="508">
        <v>20098257.600000001</v>
      </c>
      <c r="N121" s="508">
        <v>17598879.450000007</v>
      </c>
      <c r="O121" s="508">
        <v>22458179.949999999</v>
      </c>
      <c r="P121" s="508">
        <v>24388161.529999994</v>
      </c>
      <c r="Q121" s="508">
        <v>22932795.809999995</v>
      </c>
      <c r="R121" s="508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9" t="str">
        <f>+VLOOKUP(LEFT($A122,LEN(A122)-1)*1,Master!$D$29:$G$228,4,FALSE)</f>
        <v>Pozajmice i krediti</v>
      </c>
      <c r="C122" s="570"/>
      <c r="D122" s="570"/>
      <c r="E122" s="570"/>
      <c r="F122" s="570"/>
      <c r="G122" s="506">
        <v>2000.08</v>
      </c>
      <c r="H122" s="506">
        <v>243666.74</v>
      </c>
      <c r="I122" s="506">
        <v>2000.08</v>
      </c>
      <c r="J122" s="506">
        <v>243666.74</v>
      </c>
      <c r="K122" s="506">
        <v>2000.08</v>
      </c>
      <c r="L122" s="506">
        <v>243666.74</v>
      </c>
      <c r="M122" s="506">
        <v>2000.08</v>
      </c>
      <c r="N122" s="506">
        <v>243666.74</v>
      </c>
      <c r="O122" s="506">
        <v>2000.08</v>
      </c>
      <c r="P122" s="506">
        <v>243666.74</v>
      </c>
      <c r="Q122" s="506">
        <v>2000.08</v>
      </c>
      <c r="R122" s="506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9" t="str">
        <f>+VLOOKUP(LEFT($A123,LEN(A123)-1)*1,Master!$D$29:$G$228,4,FALSE)</f>
        <v>Rezerve</v>
      </c>
      <c r="C123" s="570"/>
      <c r="D123" s="570"/>
      <c r="E123" s="570"/>
      <c r="F123" s="570"/>
      <c r="G123" s="506">
        <v>3372117.68</v>
      </c>
      <c r="H123" s="506">
        <v>3372117.68</v>
      </c>
      <c r="I123" s="506">
        <v>3372117.68</v>
      </c>
      <c r="J123" s="506">
        <v>3372117.68</v>
      </c>
      <c r="K123" s="506">
        <v>3372117.68</v>
      </c>
      <c r="L123" s="506">
        <v>3372117.68</v>
      </c>
      <c r="M123" s="506">
        <v>0</v>
      </c>
      <c r="N123" s="506">
        <v>6744235.3600000003</v>
      </c>
      <c r="O123" s="506">
        <v>6744235.3600000003</v>
      </c>
      <c r="P123" s="506">
        <v>6744235.3600000003</v>
      </c>
      <c r="Q123" s="506">
        <v>10116353.029999999</v>
      </c>
      <c r="R123" s="506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9" t="str">
        <f>+VLOOKUP(LEFT($A124,LEN(A124)-1)*1,Master!$D$29:$G$228,4,FALSE)</f>
        <v>Otplata garancija</v>
      </c>
      <c r="C124" s="570"/>
      <c r="D124" s="570"/>
      <c r="E124" s="570"/>
      <c r="F124" s="570"/>
      <c r="G124" s="506">
        <v>0</v>
      </c>
      <c r="H124" s="506">
        <v>0</v>
      </c>
      <c r="I124" s="506">
        <v>0</v>
      </c>
      <c r="J124" s="506">
        <v>0</v>
      </c>
      <c r="K124" s="506">
        <v>0</v>
      </c>
      <c r="L124" s="506">
        <v>0</v>
      </c>
      <c r="M124" s="506">
        <v>0</v>
      </c>
      <c r="N124" s="506">
        <v>0</v>
      </c>
      <c r="O124" s="506">
        <v>0</v>
      </c>
      <c r="P124" s="506">
        <v>0</v>
      </c>
      <c r="Q124" s="506">
        <v>0</v>
      </c>
      <c r="R124" s="506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9" t="str">
        <f>+VLOOKUP(LEFT($A125,LEN(A125)-1)*1,Master!$D$29:$G$228,4,FALSE)</f>
        <v>Otplata obaveza iz prethodnog perioda</v>
      </c>
      <c r="C125" s="570"/>
      <c r="D125" s="570"/>
      <c r="E125" s="570"/>
      <c r="F125" s="570"/>
      <c r="G125" s="506">
        <v>18137694.66</v>
      </c>
      <c r="H125" s="506">
        <v>1656073.6600000036</v>
      </c>
      <c r="I125" s="506">
        <v>1656073.6600000036</v>
      </c>
      <c r="J125" s="506">
        <v>1656073.6600000036</v>
      </c>
      <c r="K125" s="506">
        <v>1656073.6600000036</v>
      </c>
      <c r="L125" s="506">
        <v>1656073.6600000036</v>
      </c>
      <c r="M125" s="506">
        <v>1656073.6600000036</v>
      </c>
      <c r="N125" s="506">
        <v>1656073.6600000036</v>
      </c>
      <c r="O125" s="506">
        <v>1656073.6600000036</v>
      </c>
      <c r="P125" s="506">
        <v>1656073.6600000036</v>
      </c>
      <c r="Q125" s="506">
        <v>1656073.6600000036</v>
      </c>
      <c r="R125" s="506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9" t="str">
        <f>+VLOOKUP(LEFT($A126,LEN(A126)-1)*1,Master!$D$29:$G$228,4,FALSE)</f>
        <v>Neto povećanje obaveza</v>
      </c>
      <c r="C126" s="570"/>
      <c r="D126" s="570"/>
      <c r="E126" s="570"/>
      <c r="F126" s="570"/>
      <c r="G126" s="506">
        <v>0</v>
      </c>
      <c r="H126" s="506">
        <v>0</v>
      </c>
      <c r="I126" s="506">
        <v>0</v>
      </c>
      <c r="J126" s="506">
        <v>0</v>
      </c>
      <c r="K126" s="506">
        <v>0</v>
      </c>
      <c r="L126" s="506">
        <v>0</v>
      </c>
      <c r="M126" s="506">
        <v>0</v>
      </c>
      <c r="N126" s="506">
        <v>0</v>
      </c>
      <c r="O126" s="506">
        <v>0</v>
      </c>
      <c r="P126" s="506">
        <v>0</v>
      </c>
      <c r="Q126" s="506">
        <v>0</v>
      </c>
      <c r="R126" s="506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71" t="str">
        <f>+VLOOKUP(LEFT($A127,LEN(A127)-1)*1,Master!$D$29:$G$225,4,FALSE)</f>
        <v>Suficit / deficit</v>
      </c>
      <c r="C127" s="572"/>
      <c r="D127" s="572"/>
      <c r="E127" s="572"/>
      <c r="F127" s="572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73" t="str">
        <f>+VLOOKUP(LEFT($A128,LEN(A128)-1)*1,Master!$D$29:$G$225,4,FALSE)</f>
        <v>Primarni suficit/deficit</v>
      </c>
      <c r="C128" s="574"/>
      <c r="D128" s="574"/>
      <c r="E128" s="574"/>
      <c r="F128" s="574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75" t="str">
        <f>+VLOOKUP(LEFT($A129,LEN(A129)-1)*1,Master!$D$29:$G$225,4,FALSE)</f>
        <v>Otplata dugova</v>
      </c>
      <c r="C129" s="576"/>
      <c r="D129" s="576"/>
      <c r="E129" s="576"/>
      <c r="F129" s="576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67" t="str">
        <f>+VLOOKUP(LEFT($A130,LEN(A130)-1)*1,Master!$D$29:$G$225,4,FALSE)</f>
        <v>Otplata hartija od vrijednosti i kredita rezidentima</v>
      </c>
      <c r="C130" s="568"/>
      <c r="D130" s="568"/>
      <c r="E130" s="568"/>
      <c r="F130" s="568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9" t="str">
        <f>+VLOOKUP(LEFT($A131,LEN(A131)-1)*1,Master!$D$29:$G$225,4,FALSE)</f>
        <v>Otplata hartija od vrijednosti i kredita nerezidentima</v>
      </c>
      <c r="C131" s="570"/>
      <c r="D131" s="570"/>
      <c r="E131" s="570"/>
      <c r="F131" s="570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63" t="str">
        <f>+VLOOKUP(LEFT($A132,LEN(A132)-1)*1,Master!$D$29:$G$225,4,FALSE)</f>
        <v>Izdaci za kupovinu hartija od vrijednosti</v>
      </c>
      <c r="C132" s="564"/>
      <c r="D132" s="564"/>
      <c r="E132" s="564"/>
      <c r="F132" s="564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65" t="str">
        <f>+VLOOKUP(LEFT($A133,LEN(A133)-1)*1,Master!$D$29:$G$225,4,FALSE)</f>
        <v>Nedostajuća sredstva</v>
      </c>
      <c r="C133" s="566"/>
      <c r="D133" s="566"/>
      <c r="E133" s="566"/>
      <c r="F133" s="566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63" t="str">
        <f>+VLOOKUP(LEFT($A134,LEN(A134)-1)*1,Master!$D$29:$G$225,4,FALSE)</f>
        <v>Finansiranje</v>
      </c>
      <c r="C134" s="564"/>
      <c r="D134" s="564"/>
      <c r="E134" s="564"/>
      <c r="F134" s="564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67" t="str">
        <f>+VLOOKUP(LEFT($A135,LEN(A135)-1)*1,Master!$D$29:$G$225,4,FALSE)</f>
        <v>Pozajmice i krediti od domaćih izvora</v>
      </c>
      <c r="C135" s="568"/>
      <c r="D135" s="568"/>
      <c r="E135" s="568"/>
      <c r="F135" s="568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9" t="str">
        <f>+VLOOKUP(LEFT($A136,LEN(A136)-1)*1,Master!$D$29:$G$225,4,FALSE)</f>
        <v>Pozajmice i krediti od inostranih izvora</v>
      </c>
      <c r="C136" s="570"/>
      <c r="D136" s="570"/>
      <c r="E136" s="570"/>
      <c r="F136" s="570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9" t="str">
        <f>+VLOOKUP(LEFT($A137,LEN(A137)-1)*1,Master!$D$29:$G$225,4,FALSE)</f>
        <v>Primici od prodaje imovine</v>
      </c>
      <c r="C137" s="570"/>
      <c r="D137" s="570"/>
      <c r="E137" s="570"/>
      <c r="F137" s="570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q6VqJ4f758aMTHBvQkWqeiDvHif18mH4HeCDTeUTYd/T/BNHpFLvIk08CvNtfZrYOXKIGjLC8YZmajSRMmvn3A==" saltValue="biesE1oZsHOxoTlIGiA+q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J11" sqref="J11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16" t="str">
        <f>+Master!G251</f>
        <v>Ostvarenje budžeta</v>
      </c>
      <c r="C7" s="516"/>
      <c r="D7" s="516"/>
      <c r="E7" s="516"/>
      <c r="F7" s="516"/>
      <c r="G7" s="524">
        <v>2021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tr">
        <f>+Master!G248</f>
        <v>BDP</v>
      </c>
      <c r="T7" s="236">
        <v>4881300000</v>
      </c>
    </row>
    <row r="8" spans="1:20" ht="16.5" customHeight="1">
      <c r="A8" s="144"/>
      <c r="B8" s="517"/>
      <c r="C8" s="518"/>
      <c r="D8" s="518"/>
      <c r="E8" s="518"/>
      <c r="F8" s="51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4" t="str">
        <f>+Master!G246</f>
        <v>Jan - Dec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55" t="str">
        <f>+VLOOKUP($A19,Master!$D$29:$G$225,4,FALSE)</f>
        <v>Doprinosi</v>
      </c>
      <c r="C19" s="556"/>
      <c r="D19" s="556"/>
      <c r="E19" s="556"/>
      <c r="F19" s="556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14" t="str">
        <f>+VLOOKUP($A34,Master!$D$29:$G$225,4,FALSE)</f>
        <v>Rashodi za usluge</v>
      </c>
      <c r="C34" s="615"/>
      <c r="D34" s="615"/>
      <c r="E34" s="615"/>
      <c r="F34" s="615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14" t="str">
        <f>+VLOOKUP($A39,Master!$D$29:$G$225,4,FALSE)</f>
        <v>Ostali izdaci</v>
      </c>
      <c r="C39" s="615"/>
      <c r="D39" s="615"/>
      <c r="E39" s="615"/>
      <c r="F39" s="615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10" t="str">
        <f>+VLOOKUP($A45,Master!$D$29:$G$225,4,FALSE)</f>
        <v>Ostala prava iz zdravstvenog osiguranja</v>
      </c>
      <c r="C45" s="611"/>
      <c r="D45" s="611"/>
      <c r="E45" s="611"/>
      <c r="F45" s="611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12" t="str">
        <f>+VLOOKUP($A48,Master!$D$29:$G$225,4,FALSE)</f>
        <v>Pozajmice i krediti</v>
      </c>
      <c r="C48" s="613"/>
      <c r="D48" s="613"/>
      <c r="E48" s="613"/>
      <c r="F48" s="613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604" t="str">
        <f>+VLOOKUP($A49,Master!$D$29:$G$225,4,FALSE)</f>
        <v>Rezerve</v>
      </c>
      <c r="C49" s="605"/>
      <c r="D49" s="605"/>
      <c r="E49" s="605"/>
      <c r="F49" s="605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606" t="str">
        <f>+VLOOKUP($A51,Master!$D$29:$G$225,4,TRUE)</f>
        <v>Otplata obaveza iz prethodnog perioda</v>
      </c>
      <c r="C51" s="607"/>
      <c r="D51" s="607"/>
      <c r="E51" s="607"/>
      <c r="F51" s="607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608" t="str">
        <f>+VLOOKUP($A52,Master!$D$29:$G$227,4,FALSE)</f>
        <v>Neto povećanje obaveza</v>
      </c>
      <c r="C52" s="609"/>
      <c r="D52" s="609"/>
      <c r="E52" s="609"/>
      <c r="F52" s="609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9" t="str">
        <f>+VLOOKUP($A56,Master!$D$29:$G$225,4,FALSE)</f>
        <v>Otplata hartija od vrijednosti i kredita rezidentima</v>
      </c>
      <c r="C56" s="530"/>
      <c r="D56" s="530"/>
      <c r="E56" s="530"/>
      <c r="F56" s="530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51" t="str">
        <f>+VLOOKUP($A58,Master!$D$29:$G$225,4,FALSE)</f>
        <v>Izdaci za kupovinu hartija od vrijednosti</v>
      </c>
      <c r="C58" s="552"/>
      <c r="D58" s="552"/>
      <c r="E58" s="552"/>
      <c r="F58" s="552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3" t="str">
        <f>+Master!G252</f>
        <v>Plan ostvarenja budžeta</v>
      </c>
      <c r="C81" s="594"/>
      <c r="D81" s="594"/>
      <c r="E81" s="594"/>
      <c r="F81" s="594"/>
      <c r="G81" s="601">
        <v>2021</v>
      </c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3"/>
      <c r="S81" s="107" t="str">
        <f>+S7</f>
        <v>BDP</v>
      </c>
      <c r="T81" s="108">
        <v>4636600000</v>
      </c>
    </row>
    <row r="82" spans="1:21" ht="15.75" customHeight="1">
      <c r="B82" s="595"/>
      <c r="C82" s="596"/>
      <c r="D82" s="596"/>
      <c r="E82" s="596"/>
      <c r="F82" s="597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1" t="str">
        <f>+Master!G246</f>
        <v>Jan - Dec</v>
      </c>
      <c r="T82" s="603">
        <f>+T8</f>
        <v>0</v>
      </c>
    </row>
    <row r="83" spans="1:21" ht="13.5" thickBot="1">
      <c r="B83" s="598"/>
      <c r="C83" s="599"/>
      <c r="D83" s="599"/>
      <c r="E83" s="599"/>
      <c r="F83" s="60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9" t="str">
        <f>+VLOOKUP(LEFT($A84,LEN(A84)-1)*1,Master!$D$29:$G$225,4,FALSE)</f>
        <v>Prihodi budžeta</v>
      </c>
      <c r="C84" s="590"/>
      <c r="D84" s="590"/>
      <c r="E84" s="590"/>
      <c r="F84" s="59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91" t="str">
        <f>+VLOOKUP(LEFT($A85,LEN(A85)-1)*1,Master!$D$29:$G$225,4,FALSE)</f>
        <v>Porezi</v>
      </c>
      <c r="C85" s="592"/>
      <c r="D85" s="592"/>
      <c r="E85" s="592"/>
      <c r="F85" s="59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9" t="str">
        <f>+VLOOKUP(LEFT($A86,LEN(A86)-1)*1,Master!$D$29:$G$228,4,FALSE)</f>
        <v>Porez na dohodak fizičkih lica</v>
      </c>
      <c r="C86" s="580"/>
      <c r="D86" s="580"/>
      <c r="E86" s="580"/>
      <c r="F86" s="580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9" t="str">
        <f>+VLOOKUP(LEFT($A87,LEN(A87)-1)*1,Master!$D$29:$G$228,4,FALSE)</f>
        <v>Porez na dobit pravnih lica</v>
      </c>
      <c r="C87" s="580"/>
      <c r="D87" s="580"/>
      <c r="E87" s="580"/>
      <c r="F87" s="580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9" t="str">
        <f>+VLOOKUP(LEFT($A88,LEN(A88)-1)*1,Master!$D$29:$G$228,4,FALSE)</f>
        <v>Porez na promet nepokretnosti</v>
      </c>
      <c r="C88" s="580"/>
      <c r="D88" s="580"/>
      <c r="E88" s="580"/>
      <c r="F88" s="580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9" t="str">
        <f>+VLOOKUP(LEFT($A89,LEN(A89)-1)*1,Master!$D$29:$G$228,4,FALSE)</f>
        <v>Porez na dodatu vrijednost</v>
      </c>
      <c r="C89" s="580"/>
      <c r="D89" s="580"/>
      <c r="E89" s="580"/>
      <c r="F89" s="580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9" t="str">
        <f>+VLOOKUP(LEFT($A90,LEN(A90)-1)*1,Master!$D$29:$G$228,4,FALSE)</f>
        <v>Akcize</v>
      </c>
      <c r="C90" s="580"/>
      <c r="D90" s="580"/>
      <c r="E90" s="580"/>
      <c r="F90" s="580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9" t="str">
        <f>+VLOOKUP(LEFT($A91,LEN(A91)-1)*1,Master!$D$29:$G$228,4,FALSE)</f>
        <v>Porez na međunarodnu trgovinu i transakcije</v>
      </c>
      <c r="C91" s="580"/>
      <c r="D91" s="580"/>
      <c r="E91" s="580"/>
      <c r="F91" s="580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9" t="str">
        <f>+VLOOKUP(LEFT($A92,LEN(A92)-1)*1,Master!$D$29:$G$228,4,FALSE)</f>
        <v>Ostali državni porezi</v>
      </c>
      <c r="C92" s="580"/>
      <c r="D92" s="580"/>
      <c r="E92" s="580"/>
      <c r="F92" s="580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87" t="str">
        <f>+VLOOKUP(LEFT($A93,LEN(A93)-1)*1,Master!$D$29:$G$228,4,FALSE)</f>
        <v>Doprinosi</v>
      </c>
      <c r="C93" s="588"/>
      <c r="D93" s="588"/>
      <c r="E93" s="588"/>
      <c r="F93" s="588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9" t="str">
        <f>+VLOOKUP(LEFT($A94,LEN(A94)-1)*1,Master!$D$29:$G$228,4,FALSE)</f>
        <v>Doprinosi za penzijsko i invalidsko osiguranje</v>
      </c>
      <c r="C94" s="580"/>
      <c r="D94" s="580"/>
      <c r="E94" s="580"/>
      <c r="F94" s="580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9" t="str">
        <f>+VLOOKUP(LEFT($A95,LEN(A95)-1)*1,Master!$D$29:$G$228,4,FALSE)</f>
        <v>Doprinosi za zdravstveno osiguranje</v>
      </c>
      <c r="C95" s="580"/>
      <c r="D95" s="580"/>
      <c r="E95" s="580"/>
      <c r="F95" s="580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9" t="str">
        <f>+VLOOKUP(LEFT($A96,LEN(A96)-1)*1,Master!$D$29:$G$228,4,FALSE)</f>
        <v>Doprinosi za osiguranje od nezaposlenosti</v>
      </c>
      <c r="C96" s="580"/>
      <c r="D96" s="580"/>
      <c r="E96" s="580"/>
      <c r="F96" s="580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9" t="str">
        <f>+VLOOKUP(LEFT($A97,LEN(A97)-1)*1,Master!$D$29:$G$228,4,FALSE)</f>
        <v>Ostali doprinosi</v>
      </c>
      <c r="C97" s="580"/>
      <c r="D97" s="580"/>
      <c r="E97" s="580"/>
      <c r="F97" s="580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85" t="str">
        <f>+VLOOKUP(LEFT($A98,LEN(A98)-1)*1,Master!$D$29:$G$228,4,FALSE)</f>
        <v>Takse</v>
      </c>
      <c r="C98" s="586"/>
      <c r="D98" s="586"/>
      <c r="E98" s="586"/>
      <c r="F98" s="586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85" t="str">
        <f>+VLOOKUP(LEFT($A99,LEN(A99)-1)*1,Master!$D$29:$G$228,4,FALSE)</f>
        <v>Naknade</v>
      </c>
      <c r="C99" s="586"/>
      <c r="D99" s="586"/>
      <c r="E99" s="586"/>
      <c r="F99" s="586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85" t="str">
        <f>+VLOOKUP(LEFT($A100,LEN(A100)-1)*1,Master!$D$29:$G$228,4,FALSE)</f>
        <v>Ostali prihodi</v>
      </c>
      <c r="C100" s="586"/>
      <c r="D100" s="586"/>
      <c r="E100" s="586"/>
      <c r="F100" s="586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85" t="str">
        <f>+VLOOKUP(LEFT($A101,LEN(A101)-1)*1,Master!$D$29:$G$228,4,FALSE)</f>
        <v>Primici od otplate kredita i sredstva prenesena iz prethodne godine</v>
      </c>
      <c r="C101" s="586"/>
      <c r="D101" s="586"/>
      <c r="E101" s="586"/>
      <c r="F101" s="586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81" t="str">
        <f>+VLOOKUP(LEFT($A102,LEN(A102)-1)*1,Master!$D$29:$G$228,4,FALSE)</f>
        <v>Donacije i transferi</v>
      </c>
      <c r="C102" s="582"/>
      <c r="D102" s="582"/>
      <c r="E102" s="582"/>
      <c r="F102" s="582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63" t="str">
        <f>+VLOOKUP(LEFT($A103,LEN(A103)-1)*1,Master!$D$29:$G$228,4,FALSE)</f>
        <v>Izdaci budžeta</v>
      </c>
      <c r="C103" s="564"/>
      <c r="D103" s="564"/>
      <c r="E103" s="564"/>
      <c r="F103" s="564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83" t="str">
        <f>+VLOOKUP(LEFT($A104,LEN(A104)-1)*1,Master!$D$29:$G$228,4,FALSE)</f>
        <v>Tekući izdaci</v>
      </c>
      <c r="C104" s="584"/>
      <c r="D104" s="584"/>
      <c r="E104" s="584"/>
      <c r="F104" s="584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9" t="str">
        <f>+VLOOKUP(LEFT($A105,LEN(A105)-1)*1,Master!$D$29:$G$228,4,FALSE)</f>
        <v>Bruto zarade i doprinosi na teret poslodavca</v>
      </c>
      <c r="C105" s="580"/>
      <c r="D105" s="580"/>
      <c r="E105" s="580"/>
      <c r="F105" s="580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9" t="str">
        <f>+VLOOKUP(LEFT($A106,LEN(A106)-1)*1,Master!$D$29:$G$228,4,FALSE)</f>
        <v>Ostala lična primanja</v>
      </c>
      <c r="C106" s="580"/>
      <c r="D106" s="580"/>
      <c r="E106" s="580"/>
      <c r="F106" s="580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9" t="str">
        <f>+VLOOKUP(LEFT($A107,LEN(A107)-1)*1,Master!$D$29:$G$228,4,FALSE)</f>
        <v>Rashodi za materijal</v>
      </c>
      <c r="C107" s="580"/>
      <c r="D107" s="580"/>
      <c r="E107" s="580"/>
      <c r="F107" s="580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9" t="str">
        <f>+VLOOKUP(LEFT($A108,LEN(A108)-1)*1,Master!$D$29:$G$228,4,FALSE)</f>
        <v>Rashodi za usluge</v>
      </c>
      <c r="C108" s="580"/>
      <c r="D108" s="580"/>
      <c r="E108" s="580"/>
      <c r="F108" s="580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9" t="str">
        <f>+VLOOKUP(LEFT($A109,LEN(A109)-1)*1,Master!$D$29:$G$228,4,FALSE)</f>
        <v>Rashodi za tekuće održavanje</v>
      </c>
      <c r="C109" s="580"/>
      <c r="D109" s="580"/>
      <c r="E109" s="580"/>
      <c r="F109" s="580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9" t="str">
        <f>+VLOOKUP(LEFT($A110,LEN(A110)-1)*1,Master!$D$29:$G$228,4,FALSE)</f>
        <v>Kamate</v>
      </c>
      <c r="C110" s="580"/>
      <c r="D110" s="580"/>
      <c r="E110" s="580"/>
      <c r="F110" s="580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9" t="str">
        <f>+VLOOKUP(LEFT($A111,LEN(A111)-1)*1,Master!$D$29:$G$228,4,FALSE)</f>
        <v>Renta</v>
      </c>
      <c r="C111" s="580"/>
      <c r="D111" s="580"/>
      <c r="E111" s="580"/>
      <c r="F111" s="580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9" t="str">
        <f>+VLOOKUP(LEFT($A112,LEN(A112)-1)*1,Master!$D$29:$G$228,4,FALSE)</f>
        <v>Subvencije</v>
      </c>
      <c r="C112" s="580"/>
      <c r="D112" s="580"/>
      <c r="E112" s="580"/>
      <c r="F112" s="580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9" t="str">
        <f>+VLOOKUP(LEFT($A113,LEN(A113)-1)*1,Master!$D$29:$G$228,4,FALSE)</f>
        <v>Ostali izdaci</v>
      </c>
      <c r="C113" s="580"/>
      <c r="D113" s="580"/>
      <c r="E113" s="580"/>
      <c r="F113" s="580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75" t="str">
        <f>+VLOOKUP(LEFT($A114,LEN(A114)-1)*1,Master!$D$29:$G$228,4,FALSE)</f>
        <v>Transferi za socijalnu zaštitu</v>
      </c>
      <c r="C114" s="576"/>
      <c r="D114" s="576"/>
      <c r="E114" s="576"/>
      <c r="F114" s="576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9" t="str">
        <f>+VLOOKUP(LEFT($A115,LEN(A115)-1)*1,Master!$D$29:$G$228,4,FALSE)</f>
        <v>Prava iz oblasti socijalne zaštite</v>
      </c>
      <c r="C115" s="580"/>
      <c r="D115" s="580"/>
      <c r="E115" s="580"/>
      <c r="F115" s="580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9" t="str">
        <f>+VLOOKUP(LEFT($A116,LEN(A116)-1)*1,Master!$D$29:$G$228,4,FALSE)</f>
        <v>Sredstva za tehnološke viškove</v>
      </c>
      <c r="C116" s="580"/>
      <c r="D116" s="580"/>
      <c r="E116" s="580"/>
      <c r="F116" s="580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9" t="str">
        <f>+VLOOKUP(LEFT($A117,LEN(A117)-1)*1,Master!$D$29:$G$228,4,FALSE)</f>
        <v>Prava iz oblasti penzijskog i invalidskog osiguranja</v>
      </c>
      <c r="C117" s="580"/>
      <c r="D117" s="580"/>
      <c r="E117" s="580"/>
      <c r="F117" s="580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9" t="str">
        <f>+VLOOKUP(LEFT($A118,LEN(A118)-1)*1,Master!$D$29:$G$228,4,FALSE)</f>
        <v>Ostala prava iz oblasti zdravstvene zaštite</v>
      </c>
      <c r="C118" s="580"/>
      <c r="D118" s="580"/>
      <c r="E118" s="580"/>
      <c r="F118" s="580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9" t="str">
        <f>+VLOOKUP(LEFT($A119,LEN(A119)-1)*1,Master!$D$29:$G$228,4,FALSE)</f>
        <v>Ostala prava iz zdravstvenog osiguranja</v>
      </c>
      <c r="C119" s="580"/>
      <c r="D119" s="580"/>
      <c r="E119" s="580"/>
      <c r="F119" s="580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77" t="str">
        <f>+VLOOKUP(LEFT($A120,LEN(A120)-1)*1,Master!$D$29:$G$228,4,FALSE)</f>
        <v xml:space="preserve">Transferi institucijama, pojedincima, nevladinom i javnom sektoru </v>
      </c>
      <c r="C120" s="578"/>
      <c r="D120" s="578"/>
      <c r="E120" s="578"/>
      <c r="F120" s="578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77" t="str">
        <f>+VLOOKUP(LEFT($A121,LEN(A121)-1)*1,Master!$D$29:$G$228,4,FALSE)</f>
        <v>Kapitalni izdaci</v>
      </c>
      <c r="C121" s="578"/>
      <c r="D121" s="578"/>
      <c r="E121" s="578"/>
      <c r="F121" s="578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9" t="str">
        <f>+VLOOKUP(LEFT($A122,LEN(A122)-1)*1,Master!$D$29:$G$228,4,FALSE)</f>
        <v>Pozajmice i krediti</v>
      </c>
      <c r="C122" s="570"/>
      <c r="D122" s="570"/>
      <c r="E122" s="570"/>
      <c r="F122" s="570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9" t="str">
        <f>+VLOOKUP(LEFT($A123,LEN(A123)-1)*1,Master!$D$29:$G$228,4,FALSE)</f>
        <v>Rezerve</v>
      </c>
      <c r="C123" s="570"/>
      <c r="D123" s="570"/>
      <c r="E123" s="570"/>
      <c r="F123" s="570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9" t="str">
        <f>+VLOOKUP(LEFT($A124,LEN(A124)-1)*1,Master!$D$29:$G$228,4,FALSE)</f>
        <v>Otplata garancija</v>
      </c>
      <c r="C124" s="570"/>
      <c r="D124" s="570"/>
      <c r="E124" s="570"/>
      <c r="F124" s="570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9" t="str">
        <f>+VLOOKUP(LEFT($A125,LEN(A125)-1)*1,Master!$D$29:$G$228,4,FALSE)</f>
        <v>Otplata obaveza iz prethodnog perioda</v>
      </c>
      <c r="C125" s="570"/>
      <c r="D125" s="570"/>
      <c r="E125" s="570"/>
      <c r="F125" s="570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9" t="str">
        <f>+VLOOKUP(LEFT($A126,LEN(A126)-1)*1,Master!$D$29:$G$228,4,FALSE)</f>
        <v>Neto povećanje obaveza</v>
      </c>
      <c r="C126" s="570"/>
      <c r="D126" s="570"/>
      <c r="E126" s="570"/>
      <c r="F126" s="570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71" t="str">
        <f>+VLOOKUP(LEFT($A127,LEN(A127)-1)*1,Master!$D$29:$G$225,4,FALSE)</f>
        <v>Suficit / deficit</v>
      </c>
      <c r="C127" s="572"/>
      <c r="D127" s="572"/>
      <c r="E127" s="572"/>
      <c r="F127" s="572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73" t="str">
        <f>+VLOOKUP(LEFT($A128,LEN(A128)-1)*1,Master!$D$29:$G$225,4,FALSE)</f>
        <v>Primarni suficit/deficit</v>
      </c>
      <c r="C128" s="574"/>
      <c r="D128" s="574"/>
      <c r="E128" s="574"/>
      <c r="F128" s="574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75" t="str">
        <f>+VLOOKUP(LEFT($A129,LEN(A129)-1)*1,Master!$D$29:$G$225,4,FALSE)</f>
        <v>Otplata dugova</v>
      </c>
      <c r="C129" s="576"/>
      <c r="D129" s="576"/>
      <c r="E129" s="576"/>
      <c r="F129" s="576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67" t="str">
        <f>+VLOOKUP(LEFT($A130,LEN(A130)-1)*1,Master!$D$29:$G$225,4,FALSE)</f>
        <v>Otplata hartija od vrijednosti i kredita rezidentima</v>
      </c>
      <c r="C130" s="568"/>
      <c r="D130" s="568"/>
      <c r="E130" s="568"/>
      <c r="F130" s="568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9" t="str">
        <f>+VLOOKUP(LEFT($A131,LEN(A131)-1)*1,Master!$D$29:$G$225,4,FALSE)</f>
        <v>Otplata hartija od vrijednosti i kredita nerezidentima</v>
      </c>
      <c r="C131" s="570"/>
      <c r="D131" s="570"/>
      <c r="E131" s="570"/>
      <c r="F131" s="570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63" t="str">
        <f>+VLOOKUP(LEFT($A132,LEN(A132)-1)*1,Master!$D$29:$G$225,4,FALSE)</f>
        <v>Izdaci za kupovinu hartija od vrijednosti</v>
      </c>
      <c r="C132" s="564"/>
      <c r="D132" s="564"/>
      <c r="E132" s="564"/>
      <c r="F132" s="564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65" t="str">
        <f>+VLOOKUP(LEFT($A133,LEN(A133)-1)*1,Master!$D$29:$G$225,4,FALSE)</f>
        <v>Nedostajuća sredstva</v>
      </c>
      <c r="C133" s="566"/>
      <c r="D133" s="566"/>
      <c r="E133" s="566"/>
      <c r="F133" s="566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63" t="str">
        <f>+VLOOKUP(LEFT($A134,LEN(A134)-1)*1,Master!$D$29:$G$225,4,FALSE)</f>
        <v>Finansiranje</v>
      </c>
      <c r="C134" s="564"/>
      <c r="D134" s="564"/>
      <c r="E134" s="564"/>
      <c r="F134" s="564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67" t="str">
        <f>+VLOOKUP(LEFT($A135,LEN(A135)-1)*1,Master!$D$29:$G$225,4,FALSE)</f>
        <v>Pozajmice i krediti od domaćih izvora</v>
      </c>
      <c r="C135" s="568"/>
      <c r="D135" s="568"/>
      <c r="E135" s="568"/>
      <c r="F135" s="568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9" t="str">
        <f>+VLOOKUP(LEFT($A136,LEN(A136)-1)*1,Master!$D$29:$G$225,4,FALSE)</f>
        <v>Pozajmice i krediti od inostranih izvora</v>
      </c>
      <c r="C136" s="570"/>
      <c r="D136" s="570"/>
      <c r="E136" s="570"/>
      <c r="F136" s="570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9" t="str">
        <f>+VLOOKUP(LEFT($A137,LEN(A137)-1)*1,Master!$D$29:$G$225,4,FALSE)</f>
        <v>Primici od prodaje imovine</v>
      </c>
      <c r="C137" s="570"/>
      <c r="D137" s="570"/>
      <c r="E137" s="570"/>
      <c r="F137" s="570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38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16" t="str">
        <f>+Master!G251</f>
        <v>Ostvarenje budžeta</v>
      </c>
      <c r="C7" s="516"/>
      <c r="D7" s="516"/>
      <c r="E7" s="516"/>
      <c r="F7" s="516"/>
      <c r="G7" s="524">
        <v>2020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tr">
        <f>+Master!G248</f>
        <v>BDP</v>
      </c>
      <c r="T7" s="236">
        <v>4185600000</v>
      </c>
    </row>
    <row r="8" spans="1:20" ht="16.5" customHeight="1">
      <c r="A8" s="144"/>
      <c r="B8" s="517"/>
      <c r="C8" s="518"/>
      <c r="D8" s="518"/>
      <c r="E8" s="518"/>
      <c r="F8" s="51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4" t="str">
        <f>+Master!G246</f>
        <v>Jan - Dec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55" t="str">
        <f>+VLOOKUP($A19,Master!$D$29:$G$225,4,FALSE)</f>
        <v>Doprinosi</v>
      </c>
      <c r="C19" s="556"/>
      <c r="D19" s="556"/>
      <c r="E19" s="556"/>
      <c r="F19" s="556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14" t="str">
        <f>+VLOOKUP($A34,Master!$D$29:$G$225,4,FALSE)</f>
        <v>Rashodi za usluge</v>
      </c>
      <c r="C34" s="615"/>
      <c r="D34" s="615"/>
      <c r="E34" s="615"/>
      <c r="F34" s="61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14" t="str">
        <f>+VLOOKUP($A39,Master!$D$29:$G$225,4,FALSE)</f>
        <v>Ostali izdaci</v>
      </c>
      <c r="C39" s="615"/>
      <c r="D39" s="615"/>
      <c r="E39" s="615"/>
      <c r="F39" s="61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10" t="str">
        <f>+VLOOKUP($A45,Master!$D$29:$G$225,4,FALSE)</f>
        <v>Ostala prava iz zdravstvenog osiguranja</v>
      </c>
      <c r="C45" s="611"/>
      <c r="D45" s="611"/>
      <c r="E45" s="611"/>
      <c r="F45" s="611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12" t="str">
        <f>+VLOOKUP($A48,Master!$D$29:$G$225,4,FALSE)</f>
        <v>Pozajmice i krediti</v>
      </c>
      <c r="C48" s="613"/>
      <c r="D48" s="613"/>
      <c r="E48" s="613"/>
      <c r="F48" s="613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604" t="str">
        <f>+VLOOKUP($A49,Master!$D$29:$G$225,4,FALSE)</f>
        <v>Rezerve</v>
      </c>
      <c r="C49" s="605"/>
      <c r="D49" s="605"/>
      <c r="E49" s="605"/>
      <c r="F49" s="605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606" t="str">
        <f>+VLOOKUP($A51,Master!$D$29:$G$225,4,TRUE)</f>
        <v>Otplata obaveza iz prethodnog perioda</v>
      </c>
      <c r="C51" s="607"/>
      <c r="D51" s="607"/>
      <c r="E51" s="607"/>
      <c r="F51" s="607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608" t="str">
        <f>+VLOOKUP($A52,Master!$D$29:$G$227,4,FALSE)</f>
        <v>Neto povećanje obaveza</v>
      </c>
      <c r="C52" s="609"/>
      <c r="D52" s="609"/>
      <c r="E52" s="609"/>
      <c r="F52" s="609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9" t="str">
        <f>+VLOOKUP($A56,Master!$D$29:$G$225,4,FALSE)</f>
        <v>Otplata hartija od vrijednosti i kredita rezidentima</v>
      </c>
      <c r="C56" s="530"/>
      <c r="D56" s="530"/>
      <c r="E56" s="530"/>
      <c r="F56" s="530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51" t="str">
        <f>+VLOOKUP($A58,Master!$D$29:$G$225,4,FALSE)</f>
        <v>Izdaci za kupovinu hartija od vrijednosti</v>
      </c>
      <c r="C58" s="552"/>
      <c r="D58" s="552"/>
      <c r="E58" s="552"/>
      <c r="F58" s="552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3" t="str">
        <f>+Master!G252</f>
        <v>Plan ostvarenja budžeta</v>
      </c>
      <c r="C100" s="594"/>
      <c r="D100" s="594"/>
      <c r="E100" s="594"/>
      <c r="F100" s="594"/>
      <c r="G100" s="601">
        <v>2020</v>
      </c>
      <c r="H100" s="602"/>
      <c r="I100" s="602"/>
      <c r="J100" s="602"/>
      <c r="K100" s="602"/>
      <c r="L100" s="602"/>
      <c r="M100" s="602"/>
      <c r="N100" s="602"/>
      <c r="O100" s="602"/>
      <c r="P100" s="602"/>
      <c r="Q100" s="602"/>
      <c r="R100" s="603"/>
      <c r="S100" s="107" t="str">
        <f>+S7</f>
        <v>BDP</v>
      </c>
      <c r="T100" s="108">
        <v>4607300000</v>
      </c>
    </row>
    <row r="101" spans="1:21" ht="15.75" customHeight="1">
      <c r="B101" s="595"/>
      <c r="C101" s="596"/>
      <c r="D101" s="596"/>
      <c r="E101" s="596"/>
      <c r="F101" s="59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1" t="str">
        <f>+Master!G246</f>
        <v>Jan - Dec</v>
      </c>
      <c r="T101" s="603">
        <f>+T8</f>
        <v>0</v>
      </c>
    </row>
    <row r="102" spans="1:21" ht="13.5" thickBot="1">
      <c r="B102" s="598"/>
      <c r="C102" s="599"/>
      <c r="D102" s="599"/>
      <c r="E102" s="599"/>
      <c r="F102" s="60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9" t="str">
        <f>+VLOOKUP(LEFT($A103,LEN(A103)-1)*1,Master!$D$29:$G$225,4,FALSE)</f>
        <v>Prihodi budžeta</v>
      </c>
      <c r="C103" s="590"/>
      <c r="D103" s="590"/>
      <c r="E103" s="590"/>
      <c r="F103" s="59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91" t="str">
        <f>+VLOOKUP(LEFT($A104,LEN(A104)-1)*1,Master!$D$29:$G$225,4,FALSE)</f>
        <v>Porezi</v>
      </c>
      <c r="C104" s="592"/>
      <c r="D104" s="592"/>
      <c r="E104" s="592"/>
      <c r="F104" s="59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9" t="str">
        <f>+VLOOKUP(LEFT($A105,LEN(A105)-1)*1,Master!$D$29:$G$228,4,FALSE)</f>
        <v>Porez na dohodak fizičkih lica</v>
      </c>
      <c r="C105" s="580"/>
      <c r="D105" s="580"/>
      <c r="E105" s="580"/>
      <c r="F105" s="580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9" t="str">
        <f>+VLOOKUP(LEFT($A106,LEN(A106)-1)*1,Master!$D$29:$G$228,4,FALSE)</f>
        <v>Porez na dobit pravnih lica</v>
      </c>
      <c r="C106" s="580"/>
      <c r="D106" s="580"/>
      <c r="E106" s="580"/>
      <c r="F106" s="580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9" t="str">
        <f>+VLOOKUP(LEFT($A107,LEN(A107)-1)*1,Master!$D$29:$G$228,4,FALSE)</f>
        <v>Porez na promet nepokretnosti</v>
      </c>
      <c r="C107" s="580"/>
      <c r="D107" s="580"/>
      <c r="E107" s="580"/>
      <c r="F107" s="580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9" t="str">
        <f>+VLOOKUP(LEFT($A108,LEN(A108)-1)*1,Master!$D$29:$G$228,4,FALSE)</f>
        <v>Porez na dodatu vrijednost</v>
      </c>
      <c r="C108" s="580"/>
      <c r="D108" s="580"/>
      <c r="E108" s="580"/>
      <c r="F108" s="580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9" t="str">
        <f>+VLOOKUP(LEFT($A109,LEN(A109)-1)*1,Master!$D$29:$G$228,4,FALSE)</f>
        <v>Akcize</v>
      </c>
      <c r="C109" s="580"/>
      <c r="D109" s="580"/>
      <c r="E109" s="580"/>
      <c r="F109" s="580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9" t="str">
        <f>+VLOOKUP(LEFT($A110,LEN(A110)-1)*1,Master!$D$29:$G$228,4,FALSE)</f>
        <v>Porez na međunarodnu trgovinu i transakcije</v>
      </c>
      <c r="C110" s="580"/>
      <c r="D110" s="580"/>
      <c r="E110" s="580"/>
      <c r="F110" s="580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9" t="str">
        <f>+VLOOKUP(LEFT($A111,LEN(A111)-1)*1,Master!$D$29:$G$228,4,FALSE)</f>
        <v>Ostali državni porezi</v>
      </c>
      <c r="C111" s="580"/>
      <c r="D111" s="580"/>
      <c r="E111" s="580"/>
      <c r="F111" s="580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87" t="str">
        <f>+VLOOKUP(LEFT($A112,LEN(A112)-1)*1,Master!$D$29:$G$228,4,FALSE)</f>
        <v>Doprinosi</v>
      </c>
      <c r="C112" s="588"/>
      <c r="D112" s="588"/>
      <c r="E112" s="588"/>
      <c r="F112" s="588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9" t="str">
        <f>+VLOOKUP(LEFT($A113,LEN(A113)-1)*1,Master!$D$29:$G$228,4,FALSE)</f>
        <v>Doprinosi za penzijsko i invalidsko osiguranje</v>
      </c>
      <c r="C113" s="580"/>
      <c r="D113" s="580"/>
      <c r="E113" s="580"/>
      <c r="F113" s="580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9" t="str">
        <f>+VLOOKUP(LEFT($A114,LEN(A114)-1)*1,Master!$D$29:$G$228,4,FALSE)</f>
        <v>Doprinosi za zdravstveno osiguranje</v>
      </c>
      <c r="C114" s="580"/>
      <c r="D114" s="580"/>
      <c r="E114" s="580"/>
      <c r="F114" s="580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9" t="str">
        <f>+VLOOKUP(LEFT($A115,LEN(A115)-1)*1,Master!$D$29:$G$228,4,FALSE)</f>
        <v>Doprinosi za osiguranje od nezaposlenosti</v>
      </c>
      <c r="C115" s="580"/>
      <c r="D115" s="580"/>
      <c r="E115" s="580"/>
      <c r="F115" s="580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9" t="str">
        <f>+VLOOKUP(LEFT($A116,LEN(A116)-1)*1,Master!$D$29:$G$228,4,FALSE)</f>
        <v>Ostali doprinosi</v>
      </c>
      <c r="C116" s="580"/>
      <c r="D116" s="580"/>
      <c r="E116" s="580"/>
      <c r="F116" s="580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85" t="str">
        <f>+VLOOKUP(LEFT($A117,LEN(A117)-1)*1,Master!$D$29:$G$228,4,FALSE)</f>
        <v>Takse</v>
      </c>
      <c r="C117" s="586"/>
      <c r="D117" s="586"/>
      <c r="E117" s="586"/>
      <c r="F117" s="586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85" t="str">
        <f>+VLOOKUP(LEFT($A118,LEN(A118)-1)*1,Master!$D$29:$G$228,4,FALSE)</f>
        <v>Naknade</v>
      </c>
      <c r="C118" s="586"/>
      <c r="D118" s="586"/>
      <c r="E118" s="586"/>
      <c r="F118" s="586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85" t="str">
        <f>+VLOOKUP(LEFT($A119,LEN(A119)-1)*1,Master!$D$29:$G$228,4,FALSE)</f>
        <v>Ostali prihodi</v>
      </c>
      <c r="C119" s="586"/>
      <c r="D119" s="586"/>
      <c r="E119" s="586"/>
      <c r="F119" s="586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85" t="str">
        <f>+VLOOKUP(LEFT($A120,LEN(A120)-1)*1,Master!$D$29:$G$228,4,FALSE)</f>
        <v>Primici od otplate kredita i sredstva prenesena iz prethodne godine</v>
      </c>
      <c r="C120" s="586"/>
      <c r="D120" s="586"/>
      <c r="E120" s="586"/>
      <c r="F120" s="586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81" t="str">
        <f>+VLOOKUP(LEFT($A121,LEN(A121)-1)*1,Master!$D$29:$G$228,4,FALSE)</f>
        <v>Donacije i transferi</v>
      </c>
      <c r="C121" s="582"/>
      <c r="D121" s="582"/>
      <c r="E121" s="582"/>
      <c r="F121" s="582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63" t="str">
        <f>+VLOOKUP(LEFT($A122,LEN(A122)-1)*1,Master!$D$29:$G$228,4,FALSE)</f>
        <v>Izdaci budžeta</v>
      </c>
      <c r="C122" s="564"/>
      <c r="D122" s="564"/>
      <c r="E122" s="564"/>
      <c r="F122" s="564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83" t="str">
        <f>+VLOOKUP(LEFT($A123,LEN(A123)-1)*1,Master!$D$29:$G$228,4,FALSE)</f>
        <v>Tekući izdaci</v>
      </c>
      <c r="C123" s="584"/>
      <c r="D123" s="584"/>
      <c r="E123" s="584"/>
      <c r="F123" s="584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9" t="str">
        <f>+VLOOKUP(LEFT($A124,LEN(A124)-1)*1,Master!$D$29:$G$228,4,FALSE)</f>
        <v>Bruto zarade i doprinosi na teret poslodavca</v>
      </c>
      <c r="C124" s="580"/>
      <c r="D124" s="580"/>
      <c r="E124" s="580"/>
      <c r="F124" s="580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9" t="str">
        <f>+VLOOKUP(LEFT($A125,LEN(A125)-1)*1,Master!$D$29:$G$228,4,FALSE)</f>
        <v>Ostala lična primanja</v>
      </c>
      <c r="C125" s="580"/>
      <c r="D125" s="580"/>
      <c r="E125" s="580"/>
      <c r="F125" s="580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9" t="str">
        <f>+VLOOKUP(LEFT($A126,LEN(A126)-1)*1,Master!$D$29:$G$228,4,FALSE)</f>
        <v>Rashodi za materijal</v>
      </c>
      <c r="C126" s="580"/>
      <c r="D126" s="580"/>
      <c r="E126" s="580"/>
      <c r="F126" s="580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9" t="str">
        <f>+VLOOKUP(LEFT($A127,LEN(A127)-1)*1,Master!$D$29:$G$228,4,FALSE)</f>
        <v>Rashodi za usluge</v>
      </c>
      <c r="C127" s="580"/>
      <c r="D127" s="580"/>
      <c r="E127" s="580"/>
      <c r="F127" s="580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9" t="str">
        <f>+VLOOKUP(LEFT($A128,LEN(A128)-1)*1,Master!$D$29:$G$228,4,FALSE)</f>
        <v>Rashodi za tekuće održavanje</v>
      </c>
      <c r="C128" s="580"/>
      <c r="D128" s="580"/>
      <c r="E128" s="580"/>
      <c r="F128" s="580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9" t="str">
        <f>+VLOOKUP(LEFT($A129,LEN(A129)-1)*1,Master!$D$29:$G$228,4,FALSE)</f>
        <v>Kamate</v>
      </c>
      <c r="C129" s="580"/>
      <c r="D129" s="580"/>
      <c r="E129" s="580"/>
      <c r="F129" s="580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9" t="str">
        <f>+VLOOKUP(LEFT($A130,LEN(A130)-1)*1,Master!$D$29:$G$228,4,FALSE)</f>
        <v>Renta</v>
      </c>
      <c r="C130" s="580"/>
      <c r="D130" s="580"/>
      <c r="E130" s="580"/>
      <c r="F130" s="580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9" t="str">
        <f>+VLOOKUP(LEFT($A131,LEN(A131)-1)*1,Master!$D$29:$G$228,4,FALSE)</f>
        <v>Subvencije</v>
      </c>
      <c r="C131" s="580"/>
      <c r="D131" s="580"/>
      <c r="E131" s="580"/>
      <c r="F131" s="580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9" t="str">
        <f>+VLOOKUP(LEFT($A132,LEN(A132)-1)*1,Master!$D$29:$G$228,4,FALSE)</f>
        <v>Ostali izdaci</v>
      </c>
      <c r="C132" s="580"/>
      <c r="D132" s="580"/>
      <c r="E132" s="580"/>
      <c r="F132" s="580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75" t="str">
        <f>+VLOOKUP(LEFT($A133,LEN(A133)-1)*1,Master!$D$29:$G$228,4,FALSE)</f>
        <v>Transferi za socijalnu zaštitu</v>
      </c>
      <c r="C133" s="576"/>
      <c r="D133" s="576"/>
      <c r="E133" s="576"/>
      <c r="F133" s="576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9" t="str">
        <f>+VLOOKUP(LEFT($A134,LEN(A134)-1)*1,Master!$D$29:$G$228,4,FALSE)</f>
        <v>Prava iz oblasti socijalne zaštite</v>
      </c>
      <c r="C134" s="580"/>
      <c r="D134" s="580"/>
      <c r="E134" s="580"/>
      <c r="F134" s="580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9" t="str">
        <f>+VLOOKUP(LEFT($A135,LEN(A135)-1)*1,Master!$D$29:$G$228,4,FALSE)</f>
        <v>Sredstva za tehnološke viškove</v>
      </c>
      <c r="C135" s="580"/>
      <c r="D135" s="580"/>
      <c r="E135" s="580"/>
      <c r="F135" s="580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9" t="str">
        <f>+VLOOKUP(LEFT($A136,LEN(A136)-1)*1,Master!$D$29:$G$228,4,FALSE)</f>
        <v>Prava iz oblasti penzijskog i invalidskog osiguranja</v>
      </c>
      <c r="C136" s="580"/>
      <c r="D136" s="580"/>
      <c r="E136" s="580"/>
      <c r="F136" s="580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9" t="str">
        <f>+VLOOKUP(LEFT($A137,LEN(A137)-1)*1,Master!$D$29:$G$228,4,FALSE)</f>
        <v>Ostala prava iz oblasti zdravstvene zaštite</v>
      </c>
      <c r="C137" s="580"/>
      <c r="D137" s="580"/>
      <c r="E137" s="580"/>
      <c r="F137" s="580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9" t="str">
        <f>+VLOOKUP(LEFT($A138,LEN(A138)-1)*1,Master!$D$29:$G$228,4,FALSE)</f>
        <v>Ostala prava iz zdravstvenog osiguranja</v>
      </c>
      <c r="C138" s="580"/>
      <c r="D138" s="580"/>
      <c r="E138" s="580"/>
      <c r="F138" s="580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77" t="str">
        <f>+VLOOKUP(LEFT($A139,LEN(A139)-1)*1,Master!$D$29:$G$228,4,FALSE)</f>
        <v xml:space="preserve">Transferi institucijama, pojedincima, nevladinom i javnom sektoru </v>
      </c>
      <c r="C139" s="578"/>
      <c r="D139" s="578"/>
      <c r="E139" s="578"/>
      <c r="F139" s="578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77" t="str">
        <f>+VLOOKUP(LEFT($A140,LEN(A140)-1)*1,Master!$D$29:$G$228,4,FALSE)</f>
        <v>Kapitalni izdaci</v>
      </c>
      <c r="C140" s="578"/>
      <c r="D140" s="578"/>
      <c r="E140" s="578"/>
      <c r="F140" s="578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9" t="str">
        <f>+VLOOKUP(LEFT($A141,LEN(A141)-1)*1,Master!$D$29:$G$228,4,FALSE)</f>
        <v>Pozajmice i krediti</v>
      </c>
      <c r="C141" s="570"/>
      <c r="D141" s="570"/>
      <c r="E141" s="570"/>
      <c r="F141" s="570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9" t="str">
        <f>+VLOOKUP(LEFT($A142,LEN(A142)-1)*1,Master!$D$29:$G$228,4,FALSE)</f>
        <v>Rezerve</v>
      </c>
      <c r="C142" s="570"/>
      <c r="D142" s="570"/>
      <c r="E142" s="570"/>
      <c r="F142" s="570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9" t="str">
        <f>+VLOOKUP(LEFT($A143,LEN(A143)-1)*1,Master!$D$29:$G$228,4,FALSE)</f>
        <v>Otplata garancija</v>
      </c>
      <c r="C143" s="570"/>
      <c r="D143" s="570"/>
      <c r="E143" s="570"/>
      <c r="F143" s="570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9" t="str">
        <f>+VLOOKUP(LEFT($A144,LEN(A144)-1)*1,Master!$D$29:$G$228,4,FALSE)</f>
        <v>Otplata obaveza iz prethodnog perioda</v>
      </c>
      <c r="C144" s="570"/>
      <c r="D144" s="570"/>
      <c r="E144" s="570"/>
      <c r="F144" s="570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9" t="str">
        <f>+VLOOKUP(LEFT($A145,LEN(A145)-1)*1,Master!$D$29:$G$228,4,FALSE)</f>
        <v>Neto povećanje obaveza</v>
      </c>
      <c r="C145" s="570"/>
      <c r="D145" s="570"/>
      <c r="E145" s="570"/>
      <c r="F145" s="570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71" t="str">
        <f>+VLOOKUP(LEFT($A146,LEN(A146)-1)*1,Master!$D$29:$G$225,4,FALSE)</f>
        <v>Suficit / deficit</v>
      </c>
      <c r="C146" s="572"/>
      <c r="D146" s="572"/>
      <c r="E146" s="572"/>
      <c r="F146" s="572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73" t="str">
        <f>+VLOOKUP(LEFT($A147,LEN(A147)-1)*1,Master!$D$29:$G$225,4,FALSE)</f>
        <v>Primarni suficit/deficit</v>
      </c>
      <c r="C147" s="574"/>
      <c r="D147" s="574"/>
      <c r="E147" s="574"/>
      <c r="F147" s="574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75" t="str">
        <f>+VLOOKUP(LEFT($A148,LEN(A148)-1)*1,Master!$D$29:$G$225,4,FALSE)</f>
        <v>Otplata dugova</v>
      </c>
      <c r="C148" s="576"/>
      <c r="D148" s="576"/>
      <c r="E148" s="576"/>
      <c r="F148" s="576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67" t="str">
        <f>+VLOOKUP(LEFT($A149,LEN(A149)-1)*1,Master!$D$29:$G$225,4,FALSE)</f>
        <v>Otplata hartija od vrijednosti i kredita rezidentima</v>
      </c>
      <c r="C149" s="568"/>
      <c r="D149" s="568"/>
      <c r="E149" s="568"/>
      <c r="F149" s="568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9" t="str">
        <f>+VLOOKUP(LEFT($A150,LEN(A150)-1)*1,Master!$D$29:$G$225,4,FALSE)</f>
        <v>Otplata hartija od vrijednosti i kredita nerezidentima</v>
      </c>
      <c r="C150" s="570"/>
      <c r="D150" s="570"/>
      <c r="E150" s="570"/>
      <c r="F150" s="570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63" t="str">
        <f>+VLOOKUP(LEFT($A151,LEN(A151)-1)*1,Master!$D$29:$G$225,4,FALSE)</f>
        <v>Izdaci za kupovinu hartija od vrijednosti</v>
      </c>
      <c r="C151" s="564"/>
      <c r="D151" s="564"/>
      <c r="E151" s="564"/>
      <c r="F151" s="564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65" t="str">
        <f>+VLOOKUP(LEFT($A152,LEN(A152)-1)*1,Master!$D$29:$G$225,4,FALSE)</f>
        <v>Nedostajuća sredstva</v>
      </c>
      <c r="C152" s="566"/>
      <c r="D152" s="566"/>
      <c r="E152" s="566"/>
      <c r="F152" s="566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63" t="str">
        <f>+VLOOKUP(LEFT($A153,LEN(A153)-1)*1,Master!$D$29:$G$225,4,FALSE)</f>
        <v>Finansiranje</v>
      </c>
      <c r="C153" s="564"/>
      <c r="D153" s="564"/>
      <c r="E153" s="564"/>
      <c r="F153" s="564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67" t="str">
        <f>+VLOOKUP(LEFT($A154,LEN(A154)-1)*1,Master!$D$29:$G$225,4,FALSE)</f>
        <v>Pozajmice i krediti od domaćih izvora</v>
      </c>
      <c r="C154" s="568"/>
      <c r="D154" s="568"/>
      <c r="E154" s="568"/>
      <c r="F154" s="568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9" t="str">
        <f>+VLOOKUP(LEFT($A155,LEN(A155)-1)*1,Master!$D$29:$G$225,4,FALSE)</f>
        <v>Pozajmice i krediti od inostranih izvora</v>
      </c>
      <c r="C155" s="570"/>
      <c r="D155" s="570"/>
      <c r="E155" s="570"/>
      <c r="F155" s="570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9" t="str">
        <f>+VLOOKUP(LEFT($A156,LEN(A156)-1)*1,Master!$D$29:$G$225,4,FALSE)</f>
        <v>Primici od prodaje imovine</v>
      </c>
      <c r="C156" s="570"/>
      <c r="D156" s="570"/>
      <c r="E156" s="570"/>
      <c r="F156" s="570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5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371325583.83000004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16" t="s">
        <v>554</v>
      </c>
      <c r="C7" s="516"/>
      <c r="D7" s="516"/>
      <c r="E7" s="516"/>
      <c r="F7" s="516"/>
      <c r="G7" s="524">
        <v>2019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">
        <v>419</v>
      </c>
      <c r="T7" s="236">
        <v>4951000000</v>
      </c>
    </row>
    <row r="8" spans="1:20" ht="16.5" customHeight="1">
      <c r="A8" s="144"/>
      <c r="B8" s="517"/>
      <c r="C8" s="518"/>
      <c r="D8" s="518"/>
      <c r="E8" s="518"/>
      <c r="F8" s="51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4" t="s">
        <v>809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5" t="s">
        <v>681</v>
      </c>
      <c r="C10" s="536"/>
      <c r="D10" s="536"/>
      <c r="E10" s="536"/>
      <c r="F10" s="536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9" t="s">
        <v>21</v>
      </c>
      <c r="C11" s="560"/>
      <c r="D11" s="560"/>
      <c r="E11" s="560"/>
      <c r="F11" s="560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45" t="s">
        <v>23</v>
      </c>
      <c r="C12" s="546"/>
      <c r="D12" s="546"/>
      <c r="E12" s="546"/>
      <c r="F12" s="54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45" t="s">
        <v>25</v>
      </c>
      <c r="C13" s="546"/>
      <c r="D13" s="546"/>
      <c r="E13" s="546"/>
      <c r="F13" s="54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45" t="s">
        <v>27</v>
      </c>
      <c r="C14" s="546"/>
      <c r="D14" s="546"/>
      <c r="E14" s="546"/>
      <c r="F14" s="54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45" t="s">
        <v>29</v>
      </c>
      <c r="C15" s="546"/>
      <c r="D15" s="546"/>
      <c r="E15" s="546"/>
      <c r="F15" s="54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45" t="s">
        <v>31</v>
      </c>
      <c r="C16" s="546"/>
      <c r="D16" s="546"/>
      <c r="E16" s="546"/>
      <c r="F16" s="54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45" t="s">
        <v>33</v>
      </c>
      <c r="C17" s="546"/>
      <c r="D17" s="546"/>
      <c r="E17" s="546"/>
      <c r="F17" s="54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45" t="s">
        <v>722</v>
      </c>
      <c r="C18" s="546"/>
      <c r="D18" s="546"/>
      <c r="E18" s="546"/>
      <c r="F18" s="54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55" t="s">
        <v>37</v>
      </c>
      <c r="C19" s="556"/>
      <c r="D19" s="556"/>
      <c r="E19" s="556"/>
      <c r="F19" s="556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45" t="s">
        <v>39</v>
      </c>
      <c r="C20" s="546"/>
      <c r="D20" s="546"/>
      <c r="E20" s="546"/>
      <c r="F20" s="54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45" t="s">
        <v>41</v>
      </c>
      <c r="C21" s="546"/>
      <c r="D21" s="546"/>
      <c r="E21" s="546"/>
      <c r="F21" s="54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45" t="s">
        <v>43</v>
      </c>
      <c r="C22" s="546"/>
      <c r="D22" s="546"/>
      <c r="E22" s="546"/>
      <c r="F22" s="54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45" t="s">
        <v>45</v>
      </c>
      <c r="C23" s="546"/>
      <c r="D23" s="546"/>
      <c r="E23" s="546"/>
      <c r="F23" s="54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47" t="s">
        <v>47</v>
      </c>
      <c r="C24" s="548"/>
      <c r="D24" s="548"/>
      <c r="E24" s="548"/>
      <c r="F24" s="54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47" t="s">
        <v>61</v>
      </c>
      <c r="C25" s="548"/>
      <c r="D25" s="548"/>
      <c r="E25" s="548"/>
      <c r="F25" s="54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47" t="s">
        <v>81</v>
      </c>
      <c r="C26" s="548"/>
      <c r="D26" s="548"/>
      <c r="E26" s="548"/>
      <c r="F26" s="54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47" t="s">
        <v>99</v>
      </c>
      <c r="C27" s="548"/>
      <c r="D27" s="548"/>
      <c r="E27" s="548"/>
      <c r="F27" s="54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9" t="s">
        <v>105</v>
      </c>
      <c r="C28" s="550"/>
      <c r="D28" s="550"/>
      <c r="E28" s="550"/>
      <c r="F28" s="550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35" t="s">
        <v>802</v>
      </c>
      <c r="C29" s="536"/>
      <c r="D29" s="536"/>
      <c r="E29" s="536"/>
      <c r="F29" s="536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51" t="s">
        <v>120</v>
      </c>
      <c r="C30" s="552"/>
      <c r="D30" s="552"/>
      <c r="E30" s="552"/>
      <c r="F30" s="552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45" t="s">
        <v>122</v>
      </c>
      <c r="C31" s="546"/>
      <c r="D31" s="546"/>
      <c r="E31" s="546"/>
      <c r="F31" s="54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45" t="s">
        <v>133</v>
      </c>
      <c r="C32" s="546"/>
      <c r="D32" s="546"/>
      <c r="E32" s="546"/>
      <c r="F32" s="54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45" t="s">
        <v>148</v>
      </c>
      <c r="C33" s="546"/>
      <c r="D33" s="546"/>
      <c r="E33" s="546"/>
      <c r="F33" s="54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45" t="s">
        <v>162</v>
      </c>
      <c r="C34" s="546"/>
      <c r="D34" s="546"/>
      <c r="E34" s="546"/>
      <c r="F34" s="54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14" t="s">
        <v>182</v>
      </c>
      <c r="C35" s="615"/>
      <c r="D35" s="615"/>
      <c r="E35" s="615"/>
      <c r="F35" s="61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45" t="s">
        <v>190</v>
      </c>
      <c r="C36" s="546"/>
      <c r="D36" s="546"/>
      <c r="E36" s="546"/>
      <c r="F36" s="54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45" t="s">
        <v>196</v>
      </c>
      <c r="C37" s="546"/>
      <c r="D37" s="546"/>
      <c r="E37" s="546"/>
      <c r="F37" s="54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45" t="s">
        <v>204</v>
      </c>
      <c r="C38" s="546"/>
      <c r="D38" s="546"/>
      <c r="E38" s="546"/>
      <c r="F38" s="54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45" t="s">
        <v>212</v>
      </c>
      <c r="C39" s="546"/>
      <c r="D39" s="546"/>
      <c r="E39" s="546"/>
      <c r="F39" s="54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41" t="s">
        <v>230</v>
      </c>
      <c r="C40" s="542"/>
      <c r="D40" s="542"/>
      <c r="E40" s="542"/>
      <c r="F40" s="54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45" t="s">
        <v>232</v>
      </c>
      <c r="C41" s="546"/>
      <c r="D41" s="546"/>
      <c r="E41" s="546"/>
      <c r="F41" s="54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45" t="s">
        <v>248</v>
      </c>
      <c r="C42" s="546"/>
      <c r="D42" s="546"/>
      <c r="E42" s="546"/>
      <c r="F42" s="54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45" t="s">
        <v>259</v>
      </c>
      <c r="C43" s="546"/>
      <c r="D43" s="546"/>
      <c r="E43" s="546"/>
      <c r="F43" s="54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45" t="s">
        <v>274</v>
      </c>
      <c r="C44" s="546"/>
      <c r="D44" s="546"/>
      <c r="E44" s="546"/>
      <c r="F44" s="54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45" t="s">
        <v>278</v>
      </c>
      <c r="C45" s="546"/>
      <c r="D45" s="546"/>
      <c r="E45" s="546"/>
      <c r="F45" s="54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43" t="s">
        <v>286</v>
      </c>
      <c r="C46" s="544"/>
      <c r="D46" s="544"/>
      <c r="E46" s="544"/>
      <c r="F46" s="54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43" t="s">
        <v>320</v>
      </c>
      <c r="C47" s="544"/>
      <c r="D47" s="544"/>
      <c r="E47" s="544"/>
      <c r="F47" s="54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12" t="s">
        <v>113</v>
      </c>
      <c r="C48" s="613"/>
      <c r="D48" s="613"/>
      <c r="E48" s="613"/>
      <c r="F48" s="613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604" t="s">
        <v>366</v>
      </c>
      <c r="C49" s="605"/>
      <c r="D49" s="605"/>
      <c r="E49" s="605"/>
      <c r="F49" s="605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31" t="s">
        <v>359</v>
      </c>
      <c r="C50" s="532"/>
      <c r="D50" s="532"/>
      <c r="E50" s="532"/>
      <c r="F50" s="532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606" t="s">
        <v>795</v>
      </c>
      <c r="C51" s="607"/>
      <c r="D51" s="607"/>
      <c r="E51" s="607"/>
      <c r="F51" s="607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608" t="s">
        <v>685</v>
      </c>
      <c r="C52" s="609"/>
      <c r="D52" s="609"/>
      <c r="E52" s="609"/>
      <c r="F52" s="609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37" t="s">
        <v>545</v>
      </c>
      <c r="C53" s="538"/>
      <c r="D53" s="538"/>
      <c r="E53" s="538"/>
      <c r="F53" s="53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9" t="s">
        <v>793</v>
      </c>
      <c r="C54" s="540"/>
      <c r="D54" s="540"/>
      <c r="E54" s="540"/>
      <c r="F54" s="54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61" t="s">
        <v>352</v>
      </c>
      <c r="C55" s="562"/>
      <c r="D55" s="562"/>
      <c r="E55" s="562"/>
      <c r="F55" s="56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9" t="s">
        <v>355</v>
      </c>
      <c r="C56" s="530"/>
      <c r="D56" s="530"/>
      <c r="E56" s="530"/>
      <c r="F56" s="530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13" t="s">
        <v>357</v>
      </c>
      <c r="C57" s="514"/>
      <c r="D57" s="514"/>
      <c r="E57" s="514"/>
      <c r="F57" s="51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17" t="s">
        <v>336</v>
      </c>
      <c r="C58" s="618"/>
      <c r="D58" s="618"/>
      <c r="E58" s="618"/>
      <c r="F58" s="618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33" t="s">
        <v>543</v>
      </c>
      <c r="C59" s="534"/>
      <c r="D59" s="534"/>
      <c r="E59" s="534"/>
      <c r="F59" s="534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35" t="s">
        <v>544</v>
      </c>
      <c r="C60" s="536"/>
      <c r="D60" s="536"/>
      <c r="E60" s="536"/>
      <c r="F60" s="536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9" t="s">
        <v>114</v>
      </c>
      <c r="C61" s="530"/>
      <c r="D61" s="530"/>
      <c r="E61" s="530"/>
      <c r="F61" s="530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13" t="s">
        <v>116</v>
      </c>
      <c r="C62" s="514"/>
      <c r="D62" s="514"/>
      <c r="E62" s="514"/>
      <c r="F62" s="51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13" t="s">
        <v>93</v>
      </c>
      <c r="C63" s="514"/>
      <c r="D63" s="514"/>
      <c r="E63" s="514"/>
      <c r="F63" s="51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93" t="s">
        <v>552</v>
      </c>
      <c r="C100" s="594"/>
      <c r="D100" s="594"/>
      <c r="E100" s="594"/>
      <c r="F100" s="594"/>
      <c r="G100" s="601">
        <v>2019</v>
      </c>
      <c r="H100" s="602"/>
      <c r="I100" s="602"/>
      <c r="J100" s="602"/>
      <c r="K100" s="602"/>
      <c r="L100" s="602"/>
      <c r="M100" s="602"/>
      <c r="N100" s="602"/>
      <c r="O100" s="602"/>
      <c r="P100" s="602"/>
      <c r="Q100" s="602"/>
      <c r="R100" s="603"/>
      <c r="S100" s="107" t="str">
        <f>+S7</f>
        <v>BDP</v>
      </c>
      <c r="T100" s="108">
        <f>+T7</f>
        <v>4951000000</v>
      </c>
    </row>
    <row r="101" spans="1:21" ht="15.75" customHeight="1">
      <c r="B101" s="595"/>
      <c r="C101" s="596"/>
      <c r="D101" s="596"/>
      <c r="E101" s="596"/>
      <c r="F101" s="59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1" t="s">
        <v>809</v>
      </c>
      <c r="T101" s="603">
        <f>+T8</f>
        <v>0</v>
      </c>
    </row>
    <row r="102" spans="1:21" ht="13.5" thickBot="1">
      <c r="B102" s="598"/>
      <c r="C102" s="599"/>
      <c r="D102" s="599"/>
      <c r="E102" s="599"/>
      <c r="F102" s="60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9" t="s">
        <v>681</v>
      </c>
      <c r="C103" s="590"/>
      <c r="D103" s="590"/>
      <c r="E103" s="590"/>
      <c r="F103" s="59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91" t="s">
        <v>21</v>
      </c>
      <c r="C104" s="592"/>
      <c r="D104" s="592"/>
      <c r="E104" s="592"/>
      <c r="F104" s="59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9" t="s">
        <v>23</v>
      </c>
      <c r="C105" s="580"/>
      <c r="D105" s="580"/>
      <c r="E105" s="580"/>
      <c r="F105" s="580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9" t="s">
        <v>25</v>
      </c>
      <c r="C106" s="580"/>
      <c r="D106" s="580"/>
      <c r="E106" s="580"/>
      <c r="F106" s="580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9" t="s">
        <v>27</v>
      </c>
      <c r="C107" s="580"/>
      <c r="D107" s="580"/>
      <c r="E107" s="580"/>
      <c r="F107" s="580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9" t="s">
        <v>29</v>
      </c>
      <c r="C108" s="580"/>
      <c r="D108" s="580"/>
      <c r="E108" s="580"/>
      <c r="F108" s="580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9" t="s">
        <v>31</v>
      </c>
      <c r="C109" s="580"/>
      <c r="D109" s="580"/>
      <c r="E109" s="580"/>
      <c r="F109" s="580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9" t="s">
        <v>33</v>
      </c>
      <c r="C110" s="580"/>
      <c r="D110" s="580"/>
      <c r="E110" s="580"/>
      <c r="F110" s="580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9" t="s">
        <v>722</v>
      </c>
      <c r="C111" s="580"/>
      <c r="D111" s="580"/>
      <c r="E111" s="580"/>
      <c r="F111" s="580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87" t="s">
        <v>37</v>
      </c>
      <c r="C112" s="588"/>
      <c r="D112" s="588"/>
      <c r="E112" s="588"/>
      <c r="F112" s="588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9" t="s">
        <v>39</v>
      </c>
      <c r="C113" s="580"/>
      <c r="D113" s="580"/>
      <c r="E113" s="580"/>
      <c r="F113" s="580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9" t="s">
        <v>41</v>
      </c>
      <c r="C114" s="580"/>
      <c r="D114" s="580"/>
      <c r="E114" s="580"/>
      <c r="F114" s="580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9" t="s">
        <v>43</v>
      </c>
      <c r="C115" s="580"/>
      <c r="D115" s="580"/>
      <c r="E115" s="580"/>
      <c r="F115" s="580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9" t="s">
        <v>45</v>
      </c>
      <c r="C116" s="580"/>
      <c r="D116" s="580"/>
      <c r="E116" s="580"/>
      <c r="F116" s="580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85" t="s">
        <v>47</v>
      </c>
      <c r="C117" s="586"/>
      <c r="D117" s="586"/>
      <c r="E117" s="586"/>
      <c r="F117" s="586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85" t="s">
        <v>61</v>
      </c>
      <c r="C118" s="586"/>
      <c r="D118" s="586"/>
      <c r="E118" s="586"/>
      <c r="F118" s="586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85" t="s">
        <v>81</v>
      </c>
      <c r="C119" s="586"/>
      <c r="D119" s="586"/>
      <c r="E119" s="586"/>
      <c r="F119" s="586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85" t="s">
        <v>99</v>
      </c>
      <c r="C120" s="586"/>
      <c r="D120" s="586"/>
      <c r="E120" s="586"/>
      <c r="F120" s="586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81" t="s">
        <v>105</v>
      </c>
      <c r="C121" s="582"/>
      <c r="D121" s="582"/>
      <c r="E121" s="582"/>
      <c r="F121" s="582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63" t="s">
        <v>811</v>
      </c>
      <c r="C122" s="564"/>
      <c r="D122" s="564"/>
      <c r="E122" s="564"/>
      <c r="F122" s="564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21" t="s">
        <v>774</v>
      </c>
      <c r="C123" s="622"/>
      <c r="D123" s="622"/>
      <c r="E123" s="622"/>
      <c r="F123" s="622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83" t="e">
        <v>#REF!</v>
      </c>
      <c r="C124" s="584"/>
      <c r="D124" s="584"/>
      <c r="E124" s="584"/>
      <c r="F124" s="584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9" t="s">
        <v>122</v>
      </c>
      <c r="C125" s="580"/>
      <c r="D125" s="580"/>
      <c r="E125" s="580"/>
      <c r="F125" s="580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9" t="s">
        <v>133</v>
      </c>
      <c r="C126" s="580"/>
      <c r="D126" s="580"/>
      <c r="E126" s="580"/>
      <c r="F126" s="580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9" t="s">
        <v>148</v>
      </c>
      <c r="C127" s="580"/>
      <c r="D127" s="580"/>
      <c r="E127" s="580"/>
      <c r="F127" s="580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9" t="s">
        <v>162</v>
      </c>
      <c r="C128" s="580"/>
      <c r="D128" s="580"/>
      <c r="E128" s="580"/>
      <c r="F128" s="580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9" t="s">
        <v>182</v>
      </c>
      <c r="C129" s="580"/>
      <c r="D129" s="580"/>
      <c r="E129" s="580"/>
      <c r="F129" s="580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9" t="s">
        <v>190</v>
      </c>
      <c r="C130" s="580"/>
      <c r="D130" s="580"/>
      <c r="E130" s="580"/>
      <c r="F130" s="580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9" t="s">
        <v>196</v>
      </c>
      <c r="C131" s="580"/>
      <c r="D131" s="580"/>
      <c r="E131" s="580"/>
      <c r="F131" s="580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9" t="s">
        <v>204</v>
      </c>
      <c r="C132" s="580"/>
      <c r="D132" s="580"/>
      <c r="E132" s="580"/>
      <c r="F132" s="580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9" t="s">
        <v>212</v>
      </c>
      <c r="C133" s="580"/>
      <c r="D133" s="580"/>
      <c r="E133" s="580"/>
      <c r="F133" s="580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9" t="e">
        <v>#REF!</v>
      </c>
      <c r="C134" s="580"/>
      <c r="D134" s="580"/>
      <c r="E134" s="580"/>
      <c r="F134" s="580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75" t="s">
        <v>230</v>
      </c>
      <c r="C135" s="576"/>
      <c r="D135" s="576"/>
      <c r="E135" s="576"/>
      <c r="F135" s="576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9" t="s">
        <v>232</v>
      </c>
      <c r="C136" s="580"/>
      <c r="D136" s="580"/>
      <c r="E136" s="580"/>
      <c r="F136" s="580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9" t="s">
        <v>248</v>
      </c>
      <c r="C137" s="580"/>
      <c r="D137" s="580"/>
      <c r="E137" s="580"/>
      <c r="F137" s="580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9" t="s">
        <v>259</v>
      </c>
      <c r="C138" s="580"/>
      <c r="D138" s="580"/>
      <c r="E138" s="580"/>
      <c r="F138" s="580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9" t="s">
        <v>274</v>
      </c>
      <c r="C139" s="580"/>
      <c r="D139" s="580"/>
      <c r="E139" s="580"/>
      <c r="F139" s="580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9" t="s">
        <v>278</v>
      </c>
      <c r="C140" s="580"/>
      <c r="D140" s="580"/>
      <c r="E140" s="580"/>
      <c r="F140" s="580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77" t="s">
        <v>286</v>
      </c>
      <c r="C141" s="578"/>
      <c r="D141" s="578"/>
      <c r="E141" s="578"/>
      <c r="F141" s="578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77" t="s">
        <v>812</v>
      </c>
      <c r="C142" s="578"/>
      <c r="D142" s="578"/>
      <c r="E142" s="578"/>
      <c r="F142" s="578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9" t="s">
        <v>113</v>
      </c>
      <c r="C143" s="570"/>
      <c r="D143" s="570"/>
      <c r="E143" s="570"/>
      <c r="F143" s="570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9" t="s">
        <v>366</v>
      </c>
      <c r="C144" s="570"/>
      <c r="D144" s="570"/>
      <c r="E144" s="570"/>
      <c r="F144" s="570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9" t="s">
        <v>359</v>
      </c>
      <c r="C145" s="570"/>
      <c r="D145" s="570"/>
      <c r="E145" s="570"/>
      <c r="F145" s="570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9" t="s">
        <v>365</v>
      </c>
      <c r="C146" s="570"/>
      <c r="D146" s="570"/>
      <c r="E146" s="570"/>
      <c r="F146" s="570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9" t="s">
        <v>686</v>
      </c>
      <c r="C147" s="620"/>
      <c r="D147" s="620"/>
      <c r="E147" s="620"/>
      <c r="F147" s="620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71" t="s">
        <v>545</v>
      </c>
      <c r="C148" s="572"/>
      <c r="D148" s="572"/>
      <c r="E148" s="572"/>
      <c r="F148" s="572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73" t="s">
        <v>813</v>
      </c>
      <c r="C149" s="574"/>
      <c r="D149" s="574"/>
      <c r="E149" s="574"/>
      <c r="F149" s="574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75" t="s">
        <v>352</v>
      </c>
      <c r="C150" s="576"/>
      <c r="D150" s="576"/>
      <c r="E150" s="576"/>
      <c r="F150" s="576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67" t="s">
        <v>355</v>
      </c>
      <c r="C151" s="568"/>
      <c r="D151" s="568"/>
      <c r="E151" s="568"/>
      <c r="F151" s="568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9" t="s">
        <v>357</v>
      </c>
      <c r="C152" s="570"/>
      <c r="D152" s="570"/>
      <c r="E152" s="570"/>
      <c r="F152" s="570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17" t="s">
        <v>336</v>
      </c>
      <c r="C153" s="618"/>
      <c r="D153" s="618"/>
      <c r="E153" s="618"/>
      <c r="F153" s="618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65" t="s">
        <v>543</v>
      </c>
      <c r="C154" s="566"/>
      <c r="D154" s="566"/>
      <c r="E154" s="566"/>
      <c r="F154" s="566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63" t="s">
        <v>544</v>
      </c>
      <c r="C155" s="564"/>
      <c r="D155" s="564"/>
      <c r="E155" s="564"/>
      <c r="F155" s="564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67" t="s">
        <v>114</v>
      </c>
      <c r="C156" s="568"/>
      <c r="D156" s="568"/>
      <c r="E156" s="568"/>
      <c r="F156" s="568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9" t="s">
        <v>116</v>
      </c>
      <c r="C157" s="570"/>
      <c r="D157" s="570"/>
      <c r="E157" s="570"/>
      <c r="F157" s="570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9" t="s">
        <v>93</v>
      </c>
      <c r="C158" s="570"/>
      <c r="D158" s="570"/>
      <c r="E158" s="570"/>
      <c r="F158" s="570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9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16" t="s">
        <v>554</v>
      </c>
      <c r="C7" s="516"/>
      <c r="D7" s="516"/>
      <c r="E7" s="516"/>
      <c r="F7" s="516"/>
      <c r="G7" s="524">
        <v>2018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">
        <v>419</v>
      </c>
      <c r="T7" s="236">
        <v>4663130000</v>
      </c>
    </row>
    <row r="8" spans="1:20" ht="16.5" customHeight="1">
      <c r="A8" s="144"/>
      <c r="B8" s="517"/>
      <c r="C8" s="518"/>
      <c r="D8" s="518"/>
      <c r="E8" s="518"/>
      <c r="F8" s="51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4" t="s">
        <v>809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57" t="s">
        <v>681</v>
      </c>
      <c r="C10" s="558"/>
      <c r="D10" s="558"/>
      <c r="E10" s="558"/>
      <c r="F10" s="558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9" t="s">
        <v>21</v>
      </c>
      <c r="C11" s="560"/>
      <c r="D11" s="560"/>
      <c r="E11" s="560"/>
      <c r="F11" s="560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45" t="s">
        <v>23</v>
      </c>
      <c r="C12" s="546"/>
      <c r="D12" s="546"/>
      <c r="E12" s="546"/>
      <c r="F12" s="54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45" t="s">
        <v>25</v>
      </c>
      <c r="C13" s="546"/>
      <c r="D13" s="546"/>
      <c r="E13" s="546"/>
      <c r="F13" s="54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45" t="s">
        <v>27</v>
      </c>
      <c r="C14" s="546"/>
      <c r="D14" s="546"/>
      <c r="E14" s="546"/>
      <c r="F14" s="54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45" t="s">
        <v>29</v>
      </c>
      <c r="C15" s="546"/>
      <c r="D15" s="546"/>
      <c r="E15" s="546"/>
      <c r="F15" s="54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45" t="s">
        <v>31</v>
      </c>
      <c r="C16" s="546"/>
      <c r="D16" s="546"/>
      <c r="E16" s="546"/>
      <c r="F16" s="54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45" t="s">
        <v>33</v>
      </c>
      <c r="C17" s="546"/>
      <c r="D17" s="546"/>
      <c r="E17" s="546"/>
      <c r="F17" s="54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45" t="s">
        <v>722</v>
      </c>
      <c r="C18" s="546"/>
      <c r="D18" s="546"/>
      <c r="E18" s="546"/>
      <c r="F18" s="54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55" t="s">
        <v>37</v>
      </c>
      <c r="C19" s="556"/>
      <c r="D19" s="556"/>
      <c r="E19" s="556"/>
      <c r="F19" s="556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45" t="s">
        <v>39</v>
      </c>
      <c r="C20" s="546"/>
      <c r="D20" s="546"/>
      <c r="E20" s="546"/>
      <c r="F20" s="54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45" t="s">
        <v>41</v>
      </c>
      <c r="C21" s="546"/>
      <c r="D21" s="546"/>
      <c r="E21" s="546"/>
      <c r="F21" s="54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45" t="s">
        <v>43</v>
      </c>
      <c r="C22" s="546"/>
      <c r="D22" s="546"/>
      <c r="E22" s="546"/>
      <c r="F22" s="54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45" t="s">
        <v>45</v>
      </c>
      <c r="C23" s="546"/>
      <c r="D23" s="546"/>
      <c r="E23" s="546"/>
      <c r="F23" s="54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47" t="s">
        <v>47</v>
      </c>
      <c r="C24" s="548"/>
      <c r="D24" s="548"/>
      <c r="E24" s="548"/>
      <c r="F24" s="54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47" t="s">
        <v>61</v>
      </c>
      <c r="C25" s="548"/>
      <c r="D25" s="548"/>
      <c r="E25" s="548"/>
      <c r="F25" s="54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47" t="s">
        <v>81</v>
      </c>
      <c r="C26" s="548"/>
      <c r="D26" s="548"/>
      <c r="E26" s="548"/>
      <c r="F26" s="54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47" t="s">
        <v>99</v>
      </c>
      <c r="C27" s="548"/>
      <c r="D27" s="548"/>
      <c r="E27" s="548"/>
      <c r="F27" s="54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9" t="s">
        <v>105</v>
      </c>
      <c r="C28" s="550"/>
      <c r="D28" s="550"/>
      <c r="E28" s="550"/>
      <c r="F28" s="550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35" t="s">
        <v>802</v>
      </c>
      <c r="C29" s="536"/>
      <c r="D29" s="536"/>
      <c r="E29" s="536"/>
      <c r="F29" s="536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51" t="s">
        <v>774</v>
      </c>
      <c r="C30" s="552"/>
      <c r="D30" s="552"/>
      <c r="E30" s="552"/>
      <c r="F30" s="552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53" t="s">
        <v>120</v>
      </c>
      <c r="C31" s="554"/>
      <c r="D31" s="554"/>
      <c r="E31" s="554"/>
      <c r="F31" s="554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45" t="s">
        <v>122</v>
      </c>
      <c r="C32" s="546"/>
      <c r="D32" s="546"/>
      <c r="E32" s="546"/>
      <c r="F32" s="54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45" t="s">
        <v>133</v>
      </c>
      <c r="C33" s="546"/>
      <c r="D33" s="546"/>
      <c r="E33" s="546"/>
      <c r="F33" s="54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45" t="s">
        <v>148</v>
      </c>
      <c r="C34" s="546"/>
      <c r="D34" s="546"/>
      <c r="E34" s="546"/>
      <c r="F34" s="54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45" t="s">
        <v>162</v>
      </c>
      <c r="C35" s="546"/>
      <c r="D35" s="546"/>
      <c r="E35" s="546"/>
      <c r="F35" s="54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45" t="s">
        <v>182</v>
      </c>
      <c r="C36" s="546"/>
      <c r="D36" s="546"/>
      <c r="E36" s="546"/>
      <c r="F36" s="54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45" t="s">
        <v>190</v>
      </c>
      <c r="C37" s="546"/>
      <c r="D37" s="546"/>
      <c r="E37" s="546"/>
      <c r="F37" s="54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45" t="s">
        <v>196</v>
      </c>
      <c r="C38" s="546"/>
      <c r="D38" s="546"/>
      <c r="E38" s="546"/>
      <c r="F38" s="54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45" t="s">
        <v>204</v>
      </c>
      <c r="C39" s="546"/>
      <c r="D39" s="546"/>
      <c r="E39" s="546"/>
      <c r="F39" s="54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45" t="s">
        <v>212</v>
      </c>
      <c r="C40" s="546"/>
      <c r="D40" s="546"/>
      <c r="E40" s="546"/>
      <c r="F40" s="54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45" t="s">
        <v>803</v>
      </c>
      <c r="C41" s="546"/>
      <c r="D41" s="546"/>
      <c r="E41" s="546"/>
      <c r="F41" s="54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41" t="s">
        <v>230</v>
      </c>
      <c r="C42" s="542"/>
      <c r="D42" s="542"/>
      <c r="E42" s="542"/>
      <c r="F42" s="54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45" t="s">
        <v>232</v>
      </c>
      <c r="C43" s="546"/>
      <c r="D43" s="546"/>
      <c r="E43" s="546"/>
      <c r="F43" s="54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45" t="s">
        <v>248</v>
      </c>
      <c r="C44" s="546"/>
      <c r="D44" s="546"/>
      <c r="E44" s="546"/>
      <c r="F44" s="54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45" t="s">
        <v>259</v>
      </c>
      <c r="C45" s="546"/>
      <c r="D45" s="546"/>
      <c r="E45" s="546"/>
      <c r="F45" s="54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45" t="s">
        <v>274</v>
      </c>
      <c r="C46" s="546"/>
      <c r="D46" s="546"/>
      <c r="E46" s="546"/>
      <c r="F46" s="54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25" t="s">
        <v>278</v>
      </c>
      <c r="C47" s="626"/>
      <c r="D47" s="626"/>
      <c r="E47" s="626"/>
      <c r="F47" s="626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43" t="s">
        <v>286</v>
      </c>
      <c r="C48" s="544"/>
      <c r="D48" s="544"/>
      <c r="E48" s="544"/>
      <c r="F48" s="54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43" t="s">
        <v>320</v>
      </c>
      <c r="C49" s="544"/>
      <c r="D49" s="544"/>
      <c r="E49" s="544"/>
      <c r="F49" s="54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12" t="s">
        <v>113</v>
      </c>
      <c r="C50" s="613"/>
      <c r="D50" s="613"/>
      <c r="E50" s="613"/>
      <c r="F50" s="613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13" t="s">
        <v>366</v>
      </c>
      <c r="C51" s="514"/>
      <c r="D51" s="514"/>
      <c r="E51" s="514"/>
      <c r="F51" s="51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31" t="s">
        <v>359</v>
      </c>
      <c r="C52" s="532"/>
      <c r="D52" s="532"/>
      <c r="E52" s="532"/>
      <c r="F52" s="532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606" t="s">
        <v>795</v>
      </c>
      <c r="C53" s="607"/>
      <c r="D53" s="607"/>
      <c r="E53" s="607"/>
      <c r="F53" s="607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608" t="s">
        <v>685</v>
      </c>
      <c r="C54" s="609"/>
      <c r="D54" s="609"/>
      <c r="E54" s="609"/>
      <c r="F54" s="609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37" t="s">
        <v>545</v>
      </c>
      <c r="C55" s="538"/>
      <c r="D55" s="538"/>
      <c r="E55" s="538"/>
      <c r="F55" s="53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9" t="s">
        <v>794</v>
      </c>
      <c r="C57" s="540"/>
      <c r="D57" s="540"/>
      <c r="E57" s="540"/>
      <c r="F57" s="54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61" t="s">
        <v>352</v>
      </c>
      <c r="C58" s="562"/>
      <c r="D58" s="562"/>
      <c r="E58" s="562"/>
      <c r="F58" s="56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9" t="s">
        <v>355</v>
      </c>
      <c r="C59" s="530"/>
      <c r="D59" s="530"/>
      <c r="E59" s="530"/>
      <c r="F59" s="530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13" t="s">
        <v>357</v>
      </c>
      <c r="C60" s="514"/>
      <c r="D60" s="514"/>
      <c r="E60" s="514"/>
      <c r="F60" s="51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23" t="s">
        <v>336</v>
      </c>
      <c r="C61" s="624"/>
      <c r="D61" s="624"/>
      <c r="E61" s="624"/>
      <c r="F61" s="624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33" t="s">
        <v>543</v>
      </c>
      <c r="C62" s="534"/>
      <c r="D62" s="534"/>
      <c r="E62" s="534"/>
      <c r="F62" s="53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35" t="s">
        <v>544</v>
      </c>
      <c r="C63" s="536"/>
      <c r="D63" s="536"/>
      <c r="E63" s="536"/>
      <c r="F63" s="536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9" t="s">
        <v>114</v>
      </c>
      <c r="C64" s="530"/>
      <c r="D64" s="530"/>
      <c r="E64" s="530"/>
      <c r="F64" s="530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13" t="s">
        <v>116</v>
      </c>
      <c r="C65" s="514"/>
      <c r="D65" s="514"/>
      <c r="E65" s="514"/>
      <c r="F65" s="51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13" t="s">
        <v>93</v>
      </c>
      <c r="C66" s="514"/>
      <c r="D66" s="514"/>
      <c r="E66" s="514"/>
      <c r="F66" s="51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3" t="s">
        <v>552</v>
      </c>
      <c r="C103" s="594"/>
      <c r="D103" s="594"/>
      <c r="E103" s="594"/>
      <c r="F103" s="594"/>
      <c r="G103" s="601">
        <v>2018</v>
      </c>
      <c r="H103" s="602"/>
      <c r="I103" s="602"/>
      <c r="J103" s="602"/>
      <c r="K103" s="602"/>
      <c r="L103" s="602"/>
      <c r="M103" s="602"/>
      <c r="N103" s="602"/>
      <c r="O103" s="602"/>
      <c r="P103" s="602"/>
      <c r="Q103" s="602"/>
      <c r="R103" s="603"/>
      <c r="S103" s="107" t="str">
        <f>+S7</f>
        <v>BDP</v>
      </c>
      <c r="T103" s="108">
        <f>+T7</f>
        <v>4663130000</v>
      </c>
    </row>
    <row r="104" spans="1:21" ht="15.75" customHeight="1">
      <c r="B104" s="595"/>
      <c r="C104" s="596"/>
      <c r="D104" s="596"/>
      <c r="E104" s="596"/>
      <c r="F104" s="59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1" t="s">
        <v>809</v>
      </c>
      <c r="T104" s="603">
        <f>+T8</f>
        <v>0</v>
      </c>
    </row>
    <row r="105" spans="1:21" ht="13.5" thickBot="1">
      <c r="B105" s="598"/>
      <c r="C105" s="599"/>
      <c r="D105" s="599"/>
      <c r="E105" s="599"/>
      <c r="F105" s="600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9" t="s">
        <v>681</v>
      </c>
      <c r="C106" s="590"/>
      <c r="D106" s="590"/>
      <c r="E106" s="590"/>
      <c r="F106" s="59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91" t="s">
        <v>21</v>
      </c>
      <c r="C107" s="592"/>
      <c r="D107" s="592"/>
      <c r="E107" s="592"/>
      <c r="F107" s="59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9" t="s">
        <v>23</v>
      </c>
      <c r="C108" s="580"/>
      <c r="D108" s="580"/>
      <c r="E108" s="580"/>
      <c r="F108" s="580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9" t="s">
        <v>25</v>
      </c>
      <c r="C109" s="580"/>
      <c r="D109" s="580"/>
      <c r="E109" s="580"/>
      <c r="F109" s="580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9" t="s">
        <v>27</v>
      </c>
      <c r="C110" s="580"/>
      <c r="D110" s="580"/>
      <c r="E110" s="580"/>
      <c r="F110" s="580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9" t="s">
        <v>29</v>
      </c>
      <c r="C111" s="580"/>
      <c r="D111" s="580"/>
      <c r="E111" s="580"/>
      <c r="F111" s="580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9" t="s">
        <v>31</v>
      </c>
      <c r="C112" s="580"/>
      <c r="D112" s="580"/>
      <c r="E112" s="580"/>
      <c r="F112" s="580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9" t="s">
        <v>33</v>
      </c>
      <c r="C113" s="580"/>
      <c r="D113" s="580"/>
      <c r="E113" s="580"/>
      <c r="F113" s="580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9" t="s">
        <v>722</v>
      </c>
      <c r="C114" s="580"/>
      <c r="D114" s="580"/>
      <c r="E114" s="580"/>
      <c r="F114" s="580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87" t="s">
        <v>37</v>
      </c>
      <c r="C115" s="588"/>
      <c r="D115" s="588"/>
      <c r="E115" s="588"/>
      <c r="F115" s="588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9" t="s">
        <v>39</v>
      </c>
      <c r="C116" s="580"/>
      <c r="D116" s="580"/>
      <c r="E116" s="580"/>
      <c r="F116" s="580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9" t="s">
        <v>41</v>
      </c>
      <c r="C117" s="580"/>
      <c r="D117" s="580"/>
      <c r="E117" s="580"/>
      <c r="F117" s="580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9" t="s">
        <v>43</v>
      </c>
      <c r="C118" s="580"/>
      <c r="D118" s="580"/>
      <c r="E118" s="580"/>
      <c r="F118" s="580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9" t="s">
        <v>45</v>
      </c>
      <c r="C119" s="580"/>
      <c r="D119" s="580"/>
      <c r="E119" s="580"/>
      <c r="F119" s="580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85" t="s">
        <v>47</v>
      </c>
      <c r="C120" s="586"/>
      <c r="D120" s="586"/>
      <c r="E120" s="586"/>
      <c r="F120" s="586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85" t="s">
        <v>61</v>
      </c>
      <c r="C121" s="586"/>
      <c r="D121" s="586"/>
      <c r="E121" s="586"/>
      <c r="F121" s="586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85" t="s">
        <v>81</v>
      </c>
      <c r="C122" s="586"/>
      <c r="D122" s="586"/>
      <c r="E122" s="586"/>
      <c r="F122" s="586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85" t="s">
        <v>99</v>
      </c>
      <c r="C123" s="586"/>
      <c r="D123" s="586"/>
      <c r="E123" s="586"/>
      <c r="F123" s="586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81" t="s">
        <v>105</v>
      </c>
      <c r="C124" s="582"/>
      <c r="D124" s="582"/>
      <c r="E124" s="582"/>
      <c r="F124" s="582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63" t="s">
        <v>811</v>
      </c>
      <c r="C125" s="564"/>
      <c r="D125" s="564"/>
      <c r="E125" s="564"/>
      <c r="F125" s="564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21" t="s">
        <v>774</v>
      </c>
      <c r="C126" s="622"/>
      <c r="D126" s="622"/>
      <c r="E126" s="622"/>
      <c r="F126" s="622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83" t="s">
        <v>120</v>
      </c>
      <c r="C127" s="584"/>
      <c r="D127" s="584"/>
      <c r="E127" s="584"/>
      <c r="F127" s="584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9" t="s">
        <v>122</v>
      </c>
      <c r="C128" s="580"/>
      <c r="D128" s="580"/>
      <c r="E128" s="580"/>
      <c r="F128" s="580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9" t="s">
        <v>133</v>
      </c>
      <c r="C129" s="580"/>
      <c r="D129" s="580"/>
      <c r="E129" s="580"/>
      <c r="F129" s="580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9" t="s">
        <v>148</v>
      </c>
      <c r="C130" s="580"/>
      <c r="D130" s="580"/>
      <c r="E130" s="580"/>
      <c r="F130" s="580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9" t="s">
        <v>162</v>
      </c>
      <c r="C131" s="580"/>
      <c r="D131" s="580"/>
      <c r="E131" s="580"/>
      <c r="F131" s="580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9" t="s">
        <v>182</v>
      </c>
      <c r="C132" s="580"/>
      <c r="D132" s="580"/>
      <c r="E132" s="580"/>
      <c r="F132" s="580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9" t="s">
        <v>190</v>
      </c>
      <c r="C133" s="580"/>
      <c r="D133" s="580"/>
      <c r="E133" s="580"/>
      <c r="F133" s="580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9" t="s">
        <v>196</v>
      </c>
      <c r="C134" s="580"/>
      <c r="D134" s="580"/>
      <c r="E134" s="580"/>
      <c r="F134" s="580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9" t="s">
        <v>204</v>
      </c>
      <c r="C135" s="580"/>
      <c r="D135" s="580"/>
      <c r="E135" s="580"/>
      <c r="F135" s="580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9" t="s">
        <v>212</v>
      </c>
      <c r="C136" s="580"/>
      <c r="D136" s="580"/>
      <c r="E136" s="580"/>
      <c r="F136" s="580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9" t="s">
        <v>803</v>
      </c>
      <c r="C137" s="580"/>
      <c r="D137" s="580"/>
      <c r="E137" s="580"/>
      <c r="F137" s="580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75" t="s">
        <v>230</v>
      </c>
      <c r="C138" s="576"/>
      <c r="D138" s="576"/>
      <c r="E138" s="576"/>
      <c r="F138" s="576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9" t="s">
        <v>232</v>
      </c>
      <c r="C139" s="580"/>
      <c r="D139" s="580"/>
      <c r="E139" s="580"/>
      <c r="F139" s="580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9" t="s">
        <v>248</v>
      </c>
      <c r="C140" s="580"/>
      <c r="D140" s="580"/>
      <c r="E140" s="580"/>
      <c r="F140" s="580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9" t="s">
        <v>259</v>
      </c>
      <c r="C141" s="580"/>
      <c r="D141" s="580"/>
      <c r="E141" s="580"/>
      <c r="F141" s="580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9" t="s">
        <v>274</v>
      </c>
      <c r="C142" s="580"/>
      <c r="D142" s="580"/>
      <c r="E142" s="580"/>
      <c r="F142" s="580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9" t="s">
        <v>278</v>
      </c>
      <c r="C143" s="580"/>
      <c r="D143" s="580"/>
      <c r="E143" s="580"/>
      <c r="F143" s="580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77" t="s">
        <v>286</v>
      </c>
      <c r="C144" s="578"/>
      <c r="D144" s="578"/>
      <c r="E144" s="578"/>
      <c r="F144" s="578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77" t="s">
        <v>812</v>
      </c>
      <c r="C145" s="578"/>
      <c r="D145" s="578"/>
      <c r="E145" s="578"/>
      <c r="F145" s="578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9" t="s">
        <v>113</v>
      </c>
      <c r="C146" s="570"/>
      <c r="D146" s="570"/>
      <c r="E146" s="570"/>
      <c r="F146" s="570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9" t="s">
        <v>366</v>
      </c>
      <c r="C147" s="570"/>
      <c r="D147" s="570"/>
      <c r="E147" s="570"/>
      <c r="F147" s="570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9" t="s">
        <v>359</v>
      </c>
      <c r="C148" s="570"/>
      <c r="D148" s="570"/>
      <c r="E148" s="570"/>
      <c r="F148" s="570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71" t="s">
        <v>545</v>
      </c>
      <c r="C150" s="572"/>
      <c r="D150" s="572"/>
      <c r="E150" s="572"/>
      <c r="F150" s="572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73" t="s">
        <v>813</v>
      </c>
      <c r="C151" s="574"/>
      <c r="D151" s="574"/>
      <c r="E151" s="574"/>
      <c r="F151" s="574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75" t="s">
        <v>352</v>
      </c>
      <c r="C152" s="576"/>
      <c r="D152" s="576"/>
      <c r="E152" s="576"/>
      <c r="F152" s="576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67" t="s">
        <v>355</v>
      </c>
      <c r="C153" s="568"/>
      <c r="D153" s="568"/>
      <c r="E153" s="568"/>
      <c r="F153" s="568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9" t="s">
        <v>357</v>
      </c>
      <c r="C154" s="570"/>
      <c r="D154" s="570"/>
      <c r="E154" s="570"/>
      <c r="F154" s="570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9" t="s">
        <v>365</v>
      </c>
      <c r="C155" s="570"/>
      <c r="D155" s="570"/>
      <c r="E155" s="570"/>
      <c r="F155" s="570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65" t="s">
        <v>543</v>
      </c>
      <c r="C157" s="566"/>
      <c r="D157" s="566"/>
      <c r="E157" s="566"/>
      <c r="F157" s="566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63" t="s">
        <v>544</v>
      </c>
      <c r="C158" s="564"/>
      <c r="D158" s="564"/>
      <c r="E158" s="564"/>
      <c r="F158" s="564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67" t="s">
        <v>114</v>
      </c>
      <c r="C159" s="568"/>
      <c r="D159" s="568"/>
      <c r="E159" s="568"/>
      <c r="F159" s="568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9" t="s">
        <v>116</v>
      </c>
      <c r="C160" s="570"/>
      <c r="D160" s="570"/>
      <c r="E160" s="570"/>
      <c r="F160" s="570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9" t="s">
        <v>93</v>
      </c>
      <c r="C161" s="570"/>
      <c r="D161" s="570"/>
      <c r="E161" s="570"/>
      <c r="F161" s="570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0" t="s">
        <v>555</v>
      </c>
      <c r="F6" s="627">
        <v>2006</v>
      </c>
      <c r="G6" s="628"/>
      <c r="H6" s="628"/>
      <c r="I6" s="628"/>
      <c r="J6" s="628"/>
      <c r="K6" s="628"/>
      <c r="L6" s="628"/>
      <c r="M6" s="628"/>
      <c r="N6" s="628"/>
      <c r="O6" s="628"/>
      <c r="P6" s="628"/>
      <c r="Q6" s="629"/>
      <c r="R6" s="627">
        <v>2007</v>
      </c>
      <c r="S6" s="628"/>
      <c r="T6" s="628"/>
      <c r="U6" s="628"/>
      <c r="V6" s="628"/>
      <c r="W6" s="628"/>
      <c r="X6" s="628"/>
      <c r="Y6" s="628"/>
      <c r="Z6" s="628"/>
      <c r="AA6" s="628"/>
      <c r="AB6" s="628"/>
      <c r="AC6" s="629"/>
      <c r="AD6" s="627">
        <v>2008</v>
      </c>
      <c r="AE6" s="628"/>
      <c r="AF6" s="628"/>
      <c r="AG6" s="628"/>
      <c r="AH6" s="628"/>
      <c r="AI6" s="628"/>
      <c r="AJ6" s="628"/>
      <c r="AK6" s="628"/>
      <c r="AL6" s="628"/>
      <c r="AM6" s="628"/>
      <c r="AN6" s="628"/>
      <c r="AO6" s="629"/>
      <c r="AP6" s="627">
        <v>2009</v>
      </c>
      <c r="AQ6" s="628"/>
      <c r="AR6" s="628"/>
      <c r="AS6" s="628"/>
      <c r="AT6" s="628"/>
      <c r="AU6" s="628"/>
      <c r="AV6" s="628"/>
      <c r="AW6" s="628"/>
      <c r="AX6" s="628"/>
      <c r="AY6" s="628"/>
      <c r="AZ6" s="628"/>
      <c r="BA6" s="629"/>
      <c r="BB6" s="627">
        <v>2010</v>
      </c>
      <c r="BC6" s="628"/>
      <c r="BD6" s="628"/>
      <c r="BE6" s="628"/>
      <c r="BF6" s="628"/>
      <c r="BG6" s="628"/>
      <c r="BH6" s="628"/>
      <c r="BI6" s="628"/>
      <c r="BJ6" s="628"/>
      <c r="BK6" s="628"/>
      <c r="BL6" s="628"/>
      <c r="BM6" s="629"/>
      <c r="BN6" s="627">
        <v>2011</v>
      </c>
      <c r="BO6" s="628"/>
      <c r="BP6" s="628"/>
      <c r="BQ6" s="628"/>
      <c r="BR6" s="628"/>
      <c r="BS6" s="628"/>
      <c r="BT6" s="628"/>
      <c r="BU6" s="628"/>
      <c r="BV6" s="628"/>
      <c r="BW6" s="628"/>
      <c r="BX6" s="628"/>
      <c r="BY6" s="629"/>
      <c r="BZ6" s="628">
        <v>2012</v>
      </c>
      <c r="CA6" s="628"/>
      <c r="CB6" s="628"/>
      <c r="CC6" s="628"/>
      <c r="CD6" s="628"/>
      <c r="CE6" s="628"/>
      <c r="CF6" s="628"/>
      <c r="CG6" s="628"/>
      <c r="CH6" s="628"/>
      <c r="CI6" s="628"/>
      <c r="CJ6" s="628"/>
      <c r="CK6" s="628"/>
      <c r="CL6" s="627">
        <v>2013</v>
      </c>
      <c r="CM6" s="628"/>
      <c r="CN6" s="628"/>
      <c r="CO6" s="628"/>
      <c r="CP6" s="628"/>
      <c r="CQ6" s="628"/>
      <c r="CR6" s="628"/>
      <c r="CS6" s="628"/>
      <c r="CT6" s="628"/>
      <c r="CU6" s="628"/>
      <c r="CV6" s="628"/>
      <c r="CW6" s="629"/>
      <c r="CX6" s="627">
        <v>2014</v>
      </c>
      <c r="CY6" s="628"/>
      <c r="CZ6" s="628"/>
      <c r="DA6" s="628"/>
      <c r="DB6" s="628"/>
      <c r="DC6" s="628"/>
      <c r="DD6" s="628"/>
      <c r="DE6" s="628"/>
      <c r="DF6" s="628"/>
      <c r="DG6" s="628"/>
      <c r="DH6" s="628"/>
      <c r="DI6" s="629"/>
      <c r="DJ6" s="627">
        <v>2015</v>
      </c>
      <c r="DK6" s="628"/>
      <c r="DL6" s="628"/>
      <c r="DM6" s="628"/>
      <c r="DN6" s="628"/>
      <c r="DO6" s="628"/>
      <c r="DP6" s="628"/>
      <c r="DQ6" s="628"/>
      <c r="DR6" s="628"/>
      <c r="DS6" s="628"/>
      <c r="DT6" s="628"/>
      <c r="DU6" s="629"/>
    </row>
    <row r="7" spans="1:321">
      <c r="E7" s="63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0" t="s">
        <v>676</v>
      </c>
      <c r="F214" s="627">
        <v>2006</v>
      </c>
      <c r="G214" s="628"/>
      <c r="H214" s="628"/>
      <c r="I214" s="628"/>
      <c r="J214" s="628"/>
      <c r="K214" s="628"/>
      <c r="L214" s="628"/>
      <c r="M214" s="628"/>
      <c r="N214" s="628"/>
      <c r="O214" s="628"/>
      <c r="P214" s="628"/>
      <c r="Q214" s="629"/>
      <c r="R214" s="627">
        <v>2007</v>
      </c>
      <c r="S214" s="628"/>
      <c r="T214" s="628"/>
      <c r="U214" s="628"/>
      <c r="V214" s="628"/>
      <c r="W214" s="628"/>
      <c r="X214" s="628"/>
      <c r="Y214" s="628"/>
      <c r="Z214" s="628"/>
      <c r="AA214" s="628"/>
      <c r="AB214" s="628"/>
      <c r="AC214" s="629"/>
      <c r="AD214" s="627">
        <v>2008</v>
      </c>
      <c r="AE214" s="628"/>
      <c r="AF214" s="628"/>
      <c r="AG214" s="628"/>
      <c r="AH214" s="628"/>
      <c r="AI214" s="628"/>
      <c r="AJ214" s="628"/>
      <c r="AK214" s="628"/>
      <c r="AL214" s="628"/>
      <c r="AM214" s="628"/>
      <c r="AN214" s="628"/>
      <c r="AO214" s="629"/>
      <c r="AP214" s="627">
        <v>2009</v>
      </c>
      <c r="AQ214" s="628"/>
      <c r="AR214" s="628"/>
      <c r="AS214" s="628"/>
      <c r="AT214" s="628"/>
      <c r="AU214" s="628"/>
      <c r="AV214" s="628"/>
      <c r="AW214" s="628"/>
      <c r="AX214" s="628"/>
      <c r="AY214" s="628"/>
      <c r="AZ214" s="628"/>
      <c r="BA214" s="629"/>
      <c r="BB214" s="627">
        <v>2010</v>
      </c>
      <c r="BC214" s="628"/>
      <c r="BD214" s="628"/>
      <c r="BE214" s="628"/>
      <c r="BF214" s="628"/>
      <c r="BG214" s="628"/>
      <c r="BH214" s="628"/>
      <c r="BI214" s="628"/>
      <c r="BJ214" s="628"/>
      <c r="BK214" s="628"/>
      <c r="BL214" s="628"/>
      <c r="BM214" s="629"/>
      <c r="BN214" s="627">
        <v>2011</v>
      </c>
      <c r="BO214" s="628"/>
      <c r="BP214" s="628"/>
      <c r="BQ214" s="628"/>
      <c r="BR214" s="628"/>
      <c r="BS214" s="628"/>
      <c r="BT214" s="628"/>
      <c r="BU214" s="628"/>
      <c r="BV214" s="628"/>
      <c r="BW214" s="628"/>
      <c r="BX214" s="628"/>
      <c r="BY214" s="629"/>
      <c r="BZ214" s="628">
        <v>2012</v>
      </c>
      <c r="CA214" s="628"/>
      <c r="CB214" s="628"/>
      <c r="CC214" s="628"/>
      <c r="CD214" s="628"/>
      <c r="CE214" s="628"/>
      <c r="CF214" s="628"/>
      <c r="CG214" s="628"/>
      <c r="CH214" s="628"/>
      <c r="CI214" s="628"/>
      <c r="CJ214" s="628"/>
      <c r="CK214" s="628"/>
      <c r="CL214" s="627">
        <v>2013</v>
      </c>
      <c r="CM214" s="628"/>
      <c r="CN214" s="628"/>
      <c r="CO214" s="628"/>
      <c r="CP214" s="628"/>
      <c r="CQ214" s="628"/>
      <c r="CR214" s="628"/>
      <c r="CS214" s="628"/>
      <c r="CT214" s="628"/>
      <c r="CU214" s="628"/>
      <c r="CV214" s="628"/>
      <c r="CW214" s="629"/>
      <c r="CX214" s="627">
        <v>2014</v>
      </c>
      <c r="CY214" s="628"/>
      <c r="CZ214" s="628"/>
      <c r="DA214" s="628"/>
      <c r="DB214" s="628"/>
      <c r="DC214" s="628"/>
      <c r="DD214" s="628"/>
      <c r="DE214" s="628"/>
      <c r="DF214" s="628"/>
      <c r="DG214" s="628"/>
      <c r="DH214" s="628"/>
      <c r="DI214" s="629"/>
      <c r="DJ214" s="627">
        <v>2015</v>
      </c>
      <c r="DK214" s="628"/>
      <c r="DL214" s="628"/>
      <c r="DM214" s="628"/>
      <c r="DN214" s="628"/>
      <c r="DO214" s="628"/>
      <c r="DP214" s="628"/>
      <c r="DQ214" s="628"/>
      <c r="DR214" s="628"/>
      <c r="DS214" s="628"/>
      <c r="DT214" s="628"/>
      <c r="DU214" s="629"/>
    </row>
    <row r="215" spans="1:187">
      <c r="E215" s="630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Ministastvo finansija</cp:lastModifiedBy>
  <cp:lastPrinted>2022-07-22T05:59:01Z</cp:lastPrinted>
  <dcterms:created xsi:type="dcterms:W3CDTF">2014-09-15T13:41:17Z</dcterms:created>
  <dcterms:modified xsi:type="dcterms:W3CDTF">2022-07-25T11:16:41Z</dcterms:modified>
</cp:coreProperties>
</file>