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hidePivotFieldList="1" defaultThemeVersion="124226"/>
  <xr:revisionPtr revIDLastSave="0" documentId="13_ncr:1_{D04A74A4-4767-4BC3-B5EA-9A865CB9EFDC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GISTAR" sheetId="16" r:id="rId1"/>
    <sheet name="KUMULATIVNI PODACI PO OPŠTINAMA" sheetId="26" r:id="rId2"/>
  </sheets>
  <definedNames>
    <definedName name="_xlnm._FilterDatabase" localSheetId="0" hidden="1">REGISTAR!$B$2:$AD$126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5" i="16" l="1"/>
  <c r="V110" i="16"/>
  <c r="V109" i="16"/>
  <c r="V52" i="16"/>
  <c r="V78" i="16"/>
  <c r="V96" i="16"/>
  <c r="V12" i="16"/>
  <c r="V120" i="16"/>
  <c r="V108" i="16"/>
  <c r="V27" i="16"/>
  <c r="V3" i="16"/>
  <c r="V21" i="16"/>
  <c r="V61" i="16"/>
  <c r="V72" i="16"/>
  <c r="V26" i="16"/>
  <c r="V50" i="16"/>
  <c r="V37" i="16"/>
  <c r="U110" i="16"/>
  <c r="U109" i="16"/>
  <c r="U52" i="16"/>
  <c r="U12" i="16"/>
  <c r="U108" i="16"/>
  <c r="U61" i="16"/>
  <c r="U37" i="16"/>
  <c r="T12" i="16"/>
  <c r="T108" i="16"/>
  <c r="T61" i="16"/>
  <c r="T64" i="16"/>
  <c r="S14" i="16"/>
  <c r="S82" i="16"/>
  <c r="S47" i="16"/>
  <c r="S111" i="16"/>
  <c r="S62" i="16"/>
  <c r="S37" i="16"/>
  <c r="S55" i="16"/>
  <c r="S83" i="16"/>
  <c r="S91" i="16"/>
  <c r="S24" i="16"/>
  <c r="S25" i="16"/>
  <c r="S63" i="16"/>
  <c r="S103" i="16"/>
  <c r="S15" i="16"/>
  <c r="S75" i="16"/>
  <c r="S48" i="16"/>
  <c r="S80" i="16"/>
  <c r="S92" i="16"/>
  <c r="S84" i="16"/>
  <c r="S49" i="16"/>
  <c r="S122" i="16"/>
  <c r="S123" i="16"/>
  <c r="S41" i="16"/>
  <c r="S81" i="16"/>
  <c r="S117" i="16"/>
  <c r="S50" i="16"/>
  <c r="S112" i="16"/>
  <c r="S64" i="16"/>
  <c r="S70" i="16"/>
  <c r="S104" i="16"/>
  <c r="S26" i="16"/>
  <c r="S71" i="16"/>
  <c r="S8" i="16"/>
  <c r="S45" i="16"/>
  <c r="S72" i="16"/>
  <c r="S101" i="16"/>
  <c r="S113" i="16"/>
  <c r="S61" i="16"/>
  <c r="S76" i="16"/>
  <c r="S85" i="16"/>
  <c r="S21" i="16"/>
  <c r="S3" i="16"/>
  <c r="S16" i="16"/>
  <c r="S27" i="16"/>
  <c r="S38" i="16"/>
  <c r="S42" i="16"/>
  <c r="S56" i="16"/>
  <c r="S65" i="16"/>
  <c r="S99" i="16"/>
  <c r="S105" i="16"/>
  <c r="S108" i="16"/>
  <c r="S120" i="16"/>
  <c r="S60" i="16"/>
  <c r="S73" i="16"/>
  <c r="S51" i="16"/>
  <c r="S58" i="16"/>
  <c r="S39" i="16"/>
  <c r="S4" i="16"/>
  <c r="S12" i="16"/>
  <c r="S17" i="16"/>
  <c r="S43" i="16"/>
  <c r="S66" i="16"/>
  <c r="S77" i="16"/>
  <c r="S86" i="16"/>
  <c r="S96" i="16"/>
  <c r="S114" i="16"/>
  <c r="S78" i="16"/>
  <c r="S13" i="16"/>
  <c r="S124" i="16"/>
  <c r="S28" i="16"/>
  <c r="S29" i="16"/>
  <c r="S125" i="16"/>
  <c r="S30" i="16"/>
  <c r="S102" i="16"/>
  <c r="S5" i="16"/>
  <c r="S74" i="16"/>
  <c r="S31" i="16"/>
  <c r="S18" i="16"/>
  <c r="S22" i="16"/>
  <c r="S106" i="16"/>
  <c r="S52" i="16"/>
  <c r="S67" i="16"/>
  <c r="S87" i="16"/>
  <c r="S115" i="16"/>
  <c r="S118" i="16"/>
  <c r="S109" i="16"/>
  <c r="S32" i="16"/>
  <c r="S93" i="16"/>
  <c r="S121" i="16"/>
  <c r="S88" i="16"/>
  <c r="S126" i="16"/>
  <c r="S6" i="16"/>
  <c r="S100" i="16"/>
  <c r="S40" i="16"/>
  <c r="S19" i="16"/>
  <c r="S97" i="16"/>
  <c r="S53" i="16"/>
  <c r="S119" i="16"/>
  <c r="S89" i="16"/>
  <c r="S33" i="16"/>
  <c r="S10" i="16"/>
  <c r="S68" i="16"/>
  <c r="S90" i="16"/>
  <c r="S34" i="16"/>
  <c r="S23" i="16"/>
  <c r="S79" i="16"/>
  <c r="S36" i="16"/>
  <c r="S7" i="16"/>
  <c r="S11" i="16"/>
  <c r="S20" i="16"/>
  <c r="S35" i="16"/>
  <c r="S44" i="16"/>
  <c r="S54" i="16"/>
  <c r="S57" i="16"/>
  <c r="S69" i="16"/>
  <c r="S94" i="16"/>
  <c r="S98" i="16"/>
  <c r="S107" i="16"/>
  <c r="S116" i="16"/>
  <c r="S59" i="16"/>
  <c r="S110" i="16"/>
  <c r="S95" i="16"/>
  <c r="R95" i="16"/>
  <c r="R110" i="16"/>
  <c r="R59" i="16"/>
  <c r="R116" i="16"/>
  <c r="R107" i="16"/>
  <c r="R98" i="16"/>
  <c r="R94" i="16"/>
  <c r="R69" i="16"/>
  <c r="R57" i="16"/>
  <c r="R54" i="16"/>
  <c r="R44" i="16"/>
  <c r="R35" i="16"/>
  <c r="R20" i="16"/>
  <c r="R11" i="16"/>
  <c r="R7" i="16"/>
  <c r="R36" i="16"/>
  <c r="R79" i="16"/>
  <c r="R23" i="16"/>
  <c r="R34" i="16"/>
  <c r="R90" i="16"/>
  <c r="R68" i="16"/>
  <c r="R10" i="16"/>
  <c r="R33" i="16"/>
  <c r="R89" i="16"/>
  <c r="R119" i="16"/>
  <c r="R53" i="16"/>
  <c r="R97" i="16"/>
  <c r="R19" i="16"/>
  <c r="R40" i="16"/>
  <c r="R100" i="16"/>
  <c r="R6" i="16"/>
  <c r="R126" i="16"/>
  <c r="R88" i="16"/>
  <c r="R121" i="16"/>
  <c r="R93" i="16"/>
  <c r="R32" i="16"/>
  <c r="R109" i="16"/>
  <c r="R118" i="16"/>
  <c r="R115" i="16"/>
  <c r="R87" i="16"/>
  <c r="R67" i="16"/>
  <c r="R52" i="16"/>
  <c r="R106" i="16"/>
  <c r="R22" i="16"/>
  <c r="R18" i="16"/>
  <c r="R31" i="16"/>
  <c r="R74" i="16"/>
  <c r="R5" i="16"/>
  <c r="R102" i="16"/>
  <c r="R30" i="16"/>
  <c r="R125" i="16"/>
  <c r="R29" i="16"/>
  <c r="R28" i="16"/>
  <c r="R124" i="16"/>
  <c r="R13" i="16"/>
  <c r="R78" i="16"/>
  <c r="R114" i="16"/>
  <c r="R96" i="16"/>
  <c r="R86" i="16"/>
  <c r="R77" i="16"/>
  <c r="R66" i="16"/>
  <c r="R43" i="16"/>
  <c r="R17" i="16"/>
  <c r="R12" i="16"/>
  <c r="R4" i="16"/>
  <c r="R39" i="16"/>
  <c r="R58" i="16"/>
  <c r="R51" i="16"/>
  <c r="R73" i="16"/>
  <c r="R60" i="16"/>
  <c r="R120" i="16"/>
  <c r="R108" i="16"/>
  <c r="R105" i="16"/>
  <c r="R99" i="16"/>
  <c r="R65" i="16"/>
  <c r="R56" i="16"/>
  <c r="R42" i="16"/>
  <c r="R38" i="16"/>
  <c r="R27" i="16"/>
  <c r="R16" i="16"/>
  <c r="R3" i="16"/>
  <c r="R21" i="16"/>
  <c r="R85" i="16"/>
  <c r="R76" i="16"/>
  <c r="R61" i="16"/>
  <c r="R113" i="16"/>
  <c r="R101" i="16"/>
  <c r="R72" i="16"/>
  <c r="R45" i="16"/>
  <c r="R8" i="16"/>
  <c r="R71" i="16"/>
  <c r="R26" i="16"/>
  <c r="R104" i="16"/>
  <c r="R70" i="16"/>
  <c r="R64" i="16"/>
  <c r="R112" i="16"/>
  <c r="R50" i="16"/>
  <c r="R117" i="16"/>
  <c r="R81" i="16"/>
  <c r="R41" i="16"/>
  <c r="R123" i="16"/>
  <c r="R122" i="16"/>
  <c r="R49" i="16"/>
  <c r="R84" i="16"/>
  <c r="R92" i="16"/>
  <c r="R80" i="16"/>
  <c r="R48" i="16"/>
  <c r="R75" i="16"/>
  <c r="R15" i="16"/>
  <c r="R103" i="16"/>
  <c r="R63" i="16"/>
  <c r="R25" i="16"/>
  <c r="R24" i="16"/>
  <c r="R91" i="16"/>
  <c r="R83" i="16"/>
  <c r="R55" i="16"/>
  <c r="R37" i="16"/>
  <c r="R62" i="16"/>
  <c r="R111" i="16"/>
  <c r="R47" i="16"/>
  <c r="R82" i="16"/>
  <c r="R14" i="16"/>
  <c r="S46" i="16"/>
  <c r="R46" i="16"/>
  <c r="Q14" i="16"/>
  <c r="Q82" i="16"/>
  <c r="Q47" i="16"/>
  <c r="Q111" i="16"/>
  <c r="Q62" i="16"/>
  <c r="Q37" i="16"/>
  <c r="Q55" i="16"/>
  <c r="Q83" i="16"/>
  <c r="Q91" i="16"/>
  <c r="Q24" i="16"/>
  <c r="Q25" i="16"/>
  <c r="Q63" i="16"/>
  <c r="Q103" i="16"/>
  <c r="Q15" i="16"/>
  <c r="Q75" i="16"/>
  <c r="Q48" i="16"/>
  <c r="Q80" i="16"/>
  <c r="Q92" i="16"/>
  <c r="Q84" i="16"/>
  <c r="Q49" i="16"/>
  <c r="Q122" i="16"/>
  <c r="Q123" i="16"/>
  <c r="Q41" i="16"/>
  <c r="Q81" i="16"/>
  <c r="Q117" i="16"/>
  <c r="Q50" i="16"/>
  <c r="Q112" i="16"/>
  <c r="Q64" i="16"/>
  <c r="Q70" i="16"/>
  <c r="Q104" i="16"/>
  <c r="Q26" i="16"/>
  <c r="Q71" i="16"/>
  <c r="Q8" i="16"/>
  <c r="Q45" i="16"/>
  <c r="Q72" i="16"/>
  <c r="Q101" i="16"/>
  <c r="Q113" i="16"/>
  <c r="Q61" i="16"/>
  <c r="Q76" i="16"/>
  <c r="Q85" i="16"/>
  <c r="Q21" i="16"/>
  <c r="Q3" i="16"/>
  <c r="Q16" i="16"/>
  <c r="Q27" i="16"/>
  <c r="Q38" i="16"/>
  <c r="Q42" i="16"/>
  <c r="Q56" i="16"/>
  <c r="Q65" i="16"/>
  <c r="Q99" i="16"/>
  <c r="Q105" i="16"/>
  <c r="Q108" i="16"/>
  <c r="Q120" i="16"/>
  <c r="Q60" i="16"/>
  <c r="Q73" i="16"/>
  <c r="Q51" i="16"/>
  <c r="Q58" i="16"/>
  <c r="Q39" i="16"/>
  <c r="Q4" i="16"/>
  <c r="Q12" i="16"/>
  <c r="Q17" i="16"/>
  <c r="Q43" i="16"/>
  <c r="Q66" i="16"/>
  <c r="Q77" i="16"/>
  <c r="Q86" i="16"/>
  <c r="Q96" i="16"/>
  <c r="Q114" i="16"/>
  <c r="Q78" i="16"/>
  <c r="Q13" i="16"/>
  <c r="Q124" i="16"/>
  <c r="Q28" i="16"/>
  <c r="Q29" i="16"/>
  <c r="Q125" i="16"/>
  <c r="Q30" i="16"/>
  <c r="Q102" i="16"/>
  <c r="Q5" i="16"/>
  <c r="Q74" i="16"/>
  <c r="Q31" i="16"/>
  <c r="Q18" i="16"/>
  <c r="Q22" i="16"/>
  <c r="Q106" i="16"/>
  <c r="Q52" i="16"/>
  <c r="Q67" i="16"/>
  <c r="Q87" i="16"/>
  <c r="Q115" i="16"/>
  <c r="Q118" i="16"/>
  <c r="Q109" i="16"/>
  <c r="Q32" i="16"/>
  <c r="Q93" i="16"/>
  <c r="Q121" i="16"/>
  <c r="Q88" i="16"/>
  <c r="Q126" i="16"/>
  <c r="Q6" i="16"/>
  <c r="Q100" i="16"/>
  <c r="Q40" i="16"/>
  <c r="Q19" i="16"/>
  <c r="Q97" i="16"/>
  <c r="Q53" i="16"/>
  <c r="Q119" i="16"/>
  <c r="Q89" i="16"/>
  <c r="Q33" i="16"/>
  <c r="Q10" i="16"/>
  <c r="Q68" i="16"/>
  <c r="Q90" i="16"/>
  <c r="Q34" i="16"/>
  <c r="Q23" i="16"/>
  <c r="Q79" i="16"/>
  <c r="Q36" i="16"/>
  <c r="Q7" i="16"/>
  <c r="Q11" i="16"/>
  <c r="Q20" i="16"/>
  <c r="Q35" i="16"/>
  <c r="Q44" i="16"/>
  <c r="Q54" i="16"/>
  <c r="Q57" i="16"/>
  <c r="Q69" i="16"/>
  <c r="Q94" i="16"/>
  <c r="Q98" i="16"/>
  <c r="Q107" i="16"/>
  <c r="Q116" i="16"/>
  <c r="Q59" i="16"/>
  <c r="Q110" i="16"/>
  <c r="Q95" i="16"/>
  <c r="Q46" i="16"/>
  <c r="AO3" i="16"/>
  <c r="AP3" i="16"/>
  <c r="AO4" i="16"/>
  <c r="AP4" i="16"/>
  <c r="AO5" i="16"/>
  <c r="AP5" i="16"/>
  <c r="AO6" i="16"/>
  <c r="AP6" i="16"/>
  <c r="AO7" i="16"/>
  <c r="AP7" i="16"/>
  <c r="AO8" i="16"/>
  <c r="AP8" i="16"/>
  <c r="AO9" i="16"/>
  <c r="AP9" i="16"/>
  <c r="BP9" i="16"/>
  <c r="BQ9" i="16"/>
  <c r="BR9" i="16"/>
  <c r="AO10" i="16"/>
  <c r="AP10" i="16"/>
  <c r="AO11" i="16"/>
  <c r="AP11" i="16"/>
  <c r="AO12" i="16"/>
  <c r="AP12" i="16"/>
  <c r="AO13" i="16"/>
  <c r="AP13" i="16"/>
  <c r="AO14" i="16"/>
  <c r="AP14" i="16"/>
  <c r="BN14" i="16"/>
  <c r="BO14" i="16"/>
  <c r="BP14" i="16"/>
  <c r="BQ14" i="16"/>
  <c r="BR14" i="16"/>
  <c r="AO15" i="16"/>
  <c r="AP15" i="16"/>
  <c r="AO16" i="16"/>
  <c r="AP16" i="16"/>
  <c r="AO17" i="16"/>
  <c r="AP17" i="16"/>
  <c r="AO18" i="16"/>
  <c r="AP18" i="16"/>
  <c r="BN18" i="16"/>
  <c r="BO18" i="16"/>
  <c r="BP18" i="16"/>
  <c r="AO19" i="16"/>
  <c r="AP19" i="16"/>
  <c r="AO20" i="16"/>
  <c r="AP20" i="16"/>
  <c r="AO21" i="16"/>
  <c r="AP21" i="16"/>
  <c r="AO22" i="16"/>
  <c r="AP22" i="16"/>
  <c r="AO23" i="16"/>
  <c r="AP23" i="16"/>
  <c r="AO24" i="16"/>
  <c r="AP24" i="16"/>
  <c r="AO25" i="16"/>
  <c r="AP25" i="16"/>
  <c r="AO26" i="16"/>
  <c r="AP26" i="16"/>
  <c r="AO27" i="16"/>
  <c r="AP27" i="16"/>
  <c r="AO28" i="16"/>
  <c r="AP28" i="16"/>
  <c r="AO29" i="16"/>
  <c r="AP29" i="16"/>
  <c r="BM29" i="16"/>
  <c r="BR29" i="16"/>
  <c r="AO30" i="16"/>
  <c r="AP30" i="16"/>
  <c r="AO31" i="16"/>
  <c r="AP31" i="16"/>
  <c r="BD31" i="16"/>
  <c r="BE31" i="16"/>
  <c r="BI31" i="16"/>
  <c r="BJ31" i="16"/>
  <c r="BN31" i="16"/>
  <c r="BO31" i="16"/>
  <c r="BP31" i="16"/>
  <c r="BQ31" i="16"/>
  <c r="BR31" i="16"/>
  <c r="AO32" i="16"/>
  <c r="AP32" i="16"/>
  <c r="AO33" i="16"/>
  <c r="AP33" i="16"/>
  <c r="AO34" i="16"/>
  <c r="AP34" i="16"/>
  <c r="BM34" i="16"/>
  <c r="BR34" i="16"/>
  <c r="AO35" i="16"/>
  <c r="AP35" i="16"/>
  <c r="AO36" i="16"/>
  <c r="AP36" i="16"/>
  <c r="AO37" i="16"/>
  <c r="AP37" i="16"/>
  <c r="AO38" i="16"/>
  <c r="AP38" i="16"/>
  <c r="BM38" i="16"/>
  <c r="BR38" i="16"/>
  <c r="AO39" i="16"/>
  <c r="AP39" i="16"/>
  <c r="AO40" i="16"/>
  <c r="AP40" i="16"/>
  <c r="AO41" i="16"/>
  <c r="AP41" i="16"/>
  <c r="BD41" i="16"/>
  <c r="BE41" i="16"/>
  <c r="BI41" i="16"/>
  <c r="BJ41" i="16"/>
  <c r="BK41" i="16"/>
  <c r="BL41" i="16"/>
  <c r="BM41" i="16"/>
  <c r="BN41" i="16"/>
  <c r="BO41" i="16"/>
  <c r="BP41" i="16"/>
  <c r="BQ41" i="16"/>
  <c r="BR41" i="16"/>
  <c r="AO42" i="16"/>
  <c r="AP42" i="16"/>
  <c r="AO43" i="16"/>
  <c r="AP43" i="16"/>
  <c r="AO44" i="16"/>
  <c r="AP44" i="16"/>
  <c r="BM44" i="16"/>
  <c r="BR44" i="16"/>
  <c r="AO45" i="16"/>
  <c r="AP45" i="16"/>
  <c r="BM45" i="16"/>
  <c r="BR45" i="16"/>
  <c r="AO46" i="16"/>
  <c r="AP46" i="16"/>
  <c r="AO47" i="16"/>
  <c r="AP47" i="16"/>
  <c r="BM47" i="16"/>
  <c r="BR47" i="16"/>
  <c r="AO48" i="16"/>
  <c r="AP48" i="16"/>
  <c r="AO49" i="16"/>
  <c r="AP49" i="16"/>
  <c r="AO50" i="16"/>
  <c r="AP50" i="16"/>
  <c r="AO51" i="16"/>
  <c r="AP51" i="16"/>
  <c r="AO52" i="16"/>
  <c r="AP52" i="16"/>
  <c r="AO53" i="16"/>
  <c r="AP53" i="16"/>
  <c r="AO54" i="16"/>
  <c r="AP54" i="16"/>
  <c r="BD54" i="16"/>
  <c r="BE54" i="16"/>
  <c r="BJ54" i="16"/>
  <c r="BK54" i="16"/>
  <c r="BL54" i="16"/>
  <c r="BM54" i="16"/>
  <c r="BN54" i="16"/>
  <c r="BO54" i="16"/>
  <c r="BP54" i="16"/>
  <c r="BQ54" i="16"/>
  <c r="BR54" i="16"/>
  <c r="AO55" i="16"/>
  <c r="AP55" i="16"/>
  <c r="BM55" i="16"/>
  <c r="BR55" i="16"/>
  <c r="AO56" i="16"/>
  <c r="AP56" i="16"/>
  <c r="AO57" i="16"/>
  <c r="AP57" i="16"/>
  <c r="AO58" i="16"/>
  <c r="AP58" i="16"/>
  <c r="AO59" i="16"/>
  <c r="AP59" i="16"/>
  <c r="AO60" i="16"/>
  <c r="AP60" i="16"/>
  <c r="AO61" i="16"/>
  <c r="AP61" i="16"/>
  <c r="AO62" i="16"/>
  <c r="AP62" i="16"/>
  <c r="BD62" i="16"/>
  <c r="BE62" i="16"/>
  <c r="BI62" i="16"/>
  <c r="BJ62" i="16"/>
  <c r="BK62" i="16"/>
  <c r="BL62" i="16"/>
  <c r="BM62" i="16"/>
  <c r="BN62" i="16"/>
  <c r="BO62" i="16"/>
  <c r="BP62" i="16"/>
  <c r="BQ62" i="16"/>
  <c r="BR62" i="16"/>
  <c r="AO63" i="16"/>
  <c r="AP63" i="16"/>
  <c r="AO64" i="16"/>
  <c r="AP64" i="16"/>
  <c r="BQ64" i="16"/>
  <c r="BR64" i="16"/>
  <c r="AO65" i="16"/>
  <c r="AP65" i="16"/>
  <c r="AO66" i="16"/>
  <c r="AP66" i="16"/>
  <c r="AO67" i="16"/>
  <c r="AP67" i="16"/>
  <c r="AO68" i="16"/>
  <c r="AP68" i="16"/>
  <c r="BM68" i="16"/>
  <c r="BR68" i="16"/>
  <c r="AO69" i="16"/>
  <c r="AP69" i="16"/>
  <c r="AO70" i="16"/>
  <c r="AP70" i="16"/>
  <c r="BM70" i="16"/>
  <c r="BR70" i="16"/>
  <c r="AO71" i="16"/>
  <c r="AP71" i="16"/>
  <c r="BR71" i="16"/>
  <c r="AO72" i="16"/>
  <c r="AP72" i="16"/>
  <c r="AO73" i="16"/>
  <c r="AP73" i="16"/>
  <c r="AO74" i="16"/>
  <c r="AP74" i="16"/>
  <c r="AO75" i="16"/>
  <c r="AP75" i="16"/>
  <c r="AO76" i="16"/>
  <c r="AP76" i="16"/>
  <c r="BE76" i="16"/>
  <c r="BJ76" i="16"/>
  <c r="BO76" i="16"/>
  <c r="AO77" i="16"/>
  <c r="AP77" i="16"/>
  <c r="AO78" i="16"/>
  <c r="AP78" i="16"/>
  <c r="AO79" i="16"/>
  <c r="AP79" i="16"/>
  <c r="AO81" i="16"/>
  <c r="AP81" i="16"/>
  <c r="BE81" i="16"/>
  <c r="BJ81" i="16"/>
  <c r="BO81" i="16"/>
  <c r="AO82" i="16"/>
  <c r="AP82" i="16"/>
  <c r="AO83" i="16"/>
  <c r="AP83" i="16"/>
  <c r="AO84" i="16"/>
  <c r="AP84" i="16"/>
  <c r="AO85" i="16"/>
  <c r="AP85" i="16"/>
  <c r="BL85" i="16"/>
  <c r="BM85" i="16"/>
  <c r="BQ85" i="16"/>
  <c r="BR85" i="16"/>
  <c r="AO86" i="16"/>
  <c r="AP86" i="16"/>
  <c r="AO87" i="16"/>
  <c r="AP87" i="16"/>
  <c r="AO88" i="16"/>
  <c r="AP88" i="16"/>
  <c r="BD88" i="16"/>
  <c r="BE88" i="16"/>
  <c r="BI88" i="16"/>
  <c r="BJ88" i="16"/>
  <c r="BN88" i="16"/>
  <c r="BO88" i="16"/>
  <c r="AO89" i="16"/>
  <c r="AP89" i="16"/>
  <c r="AO90" i="16"/>
  <c r="AP90" i="16"/>
  <c r="BL90" i="16"/>
  <c r="BM90" i="16"/>
  <c r="BP90" i="16"/>
  <c r="BQ90" i="16"/>
  <c r="BR90" i="16"/>
  <c r="AO91" i="16"/>
  <c r="AP91" i="16"/>
  <c r="AO92" i="16"/>
  <c r="AP92" i="16"/>
  <c r="AO93" i="16"/>
  <c r="AP93" i="16"/>
  <c r="AO94" i="16"/>
  <c r="AP94" i="16"/>
  <c r="AO95" i="16"/>
  <c r="AP95" i="16"/>
  <c r="AO96" i="16"/>
  <c r="AP96" i="16"/>
  <c r="BN96" i="16"/>
  <c r="BO96" i="16"/>
  <c r="AO97" i="16"/>
  <c r="AP97" i="16"/>
  <c r="AO98" i="16"/>
  <c r="AP98" i="16"/>
  <c r="AO99" i="16"/>
  <c r="AP99" i="16"/>
  <c r="AO100" i="16"/>
  <c r="AP100" i="16"/>
  <c r="AO101" i="16"/>
  <c r="AP101" i="16"/>
  <c r="BE101" i="16"/>
  <c r="BJ101" i="16"/>
  <c r="BO101" i="16"/>
  <c r="AO102" i="16"/>
  <c r="AP102" i="16"/>
  <c r="AO103" i="16"/>
  <c r="AP103" i="16"/>
  <c r="AO104" i="16"/>
  <c r="AP104" i="16"/>
  <c r="AO105" i="16"/>
  <c r="AP105" i="16"/>
  <c r="AO106" i="16"/>
  <c r="AP106" i="16"/>
  <c r="AO107" i="16"/>
  <c r="AP107" i="16"/>
  <c r="AO108" i="16"/>
  <c r="AP108" i="16"/>
  <c r="AO109" i="16"/>
  <c r="AP109" i="16"/>
  <c r="AO110" i="16"/>
  <c r="AP110" i="16"/>
  <c r="AO111" i="16"/>
  <c r="AP111" i="16"/>
  <c r="BE111" i="16"/>
  <c r="BJ111" i="16"/>
  <c r="BO111" i="16"/>
  <c r="AO112" i="16"/>
  <c r="AP112" i="16"/>
  <c r="AO113" i="16"/>
  <c r="AP113" i="16"/>
  <c r="AO114" i="16"/>
  <c r="AP114" i="16"/>
  <c r="AO115" i="16"/>
  <c r="AP115" i="16"/>
  <c r="AO116" i="16"/>
  <c r="AP116" i="16"/>
  <c r="AO117" i="16"/>
  <c r="AP117" i="16"/>
  <c r="AO118" i="16"/>
  <c r="AP118" i="16"/>
  <c r="AO119" i="16"/>
  <c r="AP119" i="16"/>
  <c r="AO120" i="16"/>
  <c r="AP120" i="16"/>
  <c r="AO121" i="16"/>
  <c r="AP121" i="16"/>
  <c r="AO122" i="16"/>
  <c r="AP122" i="16"/>
  <c r="AO123" i="16"/>
  <c r="AP123" i="16"/>
  <c r="AO124" i="16"/>
  <c r="AP124" i="16"/>
  <c r="AO125" i="16"/>
  <c r="AP125" i="16"/>
  <c r="BL125" i="16"/>
  <c r="BM125" i="16"/>
  <c r="BQ125" i="16"/>
  <c r="BR125" i="16"/>
  <c r="AO126" i="16"/>
  <c r="AP126" i="16"/>
</calcChain>
</file>

<file path=xl/sharedStrings.xml><?xml version="1.0" encoding="utf-8"?>
<sst xmlns="http://schemas.openxmlformats.org/spreadsheetml/2006/main" count="853" uniqueCount="336">
  <si>
    <t>Parking servis d.o.o. Bar</t>
  </si>
  <si>
    <t>Parking servis d.o.o. Žabljak</t>
  </si>
  <si>
    <t>11. EBIT (016)</t>
  </si>
  <si>
    <t>Sector</t>
  </si>
  <si>
    <t>S1</t>
  </si>
  <si>
    <t>-</t>
  </si>
  <si>
    <t>Agencija za gazdovanje gradskom lukom Herceg Novi DOO Herceg Novi</t>
  </si>
  <si>
    <t>02910179</t>
  </si>
  <si>
    <t>Agencija za izgradnju i razvoj DOO Berane</t>
  </si>
  <si>
    <t>03069494</t>
  </si>
  <si>
    <t>Agencija za izgradnju i razvoj DOO Podgorica</t>
  </si>
  <si>
    <t>02397579</t>
  </si>
  <si>
    <t>Agencija za izgradnju i razvoj Herceg Novog DOO Herceg Novi</t>
  </si>
  <si>
    <t>02620316</t>
  </si>
  <si>
    <t>Agencija za izgradnju i razvoj Ulcinja DOO Ulcinj</t>
  </si>
  <si>
    <t>02875292</t>
  </si>
  <si>
    <t>Agencija za projektovanje i planiranje d.o.o. Nikšić</t>
  </si>
  <si>
    <t>02668343</t>
  </si>
  <si>
    <t>Agencija za razvoj i podršku poslovanju DOO Cetinje</t>
  </si>
  <si>
    <t>03373860</t>
  </si>
  <si>
    <t>Agencija za razvoj i zaštitu Orjena DOO Herceg Novi</t>
  </si>
  <si>
    <t>03222985</t>
  </si>
  <si>
    <t>Agencija za stanovanje DOO Podgorica</t>
  </si>
  <si>
    <t>02015676</t>
  </si>
  <si>
    <t>Agencija za upravljanje zaštićenim područjima Glavnog grada DOO Podgorica</t>
  </si>
  <si>
    <t>03106861</t>
  </si>
  <si>
    <t>Akademija znanja DOO Budva</t>
  </si>
  <si>
    <t>02764121</t>
  </si>
  <si>
    <t>Aquapark DOO Budva</t>
  </si>
  <si>
    <t>02446324</t>
  </si>
  <si>
    <t>Autobuska stanica DOO Nikšić</t>
  </si>
  <si>
    <t>02451239</t>
  </si>
  <si>
    <t>Autobuska stanica DOO Tivat</t>
  </si>
  <si>
    <t>03136167</t>
  </si>
  <si>
    <t>Benergo DOO Berane</t>
  </si>
  <si>
    <t>03069753</t>
  </si>
  <si>
    <t>Centar za sport i rekreaciju DOO Pljevlja</t>
  </si>
  <si>
    <t>02078333</t>
  </si>
  <si>
    <t>Čistoća DOO Herceg Novi</t>
  </si>
  <si>
    <t>02293200</t>
  </si>
  <si>
    <t>Čistoća DOO Pljevlja</t>
  </si>
  <si>
    <t>02731657</t>
  </si>
  <si>
    <t>Čistoća DOO Podgorica</t>
  </si>
  <si>
    <t>02407493</t>
  </si>
  <si>
    <t>Deponija DOO Podgorica</t>
  </si>
  <si>
    <t>02653907</t>
  </si>
  <si>
    <t>Društvo za izgradnju vodovodne i kanalizacione infrastrukture u Opštini Herceg Novi DOO Herceg Novi</t>
  </si>
  <si>
    <t>02892677</t>
  </si>
  <si>
    <t>Društvo za odvođenje i prečišćavanje otpadnih voda za opštine Kotor i Tivat DOO Tivat</t>
  </si>
  <si>
    <t>03211398</t>
  </si>
  <si>
    <t>Društvo za upravljanje sanitarnom deponijom "Lovanja" DOO Kotor</t>
  </si>
  <si>
    <t>02384205</t>
  </si>
  <si>
    <t>Društvo za uzgoj, zaštitu, lov divljači i riba DOO Danilovgrad</t>
  </si>
  <si>
    <t>02455137</t>
  </si>
  <si>
    <t>Grijanje DOO Pljevlja</t>
  </si>
  <si>
    <t>02760592</t>
  </si>
  <si>
    <t>Javno komunalno preduzeće d.o.o. Zeta</t>
  </si>
  <si>
    <t>03617017</t>
  </si>
  <si>
    <t>Javni radio difuzni servis "Radio televizija Herceg Novi" DOO Herceg Novi</t>
  </si>
  <si>
    <t>02033429</t>
  </si>
  <si>
    <t>Javno preduzeće za uzgoj i zaštitu divljači Ulcinj - Ulcinj</t>
  </si>
  <si>
    <t>02194180</t>
  </si>
  <si>
    <t>Javno preduzeće za uzgoj, zaštitu i lov divljači Dr. Zoran Kesler</t>
  </si>
  <si>
    <t>02719037</t>
  </si>
  <si>
    <t>Javno preduzeće sportski centar Nikšić</t>
  </si>
  <si>
    <t>02078520</t>
  </si>
  <si>
    <t>02368811</t>
  </si>
  <si>
    <t>JP Radio-difuzni servis Televizija Budva d.o.o. Budva</t>
  </si>
  <si>
    <t>02005492</t>
  </si>
  <si>
    <t>Komunalna djelatnost DOO Petnjica</t>
  </si>
  <si>
    <t>03077373</t>
  </si>
  <si>
    <t>Komunalne djelatnosti DOO Bar</t>
  </si>
  <si>
    <t>02002752</t>
  </si>
  <si>
    <t>Komunalne djelatnosti DOO Gusinje</t>
  </si>
  <si>
    <t>03149480</t>
  </si>
  <si>
    <t>Komunalne djelatnosti DOO Plav</t>
  </si>
  <si>
    <t>02028468</t>
  </si>
  <si>
    <t>Komunalne djelatnosti DOO Šavnik</t>
  </si>
  <si>
    <t>02660601</t>
  </si>
  <si>
    <t>Komunalne djelatnosti DOO Ulcinj</t>
  </si>
  <si>
    <t>02877538</t>
  </si>
  <si>
    <t>Komunalne usluge - Gradac DOO Mojkovac</t>
  </si>
  <si>
    <t>02019680</t>
  </si>
  <si>
    <t>Komunalne usluge DOO Pljevlja</t>
  </si>
  <si>
    <t>02731649</t>
  </si>
  <si>
    <t>Komunalne usluge DOO Podgorica</t>
  </si>
  <si>
    <t>02407523</t>
  </si>
  <si>
    <t>Komunalno - Lim DOO Bijelo Polje</t>
  </si>
  <si>
    <t>02004003</t>
  </si>
  <si>
    <t>Komunalno DOO Andrijevica</t>
  </si>
  <si>
    <t>02083213</t>
  </si>
  <si>
    <t>Komunalno DOO Berane</t>
  </si>
  <si>
    <t>02361825</t>
  </si>
  <si>
    <t>Komunalno DOO Budva</t>
  </si>
  <si>
    <t>02005719</t>
  </si>
  <si>
    <t>Komunalno DOO Cetinje</t>
  </si>
  <si>
    <t>02004887</t>
  </si>
  <si>
    <t>Komunalno DOO Danilovgrad</t>
  </si>
  <si>
    <t>02875985</t>
  </si>
  <si>
    <t>Komunalno DOO Kolašin</t>
  </si>
  <si>
    <t>02788730</t>
  </si>
  <si>
    <t>Komunalno DOO Nikšić</t>
  </si>
  <si>
    <t>02000857</t>
  </si>
  <si>
    <t>Komunalno DOO Rožaje</t>
  </si>
  <si>
    <t>02776138</t>
  </si>
  <si>
    <t>Komunalno DOO Tivat</t>
  </si>
  <si>
    <t>02295440</t>
  </si>
  <si>
    <t>Komunalno DOO Tuzi</t>
  </si>
  <si>
    <t>03283135</t>
  </si>
  <si>
    <t>Komunalno i vodovod DOO Žabljak</t>
  </si>
  <si>
    <t>02048221</t>
  </si>
  <si>
    <t>Komunalno Kotor DOO Kotor</t>
  </si>
  <si>
    <t>02013274</t>
  </si>
  <si>
    <t>Komunalno Plužine DOO Plužine</t>
  </si>
  <si>
    <t>02010348</t>
  </si>
  <si>
    <t>Komunalno stambeno DOO Herceg Novi</t>
  </si>
  <si>
    <t>02293218</t>
  </si>
  <si>
    <t>Lokalni javni emiter "Radio - Kotor" DOO Kotor</t>
  </si>
  <si>
    <t>02042789</t>
  </si>
  <si>
    <t>Lokalni javni emiter "Radio i televizija Cetinje" DOO Cetinje</t>
  </si>
  <si>
    <t>02879930</t>
  </si>
  <si>
    <t>Lokalni javni emiter Radio Andrijevica DOO Andrijevica</t>
  </si>
  <si>
    <t>02410028</t>
  </si>
  <si>
    <t>Lokalni javni emiter Radio Bar DOO Bar</t>
  </si>
  <si>
    <t>02002523</t>
  </si>
  <si>
    <t>Lokalni javni emiter Radio Berane DOO Berane</t>
  </si>
  <si>
    <t>02876868</t>
  </si>
  <si>
    <t>Lokalni javni emiter Radio Danilovgrad DOO Danilovgrad</t>
  </si>
  <si>
    <t>02289512</t>
  </si>
  <si>
    <t>Lokalni javni emiter Radio i televizija Nikšić DOO Nikšić</t>
  </si>
  <si>
    <t>02896303</t>
  </si>
  <si>
    <t>Lokalni javni emiter Radio televizija Pljevlja DOO Pljevlja</t>
  </si>
  <si>
    <t>02908522</t>
  </si>
  <si>
    <t>Lokalni javni emiter Radio Televizija Podgorica DOO Podgorica</t>
  </si>
  <si>
    <t>03328139</t>
  </si>
  <si>
    <t>Lokalni javni emiter Radio televizija Rožaje DOO Rožaje</t>
  </si>
  <si>
    <t>02288699</t>
  </si>
  <si>
    <t>Lokalni javni emiter Radio televizija Ulcinj DOO Ulcinj</t>
  </si>
  <si>
    <t>02899965</t>
  </si>
  <si>
    <t>Lokalni putevi DOO Pljevlja </t>
  </si>
  <si>
    <t>02033291</t>
  </si>
  <si>
    <t>Lovstvo DOO Bar</t>
  </si>
  <si>
    <t>02273519</t>
  </si>
  <si>
    <t>Luka Kotor AD Kotor</t>
  </si>
  <si>
    <t>02044188</t>
  </si>
  <si>
    <t>Mediteran reklame DOO Budva</t>
  </si>
  <si>
    <t>02380463</t>
  </si>
  <si>
    <t>Mediteranski sportski centar DOO Budva</t>
  </si>
  <si>
    <t>02241358</t>
  </si>
  <si>
    <t>Možura DOO Bar</t>
  </si>
  <si>
    <t>02736381</t>
  </si>
  <si>
    <t>Otpadne vode DOO Budva</t>
  </si>
  <si>
    <t>03304388</t>
  </si>
  <si>
    <t>Park prirode Dragišnica i Komarnica DOO Šavnik</t>
  </si>
  <si>
    <t>03168654</t>
  </si>
  <si>
    <t>Park prirode Komovi DOO Andrijevica</t>
  </si>
  <si>
    <t>03207471</t>
  </si>
  <si>
    <t>Park prirode Piva DOO Plužine</t>
  </si>
  <si>
    <t>03072509</t>
  </si>
  <si>
    <t>03686469</t>
  </si>
  <si>
    <t>Parking servis Budva DOO Budva</t>
  </si>
  <si>
    <t>02382784</t>
  </si>
  <si>
    <t>Parking servis DOO Berane</t>
  </si>
  <si>
    <t>03064000</t>
  </si>
  <si>
    <t>Parking servis DOO Bijelo Polje</t>
  </si>
  <si>
    <t>02965747</t>
  </si>
  <si>
    <t>Parking servis DOO Tivat</t>
  </si>
  <si>
    <t>03136094</t>
  </si>
  <si>
    <t>Parking servis Herceg Novi DOO Herceg Novi</t>
  </si>
  <si>
    <t>02819848</t>
  </si>
  <si>
    <t>Parking servis Nikšić DOO Nikšić</t>
  </si>
  <si>
    <t>03061655</t>
  </si>
  <si>
    <t>Parking servis Podgorica DOO Podgorica</t>
  </si>
  <si>
    <t>02653753</t>
  </si>
  <si>
    <t>Parking servis Ulcinj DOO Ulcinj</t>
  </si>
  <si>
    <t>03257380</t>
  </si>
  <si>
    <t>03613739</t>
  </si>
  <si>
    <t>Pijace DOO Tuzi</t>
  </si>
  <si>
    <t>03399109</t>
  </si>
  <si>
    <t>Pogrebne usluge DOO Budva</t>
  </si>
  <si>
    <t>02643707</t>
  </si>
  <si>
    <t>Pogrebne usluge DOO Podgorica</t>
  </si>
  <si>
    <t>02407515</t>
  </si>
  <si>
    <t>Pomorsko-turistička agencija Kotor-mar DOO Kotor</t>
  </si>
  <si>
    <t>02416123</t>
  </si>
  <si>
    <t>Corporate</t>
  </si>
  <si>
    <t>Putevi DOO Podgorica</t>
  </si>
  <si>
    <t>02653893</t>
  </si>
  <si>
    <t>Regionalni biznis centar DOO Berane</t>
  </si>
  <si>
    <t>03063259</t>
  </si>
  <si>
    <t>Regionalni edukativni centar za održivi razvoj i poljoprivredu za sjevernu regiju Crne Gore sa sjedištem u Andrijevici DOO Andrijevica</t>
  </si>
  <si>
    <t>03250342</t>
  </si>
  <si>
    <t>Ski centar Hajla DOO Rožaje</t>
  </si>
  <si>
    <t>03078698</t>
  </si>
  <si>
    <t>Sportski centar Cetinje DOO Cetinje</t>
  </si>
  <si>
    <t>02411741</t>
  </si>
  <si>
    <t>Sportski centar DOO Berane</t>
  </si>
  <si>
    <t>02167816</t>
  </si>
  <si>
    <t>Sportski centar DOO Rožaje</t>
  </si>
  <si>
    <t>02640457</t>
  </si>
  <si>
    <t>Sportski centar Igalo DOO Herceg Novi</t>
  </si>
  <si>
    <t>02252929</t>
  </si>
  <si>
    <t>Sportski centar Žabljak DOO Žabljak</t>
  </si>
  <si>
    <t>03151450</t>
  </si>
  <si>
    <t>Sportski objekti DOO Podgorica</t>
  </si>
  <si>
    <t>02789507</t>
  </si>
  <si>
    <t>Sportsko rekreativni centar Budva DOO Budva</t>
  </si>
  <si>
    <t>02413388</t>
  </si>
  <si>
    <t>Sportsko-rekreativni centar DOO Bar</t>
  </si>
  <si>
    <t>02041715</t>
  </si>
  <si>
    <t>Tehno baza AD Nikšić</t>
  </si>
  <si>
    <t>02001799</t>
  </si>
  <si>
    <t>Tržnice i pijace DOO Podgorica</t>
  </si>
  <si>
    <t>02653915</t>
  </si>
  <si>
    <t>Vaterpolo klub Budva-Budvanska rivijera d.o.o. Budva</t>
  </si>
  <si>
    <t>02304147</t>
  </si>
  <si>
    <t>Vodovod "Bistrica" DOO Bijelo Polje</t>
  </si>
  <si>
    <t>02004011</t>
  </si>
  <si>
    <t>Vodovod DOO Pljevlja</t>
  </si>
  <si>
    <t>02343762</t>
  </si>
  <si>
    <t>Vodovod i kanalizacija - Cetinje DOO Cetinje</t>
  </si>
  <si>
    <t>02029928</t>
  </si>
  <si>
    <t>Vodovod i kanalizacija DOO Andrijevica</t>
  </si>
  <si>
    <t>03017940</t>
  </si>
  <si>
    <t>Vodovod i kanalizacija DOO Bar</t>
  </si>
  <si>
    <t>02054779</t>
  </si>
  <si>
    <t>Vodovod i kanalizacija DOO Berane</t>
  </si>
  <si>
    <t>02361833</t>
  </si>
  <si>
    <t>Vodovod i kanalizacija DOO Budva</t>
  </si>
  <si>
    <t>02005573</t>
  </si>
  <si>
    <t>Vodovod i kanalizacija DOO Danilovgrad</t>
  </si>
  <si>
    <t>02877864</t>
  </si>
  <si>
    <t>Vodovod i kanalizacija DOO Herceg Novi</t>
  </si>
  <si>
    <t>02293196</t>
  </si>
  <si>
    <t>Vodovod i kanalizacija DOO Kolašin</t>
  </si>
  <si>
    <t>02788748</t>
  </si>
  <si>
    <t>Vodovod i kanalizacija DOO Nikšić</t>
  </si>
  <si>
    <t>02033143</t>
  </si>
  <si>
    <t>Vodovod i kanalizacija DOO Podgorica</t>
  </si>
  <si>
    <t>02015641</t>
  </si>
  <si>
    <t>Vodovod i kanalizacija DOO Rožaje</t>
  </si>
  <si>
    <t>02776146</t>
  </si>
  <si>
    <t>Vodovod i kanalizacija DOO Tivat</t>
  </si>
  <si>
    <t>02295407</t>
  </si>
  <si>
    <t>Vodovod i kanalizacija DOO Ulcinj</t>
  </si>
  <si>
    <t>02877449</t>
  </si>
  <si>
    <t>Vodovod i kanalizacija Kotor DOO Kotor</t>
  </si>
  <si>
    <t>02013312</t>
  </si>
  <si>
    <t>Vodovod i kanalizacija Tuzi DOO Tuzi</t>
  </si>
  <si>
    <t>03399702</t>
  </si>
  <si>
    <t>Zelenilo DOO Podgorica</t>
  </si>
  <si>
    <t>02407507</t>
  </si>
  <si>
    <t>PIB</t>
  </si>
  <si>
    <t>1. BROJ ZAPOSLENIH (013)</t>
  </si>
  <si>
    <t>2. UKUPNA AKTIVA (006)</t>
  </si>
  <si>
    <t>3. UKUPNI KAPITAL (008)</t>
  </si>
  <si>
    <t>4. UKUPNE OBAVEZE (006 - 008)</t>
  </si>
  <si>
    <t>7. UKUPNI PRIHODI (030)</t>
  </si>
  <si>
    <t>8. POSLOVNI PRIHODI (01401)</t>
  </si>
  <si>
    <t>9. POSLOVNI RASHODI (031)</t>
  </si>
  <si>
    <t xml:space="preserve"> Herceg Novi</t>
  </si>
  <si>
    <t xml:space="preserve"> Berane</t>
  </si>
  <si>
    <t xml:space="preserve"> Podgorica</t>
  </si>
  <si>
    <t xml:space="preserve"> Ulcinj</t>
  </si>
  <si>
    <t xml:space="preserve"> Rožaje</t>
  </si>
  <si>
    <t xml:space="preserve"> Nikšić</t>
  </si>
  <si>
    <t xml:space="preserve"> Budva</t>
  </si>
  <si>
    <t xml:space="preserve"> Tivat</t>
  </si>
  <si>
    <t xml:space="preserve"> Pljevlja</t>
  </si>
  <si>
    <t xml:space="preserve"> Danilovgrad</t>
  </si>
  <si>
    <t xml:space="preserve"> Zeta</t>
  </si>
  <si>
    <t xml:space="preserve"> Kolašin</t>
  </si>
  <si>
    <t xml:space="preserve"> Bar</t>
  </si>
  <si>
    <t xml:space="preserve"> Bijelo Polje</t>
  </si>
  <si>
    <t xml:space="preserve"> PLJEVLJA</t>
  </si>
  <si>
    <t xml:space="preserve"> Cetinje</t>
  </si>
  <si>
    <t xml:space="preserve"> Andrijevica</t>
  </si>
  <si>
    <t xml:space="preserve"> Kotor</t>
  </si>
  <si>
    <t xml:space="preserve"> Tuzi</t>
  </si>
  <si>
    <t xml:space="preserve"> Žabljak</t>
  </si>
  <si>
    <t xml:space="preserve"> Šavnik</t>
  </si>
  <si>
    <t xml:space="preserve"> Plužine</t>
  </si>
  <si>
    <t xml:space="preserve"> Mojkovac</t>
  </si>
  <si>
    <t xml:space="preserve"> Gusinje</t>
  </si>
  <si>
    <t xml:space="preserve"> Petnjica</t>
  </si>
  <si>
    <t xml:space="preserve"> Plav</t>
  </si>
  <si>
    <t>PRAVNI OBLIK ORGANIZOVANJA</t>
  </si>
  <si>
    <t>DOO</t>
  </si>
  <si>
    <t>AD</t>
  </si>
  <si>
    <t>GRAD/PRIJESTONICA/OPŠTINA</t>
  </si>
  <si>
    <t>Privredna društva</t>
  </si>
  <si>
    <t>6. EBIT (016)</t>
  </si>
  <si>
    <t>5. UKUPNI PRIHODI (030)</t>
  </si>
  <si>
    <t>7. NETO REZULTAT (029)</t>
  </si>
  <si>
    <t xml:space="preserve">JP </t>
  </si>
  <si>
    <t>VIŠE OPŠTINA</t>
  </si>
  <si>
    <t>Javni emiter Radio Tivat d.o.o. Tivat</t>
  </si>
  <si>
    <t>Transport</t>
  </si>
  <si>
    <t>Drugo</t>
  </si>
  <si>
    <t xml:space="preserve">Drugo </t>
  </si>
  <si>
    <t>Drugo (Biznis podrška)</t>
  </si>
  <si>
    <t>Zaštita životne sredine</t>
  </si>
  <si>
    <t>Drugo(obrazovanje)</t>
  </si>
  <si>
    <t>Drugo (Construction)</t>
  </si>
  <si>
    <t>Energetika</t>
  </si>
  <si>
    <t>Sport</t>
  </si>
  <si>
    <t>Komunalije</t>
  </si>
  <si>
    <t>Poljoprivreda</t>
  </si>
  <si>
    <t>Saobraćaj</t>
  </si>
  <si>
    <t xml:space="preserve"> Sport</t>
  </si>
  <si>
    <t>Mediji</t>
  </si>
  <si>
    <t>Drugo (Biznispodrška)</t>
  </si>
  <si>
    <t>RB.</t>
  </si>
  <si>
    <t>UKUPNO</t>
  </si>
  <si>
    <t xml:space="preserve"> BROJ ZAPOSLENIH 2021</t>
  </si>
  <si>
    <t xml:space="preserve"> BROJ ZAPOSLENIH 2022</t>
  </si>
  <si>
    <t xml:space="preserve"> BROJ ZAPOSLENIH 2023</t>
  </si>
  <si>
    <t xml:space="preserve"> UKUPNA AKTIVA 2021</t>
  </si>
  <si>
    <t xml:space="preserve"> UKUPNA AKTIVA 2022</t>
  </si>
  <si>
    <t xml:space="preserve"> UKUPNA AKTIVA 2023</t>
  </si>
  <si>
    <t xml:space="preserve"> UKUPNI KAPITAL 2021</t>
  </si>
  <si>
    <t xml:space="preserve"> UKUPNI KAPITAL 2022</t>
  </si>
  <si>
    <t xml:space="preserve"> UKUPNI KAPITAL 2023</t>
  </si>
  <si>
    <t xml:space="preserve"> UKUPNE OBAVEZE 2021</t>
  </si>
  <si>
    <t xml:space="preserve"> UKUPNE OBAVEZE 2022</t>
  </si>
  <si>
    <t xml:space="preserve"> UKUPNE OBAVEZE 2023</t>
  </si>
  <si>
    <t xml:space="preserve"> UKUPNI PRIHOD 2021</t>
  </si>
  <si>
    <t xml:space="preserve"> UKUPNI PRIHOD 2022</t>
  </si>
  <si>
    <t xml:space="preserve"> UKUPNI PRIHOD 2023</t>
  </si>
  <si>
    <t xml:space="preserve"> EBIT 2021</t>
  </si>
  <si>
    <t xml:space="preserve"> EBIT 2022</t>
  </si>
  <si>
    <t xml:space="preserve"> EBIT 2023</t>
  </si>
  <si>
    <t xml:space="preserve"> NETO REZULTAT 2021</t>
  </si>
  <si>
    <t xml:space="preserve"> NETO REZULTAT 2022</t>
  </si>
  <si>
    <t xml:space="preserve"> NETO REZULTAT 2023</t>
  </si>
  <si>
    <t xml:space="preserve">PREDUZEĆA NA LOKALNOM NIVOU PO OPŠTINAMA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</si>
</sst>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432FF"/>
      <name val="Calibri"/>
      <family val="2"/>
      <scheme val="minor"/>
    </font>
    <font>
      <sz val="11"/>
      <color rgb="FF0432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FDFF"/>
      <name val="Calibri"/>
      <family val="2"/>
      <scheme val="minor"/>
    </font>
    <font>
      <sz val="11"/>
      <color rgb="FF00FD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hair">
        <color rgb="FF002060"/>
      </left>
      <right/>
      <top style="medium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rgb="FF002060"/>
      </bottom>
      <diagonal/>
    </border>
    <border>
      <left style="hair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/>
      <right style="hair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hair">
        <color rgb="FF002060"/>
      </right>
      <top style="medium">
        <color rgb="FF002060"/>
      </top>
      <bottom style="medium">
        <color rgb="FF002060"/>
      </bottom>
      <diagonal/>
    </border>
    <border>
      <left style="hair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6" borderId="0" xfId="0" applyFill="1" applyAlignment="1">
      <alignment horizontal="right"/>
    </xf>
    <xf numFmtId="3" fontId="7" fillId="0" borderId="0" xfId="0" applyNumberFormat="1" applyFont="1"/>
    <xf numFmtId="3" fontId="0" fillId="0" borderId="1" xfId="0" applyNumberFormat="1" applyBorder="1"/>
    <xf numFmtId="0" fontId="3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/>
    <xf numFmtId="0" fontId="9" fillId="7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0" fillId="2" borderId="0" xfId="0" applyFill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/>
    <xf numFmtId="0" fontId="0" fillId="0" borderId="0" xfId="0" applyFill="1" applyAlignment="1">
      <alignment horizontal="center"/>
    </xf>
    <xf numFmtId="0" fontId="12" fillId="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/>
    <xf numFmtId="0" fontId="11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/>
    <xf numFmtId="10" fontId="0" fillId="0" borderId="0" xfId="0" applyNumberFormat="1" applyFill="1" applyBorder="1"/>
    <xf numFmtId="0" fontId="0" fillId="0" borderId="0" xfId="0" applyFill="1" applyBorder="1"/>
    <xf numFmtId="10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3" fontId="0" fillId="8" borderId="10" xfId="2" applyFont="1" applyFill="1" applyBorder="1"/>
    <xf numFmtId="43" fontId="0" fillId="8" borderId="11" xfId="2" applyFont="1" applyFill="1" applyBorder="1"/>
    <xf numFmtId="43" fontId="0" fillId="8" borderId="12" xfId="2" applyFont="1" applyFill="1" applyBorder="1" applyAlignment="1">
      <alignment horizontal="right"/>
    </xf>
    <xf numFmtId="43" fontId="0" fillId="8" borderId="12" xfId="2" applyFont="1" applyFill="1" applyBorder="1"/>
    <xf numFmtId="43" fontId="0" fillId="8" borderId="10" xfId="2" applyFont="1" applyFill="1" applyBorder="1" applyAlignment="1">
      <alignment horizontal="right"/>
    </xf>
    <xf numFmtId="43" fontId="0" fillId="8" borderId="11" xfId="2" applyFont="1" applyFill="1" applyBorder="1" applyAlignment="1">
      <alignment horizontal="right"/>
    </xf>
    <xf numFmtId="43" fontId="0" fillId="8" borderId="13" xfId="2" applyFont="1" applyFill="1" applyBorder="1"/>
    <xf numFmtId="43" fontId="0" fillId="8" borderId="14" xfId="2" applyFont="1" applyFill="1" applyBorder="1"/>
    <xf numFmtId="43" fontId="0" fillId="8" borderId="15" xfId="2" applyFont="1" applyFill="1" applyBorder="1"/>
    <xf numFmtId="43" fontId="0" fillId="9" borderId="11" xfId="2" applyFont="1" applyFill="1" applyBorder="1"/>
    <xf numFmtId="43" fontId="0" fillId="9" borderId="12" xfId="2" applyFont="1" applyFill="1" applyBorder="1"/>
    <xf numFmtId="43" fontId="0" fillId="9" borderId="12" xfId="2" applyFont="1" applyFill="1" applyBorder="1" applyAlignment="1">
      <alignment horizontal="right"/>
    </xf>
    <xf numFmtId="43" fontId="0" fillId="9" borderId="11" xfId="2" applyFont="1" applyFill="1" applyBorder="1" applyAlignment="1">
      <alignment horizontal="right"/>
    </xf>
    <xf numFmtId="43" fontId="0" fillId="9" borderId="14" xfId="2" applyFont="1" applyFill="1" applyBorder="1"/>
    <xf numFmtId="43" fontId="0" fillId="9" borderId="15" xfId="2" applyFont="1" applyFill="1" applyBorder="1"/>
    <xf numFmtId="43" fontId="0" fillId="9" borderId="11" xfId="2" applyFont="1" applyFill="1" applyBorder="1" applyAlignment="1">
      <alignment horizontal="center"/>
    </xf>
    <xf numFmtId="43" fontId="0" fillId="9" borderId="14" xfId="2" applyFont="1" applyFill="1" applyBorder="1" applyAlignment="1">
      <alignment horizontal="center"/>
    </xf>
    <xf numFmtId="43" fontId="0" fillId="8" borderId="13" xfId="2" applyFont="1" applyFill="1" applyBorder="1" applyAlignment="1">
      <alignment horizontal="right"/>
    </xf>
    <xf numFmtId="43" fontId="0" fillId="8" borderId="14" xfId="2" applyFont="1" applyFill="1" applyBorder="1" applyAlignment="1">
      <alignment horizontal="right"/>
    </xf>
    <xf numFmtId="43" fontId="0" fillId="8" borderId="15" xfId="2" applyFont="1" applyFill="1" applyBorder="1" applyAlignment="1">
      <alignment horizontal="right"/>
    </xf>
    <xf numFmtId="43" fontId="0" fillId="9" borderId="14" xfId="2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43" fontId="0" fillId="8" borderId="16" xfId="2" applyFont="1" applyFill="1" applyBorder="1"/>
    <xf numFmtId="43" fontId="0" fillId="8" borderId="17" xfId="2" applyFont="1" applyFill="1" applyBorder="1"/>
    <xf numFmtId="43" fontId="0" fillId="8" borderId="18" xfId="2" applyFont="1" applyFill="1" applyBorder="1"/>
    <xf numFmtId="43" fontId="0" fillId="9" borderId="17" xfId="2" applyFont="1" applyFill="1" applyBorder="1"/>
    <xf numFmtId="43" fontId="0" fillId="9" borderId="18" xfId="2" applyFont="1" applyFill="1" applyBorder="1"/>
    <xf numFmtId="43" fontId="0" fillId="9" borderId="17" xfId="2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10" fontId="0" fillId="0" borderId="19" xfId="1" applyNumberFormat="1" applyFont="1" applyBorder="1" applyAlignment="1">
      <alignment horizontal="center"/>
    </xf>
    <xf numFmtId="43" fontId="0" fillId="8" borderId="20" xfId="2" applyFont="1" applyFill="1" applyBorder="1"/>
    <xf numFmtId="43" fontId="0" fillId="8" borderId="21" xfId="2" applyFont="1" applyFill="1" applyBorder="1"/>
    <xf numFmtId="43" fontId="0" fillId="8" borderId="22" xfId="2" applyFont="1" applyFill="1" applyBorder="1"/>
    <xf numFmtId="43" fontId="0" fillId="9" borderId="21" xfId="2" applyFont="1" applyFill="1" applyBorder="1"/>
    <xf numFmtId="43" fontId="0" fillId="9" borderId="22" xfId="2" applyFont="1" applyFill="1" applyBorder="1"/>
    <xf numFmtId="43" fontId="0" fillId="9" borderId="21" xfId="2" applyFont="1" applyFill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43" fontId="0" fillId="8" borderId="16" xfId="2" applyFont="1" applyFill="1" applyBorder="1" applyAlignment="1">
      <alignment horizontal="right"/>
    </xf>
    <xf numFmtId="43" fontId="0" fillId="8" borderId="17" xfId="2" applyFont="1" applyFill="1" applyBorder="1" applyAlignment="1">
      <alignment horizontal="right"/>
    </xf>
    <xf numFmtId="43" fontId="0" fillId="8" borderId="18" xfId="2" applyFont="1" applyFill="1" applyBorder="1" applyAlignment="1">
      <alignment horizontal="right"/>
    </xf>
    <xf numFmtId="43" fontId="0" fillId="9" borderId="17" xfId="2" applyFont="1" applyFill="1" applyBorder="1" applyAlignment="1">
      <alignment horizontal="right"/>
    </xf>
    <xf numFmtId="43" fontId="0" fillId="9" borderId="18" xfId="2" applyFont="1" applyFill="1" applyBorder="1" applyAlignment="1">
      <alignment horizontal="right"/>
    </xf>
    <xf numFmtId="10" fontId="0" fillId="0" borderId="0" xfId="1" applyNumberFormat="1" applyFont="1" applyFill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43" fontId="0" fillId="8" borderId="20" xfId="2" applyFont="1" applyFill="1" applyBorder="1" applyAlignment="1">
      <alignment horizontal="right"/>
    </xf>
    <xf numFmtId="43" fontId="0" fillId="8" borderId="21" xfId="2" applyFont="1" applyFill="1" applyBorder="1" applyAlignment="1">
      <alignment horizontal="right"/>
    </xf>
    <xf numFmtId="43" fontId="0" fillId="8" borderId="22" xfId="2" applyFont="1" applyFill="1" applyBorder="1" applyAlignment="1">
      <alignment horizontal="right"/>
    </xf>
    <xf numFmtId="43" fontId="0" fillId="9" borderId="21" xfId="2" applyFont="1" applyFill="1" applyBorder="1" applyAlignment="1">
      <alignment horizontal="right"/>
    </xf>
    <xf numFmtId="43" fontId="0" fillId="8" borderId="23" xfId="2" applyFont="1" applyFill="1" applyBorder="1"/>
    <xf numFmtId="43" fontId="0" fillId="8" borderId="24" xfId="2" applyFont="1" applyFill="1" applyBorder="1" applyAlignment="1">
      <alignment horizontal="right"/>
    </xf>
    <xf numFmtId="43" fontId="0" fillId="8" borderId="24" xfId="2" applyFont="1" applyFill="1" applyBorder="1"/>
    <xf numFmtId="43" fontId="0" fillId="8" borderId="25" xfId="2" applyFont="1" applyFill="1" applyBorder="1"/>
    <xf numFmtId="43" fontId="0" fillId="8" borderId="26" xfId="2" applyFont="1" applyFill="1" applyBorder="1"/>
    <xf numFmtId="43" fontId="0" fillId="8" borderId="23" xfId="2" applyFont="1" applyFill="1" applyBorder="1" applyAlignment="1">
      <alignment horizontal="right"/>
    </xf>
    <xf numFmtId="43" fontId="0" fillId="8" borderId="25" xfId="2" applyFont="1" applyFill="1" applyBorder="1" applyAlignment="1">
      <alignment horizontal="right"/>
    </xf>
    <xf numFmtId="43" fontId="0" fillId="8" borderId="26" xfId="2" applyFont="1" applyFill="1" applyBorder="1" applyAlignment="1">
      <alignment horizontal="right"/>
    </xf>
    <xf numFmtId="43" fontId="0" fillId="8" borderId="27" xfId="2" applyFont="1" applyFill="1" applyBorder="1"/>
    <xf numFmtId="43" fontId="0" fillId="8" borderId="28" xfId="2" applyFont="1" applyFill="1" applyBorder="1"/>
    <xf numFmtId="43" fontId="0" fillId="8" borderId="29" xfId="2" applyFont="1" applyFill="1" applyBorder="1"/>
    <xf numFmtId="43" fontId="0" fillId="8" borderId="28" xfId="2" applyFont="1" applyFill="1" applyBorder="1" applyAlignment="1">
      <alignment horizontal="right"/>
    </xf>
    <xf numFmtId="43" fontId="0" fillId="8" borderId="30" xfId="2" applyFont="1" applyFill="1" applyBorder="1"/>
    <xf numFmtId="43" fontId="0" fillId="8" borderId="27" xfId="2" applyFont="1" applyFill="1" applyBorder="1" applyAlignment="1">
      <alignment horizontal="right"/>
    </xf>
    <xf numFmtId="43" fontId="0" fillId="8" borderId="29" xfId="2" applyFont="1" applyFill="1" applyBorder="1" applyAlignment="1">
      <alignment horizontal="right"/>
    </xf>
    <xf numFmtId="43" fontId="0" fillId="8" borderId="30" xfId="2" applyFont="1" applyFill="1" applyBorder="1" applyAlignment="1">
      <alignment horizontal="right"/>
    </xf>
    <xf numFmtId="43" fontId="0" fillId="9" borderId="31" xfId="2" applyFont="1" applyFill="1" applyBorder="1"/>
    <xf numFmtId="43" fontId="0" fillId="9" borderId="32" xfId="2" applyFont="1" applyFill="1" applyBorder="1"/>
    <xf numFmtId="43" fontId="0" fillId="9" borderId="33" xfId="2" applyFont="1" applyFill="1" applyBorder="1"/>
    <xf numFmtId="43" fontId="0" fillId="9" borderId="34" xfId="2" applyFont="1" applyFill="1" applyBorder="1" applyAlignment="1">
      <alignment horizontal="right"/>
    </xf>
    <xf numFmtId="43" fontId="0" fillId="9" borderId="34" xfId="2" applyFont="1" applyFill="1" applyBorder="1"/>
    <xf numFmtId="43" fontId="0" fillId="9" borderId="35" xfId="2" applyFont="1" applyFill="1" applyBorder="1"/>
    <xf numFmtId="43" fontId="0" fillId="9" borderId="36" xfId="2" applyFont="1" applyFill="1" applyBorder="1"/>
    <xf numFmtId="43" fontId="0" fillId="9" borderId="33" xfId="2" applyFont="1" applyFill="1" applyBorder="1" applyAlignment="1">
      <alignment horizontal="right"/>
    </xf>
    <xf numFmtId="43" fontId="0" fillId="9" borderId="37" xfId="2" applyFont="1" applyFill="1" applyBorder="1"/>
    <xf numFmtId="43" fontId="0" fillId="9" borderId="38" xfId="2" applyFont="1" applyFill="1" applyBorder="1"/>
    <xf numFmtId="43" fontId="0" fillId="9" borderId="31" xfId="2" applyFont="1" applyFill="1" applyBorder="1" applyAlignment="1">
      <alignment horizontal="right"/>
    </xf>
    <xf numFmtId="43" fontId="0" fillId="9" borderId="32" xfId="2" applyFont="1" applyFill="1" applyBorder="1" applyAlignment="1">
      <alignment horizontal="right"/>
    </xf>
    <xf numFmtId="43" fontId="0" fillId="9" borderId="35" xfId="2" applyFont="1" applyFill="1" applyBorder="1" applyAlignment="1">
      <alignment horizontal="right"/>
    </xf>
    <xf numFmtId="43" fontId="0" fillId="9" borderId="36" xfId="2" applyFont="1" applyFill="1" applyBorder="1" applyAlignment="1">
      <alignment horizontal="right"/>
    </xf>
    <xf numFmtId="43" fontId="0" fillId="9" borderId="37" xfId="2" applyFont="1" applyFill="1" applyBorder="1" applyAlignment="1">
      <alignment horizontal="right"/>
    </xf>
    <xf numFmtId="43" fontId="0" fillId="9" borderId="38" xfId="2" applyFont="1" applyFill="1" applyBorder="1" applyAlignment="1">
      <alignment horizontal="right"/>
    </xf>
    <xf numFmtId="43" fontId="0" fillId="9" borderId="31" xfId="2" applyFont="1" applyFill="1" applyBorder="1" applyAlignment="1">
      <alignment horizontal="center"/>
    </xf>
    <xf numFmtId="43" fontId="0" fillId="9" borderId="32" xfId="2" applyFont="1" applyFill="1" applyBorder="1" applyAlignment="1">
      <alignment horizontal="center"/>
    </xf>
    <xf numFmtId="43" fontId="0" fillId="9" borderId="33" xfId="2" applyFont="1" applyFill="1" applyBorder="1" applyAlignment="1">
      <alignment horizontal="center"/>
    </xf>
    <xf numFmtId="43" fontId="0" fillId="9" borderId="34" xfId="2" applyFont="1" applyFill="1" applyBorder="1" applyAlignment="1">
      <alignment horizontal="center"/>
    </xf>
    <xf numFmtId="43" fontId="0" fillId="9" borderId="35" xfId="2" applyFont="1" applyFill="1" applyBorder="1" applyAlignment="1">
      <alignment horizontal="center"/>
    </xf>
    <xf numFmtId="43" fontId="0" fillId="9" borderId="36" xfId="2" applyFont="1" applyFill="1" applyBorder="1" applyAlignment="1">
      <alignment horizontal="center"/>
    </xf>
    <xf numFmtId="43" fontId="0" fillId="9" borderId="37" xfId="2" applyFont="1" applyFill="1" applyBorder="1" applyAlignment="1">
      <alignment horizontal="center"/>
    </xf>
    <xf numFmtId="43" fontId="0" fillId="9" borderId="38" xfId="2" applyFont="1" applyFill="1" applyBorder="1" applyAlignment="1">
      <alignment horizontal="center"/>
    </xf>
    <xf numFmtId="43" fontId="0" fillId="9" borderId="27" xfId="2" applyFont="1" applyFill="1" applyBorder="1"/>
    <xf numFmtId="43" fontId="0" fillId="9" borderId="28" xfId="2" applyFont="1" applyFill="1" applyBorder="1"/>
    <xf numFmtId="43" fontId="0" fillId="9" borderId="29" xfId="2" applyFont="1" applyFill="1" applyBorder="1"/>
    <xf numFmtId="43" fontId="0" fillId="9" borderId="28" xfId="2" applyFont="1" applyFill="1" applyBorder="1" applyAlignment="1">
      <alignment horizontal="right"/>
    </xf>
    <xf numFmtId="43" fontId="0" fillId="9" borderId="30" xfId="2" applyFont="1" applyFill="1" applyBorder="1"/>
    <xf numFmtId="43" fontId="0" fillId="9" borderId="27" xfId="2" applyFont="1" applyFill="1" applyBorder="1" applyAlignment="1">
      <alignment horizontal="right"/>
    </xf>
    <xf numFmtId="43" fontId="0" fillId="8" borderId="31" xfId="2" applyFont="1" applyFill="1" applyBorder="1"/>
    <xf numFmtId="43" fontId="0" fillId="8" borderId="32" xfId="2" applyFont="1" applyFill="1" applyBorder="1"/>
    <xf numFmtId="43" fontId="0" fillId="8" borderId="33" xfId="2" applyFont="1" applyFill="1" applyBorder="1"/>
    <xf numFmtId="43" fontId="0" fillId="8" borderId="34" xfId="2" applyFont="1" applyFill="1" applyBorder="1" applyAlignment="1">
      <alignment horizontal="right"/>
    </xf>
    <xf numFmtId="43" fontId="0" fillId="8" borderId="34" xfId="2" applyFont="1" applyFill="1" applyBorder="1"/>
    <xf numFmtId="43" fontId="0" fillId="8" borderId="35" xfId="2" applyFont="1" applyFill="1" applyBorder="1"/>
    <xf numFmtId="43" fontId="0" fillId="8" borderId="36" xfId="2" applyFont="1" applyFill="1" applyBorder="1"/>
    <xf numFmtId="43" fontId="0" fillId="8" borderId="33" xfId="2" applyFont="1" applyFill="1" applyBorder="1" applyAlignment="1">
      <alignment horizontal="right"/>
    </xf>
    <xf numFmtId="43" fontId="0" fillId="8" borderId="37" xfId="2" applyFont="1" applyFill="1" applyBorder="1"/>
    <xf numFmtId="43" fontId="0" fillId="8" borderId="38" xfId="2" applyFont="1" applyFill="1" applyBorder="1"/>
    <xf numFmtId="43" fontId="0" fillId="8" borderId="31" xfId="2" applyFont="1" applyFill="1" applyBorder="1" applyAlignment="1">
      <alignment horizontal="right"/>
    </xf>
    <xf numFmtId="43" fontId="0" fillId="8" borderId="32" xfId="2" applyFont="1" applyFill="1" applyBorder="1" applyAlignment="1">
      <alignment horizontal="right"/>
    </xf>
    <xf numFmtId="43" fontId="0" fillId="8" borderId="35" xfId="2" applyFont="1" applyFill="1" applyBorder="1" applyAlignment="1">
      <alignment horizontal="right"/>
    </xf>
    <xf numFmtId="43" fontId="0" fillId="8" borderId="36" xfId="2" applyFont="1" applyFill="1" applyBorder="1" applyAlignment="1">
      <alignment horizontal="right"/>
    </xf>
    <xf numFmtId="43" fontId="0" fillId="8" borderId="37" xfId="2" applyFont="1" applyFill="1" applyBorder="1" applyAlignment="1">
      <alignment horizontal="right"/>
    </xf>
    <xf numFmtId="43" fontId="0" fillId="8" borderId="38" xfId="2" applyFont="1" applyFill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0" fontId="0" fillId="0" borderId="0" xfId="0" pivotButton="1"/>
    <xf numFmtId="0" fontId="0" fillId="0" borderId="39" xfId="0" applyBorder="1" applyAlignment="1">
      <alignment horizontal="left"/>
    </xf>
    <xf numFmtId="0" fontId="0" fillId="0" borderId="39" xfId="0" applyBorder="1" applyAlignment="1">
      <alignment horizontal="left" indent="1"/>
    </xf>
    <xf numFmtId="43" fontId="0" fillId="0" borderId="39" xfId="0" applyNumberFormat="1" applyBorder="1"/>
    <xf numFmtId="43" fontId="0" fillId="0" borderId="43" xfId="0" applyNumberFormat="1" applyBorder="1"/>
    <xf numFmtId="43" fontId="0" fillId="0" borderId="49" xfId="0" applyNumberFormat="1" applyBorder="1"/>
    <xf numFmtId="43" fontId="0" fillId="0" borderId="45" xfId="0" applyNumberFormat="1" applyBorder="1"/>
    <xf numFmtId="0" fontId="0" fillId="0" borderId="3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9" borderId="41" xfId="0" applyNumberFormat="1" applyFill="1" applyBorder="1"/>
    <xf numFmtId="0" fontId="0" fillId="9" borderId="39" xfId="0" applyNumberFormat="1" applyFill="1" applyBorder="1"/>
    <xf numFmtId="43" fontId="0" fillId="9" borderId="49" xfId="0" applyNumberFormat="1" applyFill="1" applyBorder="1"/>
    <xf numFmtId="43" fontId="0" fillId="9" borderId="43" xfId="0" applyNumberFormat="1" applyFill="1" applyBorder="1"/>
    <xf numFmtId="43" fontId="0" fillId="9" borderId="45" xfId="0" applyNumberFormat="1" applyFill="1" applyBorder="1"/>
    <xf numFmtId="0" fontId="0" fillId="10" borderId="39" xfId="0" applyFill="1" applyBorder="1" applyAlignment="1">
      <alignment horizontal="left"/>
    </xf>
    <xf numFmtId="0" fontId="0" fillId="10" borderId="41" xfId="0" applyNumberFormat="1" applyFill="1" applyBorder="1"/>
    <xf numFmtId="0" fontId="0" fillId="10" borderId="39" xfId="0" applyNumberFormat="1" applyFill="1" applyBorder="1"/>
    <xf numFmtId="43" fontId="0" fillId="10" borderId="39" xfId="0" applyNumberFormat="1" applyFill="1" applyBorder="1"/>
    <xf numFmtId="43" fontId="0" fillId="10" borderId="48" xfId="0" applyNumberFormat="1" applyFill="1" applyBorder="1"/>
    <xf numFmtId="43" fontId="0" fillId="10" borderId="42" xfId="0" applyNumberFormat="1" applyFill="1" applyBorder="1"/>
    <xf numFmtId="43" fontId="0" fillId="10" borderId="44" xfId="0" applyNumberFormat="1" applyFill="1" applyBorder="1"/>
    <xf numFmtId="43" fontId="0" fillId="10" borderId="49" xfId="0" applyNumberFormat="1" applyFill="1" applyBorder="1"/>
    <xf numFmtId="43" fontId="0" fillId="10" borderId="43" xfId="0" applyNumberFormat="1" applyFill="1" applyBorder="1"/>
    <xf numFmtId="43" fontId="0" fillId="10" borderId="45" xfId="0" applyNumberFormat="1" applyFill="1" applyBorder="1"/>
    <xf numFmtId="0" fontId="0" fillId="11" borderId="39" xfId="0" applyFill="1" applyBorder="1" applyAlignment="1">
      <alignment horizontal="left"/>
    </xf>
    <xf numFmtId="0" fontId="0" fillId="11" borderId="41" xfId="0" applyNumberFormat="1" applyFill="1" applyBorder="1"/>
    <xf numFmtId="0" fontId="0" fillId="11" borderId="39" xfId="0" applyNumberFormat="1" applyFill="1" applyBorder="1"/>
    <xf numFmtId="43" fontId="0" fillId="11" borderId="39" xfId="0" applyNumberFormat="1" applyFill="1" applyBorder="1"/>
    <xf numFmtId="43" fontId="0" fillId="11" borderId="50" xfId="0" applyNumberFormat="1" applyFill="1" applyBorder="1"/>
    <xf numFmtId="43" fontId="0" fillId="11" borderId="46" xfId="0" applyNumberFormat="1" applyFill="1" applyBorder="1"/>
    <xf numFmtId="43" fontId="0" fillId="11" borderId="47" xfId="0" applyNumberFormat="1" applyFill="1" applyBorder="1"/>
    <xf numFmtId="0" fontId="0" fillId="0" borderId="39" xfId="0" applyBorder="1" applyAlignment="1">
      <alignment horizontal="left" wrapText="1" indent="1"/>
    </xf>
    <xf numFmtId="0" fontId="0" fillId="0" borderId="0" xfId="0" applyFill="1" applyBorder="1" applyAlignment="1">
      <alignment wrapText="1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11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4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border>
        <bottom style="thin">
          <color indexed="64"/>
        </bottom>
        <vertical style="thin">
          <color indexed="64"/>
        </vertical>
      </border>
    </dxf>
    <dxf>
      <border>
        <bottom style="thin">
          <color indexed="64"/>
        </bottom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hair">
          <color indexed="64"/>
        </vertical>
        <horizontal style="hair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hair">
          <color indexed="64"/>
        </vertical>
        <horizontal style="hair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hair">
          <color indexed="64"/>
        </vertical>
        <horizontal style="hair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hair">
          <color indexed="64"/>
        </vertical>
        <horizontal style="hair">
          <color indexed="64"/>
        </horizontal>
      </border>
    </dxf>
    <dxf>
      <border>
        <vertical style="hair">
          <color indexed="64"/>
        </vertical>
        <horizontal style="hair">
          <color indexed="64"/>
        </horizontal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vertical style="hair">
          <color indexed="64"/>
        </vertical>
        <horizontal style="hair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hair">
          <color indexed="64"/>
        </vertical>
        <horizontal style="hair">
          <color indexed="64"/>
        </horizontal>
      </border>
    </dxf>
    <dxf>
      <border>
        <bottom style="thin">
          <color indexed="64"/>
        </bottom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hair">
          <color indexed="64"/>
        </vertical>
        <horizontal style="hair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hair">
          <color indexed="64"/>
        </vertical>
        <horizontal style="hair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border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vertical="bottom"/>
    </dxf>
    <dxf>
      <alignment horizontal="center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DFF"/>
      <color rgb="FF290E8E"/>
      <color rgb="FFFF40FF"/>
      <color rgb="FF0432FF"/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.ivanovic/AppData/Local/Microsoft/Windows/INetCache/Content.Outlook/HV18KGLV/Registar%2030122024%20konacni%20Maja%20(005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15.527059722219" createdVersion="6" refreshedVersion="6" minRefreshableVersion="3" recordCount="124" xr:uid="{8A546174-8AD5-4927-95E5-D9D6807B47C1}">
  <cacheSource type="worksheet">
    <worksheetSource ref="A3:AA127" sheet="Sheet1" r:id="rId2"/>
  </cacheSource>
  <cacheFields count="27">
    <cacheField name="GRAD/PRIJESTONICA/OPŠTINA" numFmtId="0">
      <sharedItems count="27">
        <s v=" Andrijevica"/>
        <s v=" Bar"/>
        <s v=" Berane"/>
        <s v=" Bijelo Polje"/>
        <s v=" Budva"/>
        <s v=" Cetinje"/>
        <s v=" Danilovgrad"/>
        <s v=" Gusinje"/>
        <s v=" Herceg Novi"/>
        <s v=" Kolašin"/>
        <s v=" Kotor"/>
        <s v=" Mojkovac"/>
        <s v=" Nikšić"/>
        <s v=" Petnjica"/>
        <s v=" Plav"/>
        <s v=" Plužine"/>
        <s v=" Pljevlja"/>
        <s v=" Podgorica"/>
        <s v=" Rožaje"/>
        <s v=" Šavnik"/>
        <s v=" Tivat"/>
        <s v=" Tuzi"/>
        <s v=" Ulcinj"/>
        <s v=" Zeta"/>
        <s v=" Žabljak"/>
        <s v="Corporate"/>
        <s v="VIŠE OPŠTINA"/>
      </sharedItems>
    </cacheField>
    <cacheField name="Privredna društva" numFmtId="0">
      <sharedItems count="124">
        <s v="Komunalno DOO Andrijevica"/>
        <s v="Lokalni javni emiter Radio Andrijevica DOO Andrijevica"/>
        <s v="Park prirode Komovi DOO Andrijevica"/>
        <s v="Regionalni edukativni centar za održivi razvoj i poljoprivredu za sjevernu regiju Crne Gore sa sjedištem u Andrijevici DOO Andrijevica"/>
        <s v="Vodovod i kanalizacija DOO Andrijevica"/>
        <s v="Komunalne djelatnosti DOO Bar"/>
        <s v="Parking servis d.o.o. Bar"/>
        <s v="Sportsko-rekreativni centar DOO Bar"/>
        <s v="Vodovod i kanalizacija DOO Bar"/>
        <s v="Lokalni javni emiter Radio Bar DOO Bar"/>
        <s v="Lovstvo DOO Bar"/>
        <s v="Agencija za izgradnju i razvoj DOO Berane"/>
        <s v="Benergo DOO Berane"/>
        <s v="Komunalno DOO Berane"/>
        <s v="Lokalni javni emiter Radio Berane DOO Berane"/>
        <s v="Parking servis DOO Berane"/>
        <s v="Sportski centar DOO Berane"/>
        <s v="Vodovod i kanalizacija DOO Berane"/>
        <s v="Komunalno - Lim DOO Bijelo Polje"/>
        <s v="Parking servis DOO Bijelo Polje"/>
        <s v="Vodovod &quot;Bistrica&quot; DOO Bijelo Polje"/>
        <s v="Akademija znanja DOO Budva"/>
        <s v="Aquapark DOO Budva"/>
        <s v="JP Radio-difuzni servis Televizija Budva d.o.o. Budva"/>
        <s v="Komunalno DOO Budva"/>
        <s v="Mediteran reklame DOO Budva"/>
        <s v="Mediteranski sportski centar DOO Budva"/>
        <s v="Otpadne vode DOO Budva"/>
        <s v="Parking servis Budva DOO Budva"/>
        <s v="Pogrebne usluge DOO Budva"/>
        <s v="Sportsko rekreativni centar Budva DOO Budva"/>
        <s v="Vaterpolo klub Budva-Budvanska rivijera d.o.o. Budva"/>
        <s v="Vodovod i kanalizacija DOO Budva"/>
        <s v="Vodovod i kanalizacija - Cetinje DOO Cetinje"/>
        <s v="Agencija za razvoj i podršku poslovanju DOO Cetinje"/>
        <s v="Komunalno DOO Cetinje"/>
        <s v="Lokalni javni emiter &quot;Radio i televizija Cetinje&quot; DOO Cetinje"/>
        <s v="Sportski centar Cetinje DOO Cetinje"/>
        <s v="Društvo za uzgoj, zaštitu, lov divljači i riba DOO Danilovgrad"/>
        <s v="Komunalno DOO Danilovgrad"/>
        <s v="Lokalni javni emiter Radio Danilovgrad DOO Danilovgrad"/>
        <s v="Vodovod i kanalizacija DOO Danilovgrad"/>
        <s v="Komunalne djelatnosti DOO Gusinje"/>
        <s v="Agencija za gazdovanje gradskom lukom Herceg Novi DOO Herceg Novi"/>
        <s v="Agencija za izgradnju i razvoj Herceg Novog DOO Herceg Novi"/>
        <s v="Čistoća DOO Herceg Novi"/>
        <s v="Društvo za izgradnju vodovodne i kanalizacione infrastrukture u Opštini Herceg Novi DOO Herceg Novi"/>
        <s v="Javni radio difuzni servis &quot;Radio televizija Herceg Novi&quot; DOO Herceg Novi"/>
        <s v="Komunalno stambeno DOO Herceg Novi"/>
        <s v="Parking servis Herceg Novi DOO Herceg Novi"/>
        <s v="Sportski centar Igalo DOO Herceg Novi"/>
        <s v="Vodovod i kanalizacija DOO Herceg Novi"/>
        <s v="Agencija za razvoj i zaštitu Orjena DOO Herceg Novi"/>
        <s v="Komunalno DOO Kolašin"/>
        <s v="Vodovod i kanalizacija DOO Kolašin"/>
        <s v="Lokalni javni emiter &quot;Radio - Kotor&quot; DOO Kotor"/>
        <s v="Vodovod i kanalizacija Kotor DOO Kotor"/>
        <s v="Komunalno Kotor DOO Kotor"/>
        <s v="Komunalne usluge - Gradac DOO Mojkovac"/>
        <s v="Agencija za projektovanje i planiranje d.o.o. Nikšić"/>
        <s v="Autobuska stanica DOO Nikšić"/>
        <s v="Javno preduzeće za uzgoj, zaštitu i lov divljači Dr. Zoran Kesler"/>
        <s v="Komunalno DOO Nikšić"/>
        <s v="Lokalni javni emiter Radio i televizija Nikšić DOO Nikšić"/>
        <s v="Parking servis Nikšić DOO Nikšić"/>
        <s v="Tehno baza AD Nikšić"/>
        <s v="Vodovod i kanalizacija DOO Nikšić"/>
        <s v="Javno preduzeće sportski centar Nikšić"/>
        <s v="Komunalna djelatnost DOO Petnjica"/>
        <s v="Komunalne djelatnosti DOO Plav"/>
        <s v="Komunalno Plužine DOO Plužine"/>
        <s v="Park prirode Piva DOO Plužine"/>
        <s v="Centar za sport i rekreaciju DOO Pljevlja"/>
        <s v="Komunalne usluge DOO Pljevlja"/>
        <s v="Lokalni javni emiter Radio televizija Pljevlja DOO Pljevlja"/>
        <s v="Lokalni putevi DOO Pljevlja "/>
        <s v="Vodovod DOO Pljevlja"/>
        <s v="Čistoća DOO Pljevlja"/>
        <s v="Grijanje DOO Pljevlja"/>
        <s v="Agencija za izgradnju i razvoj DOO Podgorica"/>
        <s v="Agencija za stanovanje DOO Podgorica"/>
        <s v="Deponija DOO Podgorica"/>
        <s v="Komunalne usluge DOO Podgorica"/>
        <s v="Lokalni javni emiter Radio Televizija Podgorica DOO Podgorica"/>
        <s v="Parking servis Podgorica DOO Podgorica"/>
        <s v="Putevi DOO Podgorica"/>
        <s v="Sportski objekti DOO Podgorica"/>
        <s v="Tržnice i pijace DOO Podgorica"/>
        <s v="Agencija za upravljanje zaštićenim područjima Glavnog grada DOO Podgorica"/>
        <s v="Čistoća DOO Podgorica"/>
        <s v="Pogrebne usluge DOO Podgorica"/>
        <s v="Vodovod i kanalizacija DOO Podgorica"/>
        <s v="Zelenilo DOO Podgorica"/>
        <s v="Lokalni javni emiter Radio televizija Rožaje DOO Rožaje"/>
        <s v="Sportski centar DOO Rožaje"/>
        <s v="Vodovod i kanalizacija DOO Rožaje"/>
        <s v="Komunalno DOO Rožaje"/>
        <s v="Ski centar Hajla DOO Rožaje"/>
        <s v="Komunalne djelatnosti DOO Šavnik"/>
        <s v="Park prirode Dragišnica i Komarnica DOO Šavnik"/>
        <s v="Autobuska stanica DOO Tivat"/>
        <s v="Javni emiter Radio Tivat d.o.o. Tivat"/>
        <s v="Komunalno DOO Tivat"/>
        <s v="Parking servis DOO Tivat"/>
        <s v="Vodovod i kanalizacija DOO Tivat"/>
        <s v="Komunalno DOO Tuzi"/>
        <s v="Pijace DOO Tuzi"/>
        <s v="Vodovod i kanalizacija Tuzi DOO Tuzi"/>
        <s v="Agencija za izgradnju i razvoj Ulcinja DOO Ulcinj"/>
        <s v="Javno preduzeće za uzgoj i zaštitu divljači Ulcinj - Ulcinj"/>
        <s v="Komunalne djelatnosti DOO Ulcinj"/>
        <s v="Lokalni javni emiter Radio televizija Ulcinj DOO Ulcinj"/>
        <s v="Parking servis Ulcinj DOO Ulcinj"/>
        <s v="Vodovod i kanalizacija DOO Ulcinj"/>
        <s v="Javno komunalno preduzeće d.o.o. Zeta"/>
        <s v="Parking servis d.o.o. Žabljak"/>
        <s v="Sportski centar Žabljak DOO Žabljak"/>
        <s v="Komunalno i vodovod DOO Žabljak"/>
        <s v="Pomorsko-turistička agencija Kotor-mar DOO Kotor"/>
        <s v="Društvo za odvođenje i prečišćavanje otpadnih voda za opštine Kotor i Tivat DOO Tivat"/>
        <s v="Društvo za upravljanje sanitarnom deponijom &quot;Lovanja&quot; DOO Kotor"/>
        <s v="Luka Kotor AD Kotor"/>
        <s v="Možura DOO Bar"/>
        <s v="Regionalni biznis centar DOO Berane"/>
      </sharedItems>
    </cacheField>
    <cacheField name="PIB" numFmtId="0">
      <sharedItems count="124">
        <s v="02083213"/>
        <s v="02410028"/>
        <s v="03207471"/>
        <s v="03250342"/>
        <s v="03017940"/>
        <s v="02002752"/>
        <s v="03686469"/>
        <s v="02041715"/>
        <s v="02054779"/>
        <s v="02002523"/>
        <s v="02273519"/>
        <s v="03069494"/>
        <s v="03069753"/>
        <s v="02361825"/>
        <s v="02876868"/>
        <s v="03064000"/>
        <s v="02167816"/>
        <s v="02361833"/>
        <s v="02004003"/>
        <s v="02965747"/>
        <s v="02004011"/>
        <s v="02764121"/>
        <s v="02446324"/>
        <s v="02005492"/>
        <s v="02005719"/>
        <s v="02380463"/>
        <s v="02241358"/>
        <s v="03304388"/>
        <s v="02382784"/>
        <s v="02643707"/>
        <s v="02413388"/>
        <s v="02304147"/>
        <s v="02005573"/>
        <s v="02029928"/>
        <s v="03373860"/>
        <s v="02004887"/>
        <s v="02879930"/>
        <s v="02411741"/>
        <s v="02455137"/>
        <s v="02875985"/>
        <s v="02289512"/>
        <s v="02877864"/>
        <s v="03149480"/>
        <s v="02910179"/>
        <s v="02620316"/>
        <s v="02293200"/>
        <s v="02892677"/>
        <s v="02033429"/>
        <s v="02293218"/>
        <s v="02819848"/>
        <s v="02252929"/>
        <s v="02293196"/>
        <s v="03222985"/>
        <s v="02788730"/>
        <s v="02788748"/>
        <s v="02042789"/>
        <s v="02013312"/>
        <s v="02013274"/>
        <s v="02019680"/>
        <s v="02668343"/>
        <s v="02451239"/>
        <s v="02719037"/>
        <s v="02000857"/>
        <s v="02896303"/>
        <s v="03061655"/>
        <s v="02001799"/>
        <s v="02033143"/>
        <s v="02078520"/>
        <s v="03077373"/>
        <s v="02028468"/>
        <s v="02010348"/>
        <s v="03072509"/>
        <s v="02078333"/>
        <s v="02731649"/>
        <s v="02908522"/>
        <s v="02033291"/>
        <s v="02343762"/>
        <s v="02731657"/>
        <s v="02760592"/>
        <s v="02397579"/>
        <s v="02015676"/>
        <s v="02653907"/>
        <s v="02407523"/>
        <s v="03328139"/>
        <s v="02653753"/>
        <s v="02653893"/>
        <s v="02789507"/>
        <s v="02653915"/>
        <s v="03106861"/>
        <s v="02407493"/>
        <s v="02407515"/>
        <s v="02015641"/>
        <s v="02407507"/>
        <s v="02288699"/>
        <s v="02640457"/>
        <s v="02776146"/>
        <s v="02776138"/>
        <s v="03078698"/>
        <s v="02660601"/>
        <s v="03168654"/>
        <s v="03136167"/>
        <s v="02368811"/>
        <s v="02295440"/>
        <s v="03136094"/>
        <s v="02295407"/>
        <s v="03283135"/>
        <s v="03399109"/>
        <s v="03399702"/>
        <s v="02875292"/>
        <s v="02194180"/>
        <s v="02877538"/>
        <s v="02899965"/>
        <s v="03257380"/>
        <s v="02877449"/>
        <s v="03617017"/>
        <s v="03613739"/>
        <s v="03151450"/>
        <s v="02048221"/>
        <s v="02416123"/>
        <s v="03211398"/>
        <s v="02384205"/>
        <s v="02044188"/>
        <s v="02736381"/>
        <s v="03063259"/>
      </sharedItems>
    </cacheField>
    <cacheField name="PRAVNI OBLIK ORGANIZOVANJA" numFmtId="0">
      <sharedItems/>
    </cacheField>
    <cacheField name="S1" numFmtId="0">
      <sharedItems containsSemiMixedTypes="0" containsString="0" containsNumber="1" minValue="0.5" maxValue="1"/>
    </cacheField>
    <cacheField name="Sector" numFmtId="0">
      <sharedItems/>
    </cacheField>
    <cacheField name="BROJ ZAPOSLENIH 2021" numFmtId="0">
      <sharedItems containsMixedTypes="1" containsNumber="1" containsInteger="1" minValue="0" maxValue="567"/>
    </cacheField>
    <cacheField name="BROJ ZAPOSLENIH 2022" numFmtId="0">
      <sharedItems containsMixedTypes="1" containsNumber="1" containsInteger="1" minValue="0" maxValue="578"/>
    </cacheField>
    <cacheField name="BROJ ZAPOSLENIH 2023" numFmtId="0">
      <sharedItems containsMixedTypes="1" containsNumber="1" containsInteger="1" minValue="0" maxValue="641"/>
    </cacheField>
    <cacheField name="UKUPNA AKTIVA 2021" numFmtId="0">
      <sharedItems containsMixedTypes="1" containsNumber="1" containsInteger="1" minValue="0" maxValue="64068896"/>
    </cacheField>
    <cacheField name="UKUPNA AKTIVA 2022" numFmtId="0">
      <sharedItems containsMixedTypes="1" containsNumber="1" containsInteger="1" minValue="0" maxValue="62869370"/>
    </cacheField>
    <cacheField name="UKUPNA AKTIVA 2023" numFmtId="0">
      <sharedItems containsMixedTypes="1" containsNumber="1" containsInteger="1" minValue="0" maxValue="62326540"/>
    </cacheField>
    <cacheField name="UKUPNI KAPITAL 2021" numFmtId="0">
      <sharedItems containsMixedTypes="1" containsNumber="1" containsInteger="1" minValue="-8583470" maxValue="49583361"/>
    </cacheField>
    <cacheField name="UKUPNI KAPITAL 2022" numFmtId="0">
      <sharedItems containsMixedTypes="1" containsNumber="1" containsInteger="1" minValue="-10120943" maxValue="48689828"/>
    </cacheField>
    <cacheField name="UKUPNI KAPITAL 2023" numFmtId="0">
      <sharedItems containsMixedTypes="1" containsNumber="1" containsInteger="1" minValue="-11661341" maxValue="44118881"/>
    </cacheField>
    <cacheField name="UKUPNE OBAVEZE 2021" numFmtId="0">
      <sharedItems containsString="0" containsBlank="1" containsNumber="1" containsInteger="1" minValue="0" maxValue="54633125"/>
    </cacheField>
    <cacheField name="UKUPNE OBAVEZE 2022" numFmtId="0">
      <sharedItems containsString="0" containsBlank="1" containsNumber="1" containsInteger="1" minValue="-107" maxValue="53913041"/>
    </cacheField>
    <cacheField name="UKUPNE OBAVEZE 2023" numFmtId="0">
      <sharedItems containsString="0" containsBlank="1" containsNumber="1" containsInteger="1" minValue="-3468" maxValue="52702752"/>
    </cacheField>
    <cacheField name="UKUPNI PRIHOD 2021" numFmtId="0">
      <sharedItems containsMixedTypes="1" containsNumber="1" containsInteger="1" minValue="0" maxValue="14532118"/>
    </cacheField>
    <cacheField name="UKUPNI PRIHOD 2022" numFmtId="0">
      <sharedItems containsMixedTypes="1" containsNumber="1" containsInteger="1" minValue="0" maxValue="13949786"/>
    </cacheField>
    <cacheField name="UKUPNI PRIHOD 2023" numFmtId="0">
      <sharedItems containsMixedTypes="1" containsNumber="1" containsInteger="1" minValue="0" maxValue="11999604"/>
    </cacheField>
    <cacheField name="EBIT 2021" numFmtId="0">
      <sharedItems containsMixedTypes="1" containsNumber="1" containsInteger="1" minValue="-1102231" maxValue="1313762" count="120">
        <n v="-251004"/>
        <n v="0"/>
        <n v="-131882"/>
        <n v="2"/>
        <n v="41286"/>
        <n v="58767"/>
        <s v="-"/>
        <n v="34775"/>
        <n v="-143564"/>
        <n v="1161"/>
        <n v="-218"/>
        <n v="-142023"/>
        <n v="-19731"/>
        <n v="-9301"/>
        <n v="-64408"/>
        <n v="-22796"/>
        <n v="-54830"/>
        <n v="42013"/>
        <n v="-56371"/>
        <n v="-35543"/>
        <n v="6652"/>
        <n v="87391"/>
        <n v="-235437"/>
        <n v="131337"/>
        <n v="-356799"/>
        <n v="-123063"/>
        <n v="-48639"/>
        <n v="7342"/>
        <n v="218738"/>
        <n v="26872"/>
        <n v="51766"/>
        <n v="-12903"/>
        <n v="-234151"/>
        <n v="-749756"/>
        <n v="-13152"/>
        <n v="19174"/>
        <n v="-37692"/>
        <n v="-76784"/>
        <n v="-3653"/>
        <n v="-84089"/>
        <n v="821"/>
        <n v="9040"/>
        <n v="-36963"/>
        <n v="6794"/>
        <n v="-29969"/>
        <n v="378558"/>
        <n v="-444009"/>
        <n v="-34210"/>
        <n v="54667"/>
        <n v="-39759"/>
        <n v="-24909"/>
        <n v="92032"/>
        <n v="-15421"/>
        <n v="108841"/>
        <n v="8090"/>
        <n v="-1461"/>
        <n v="-334690"/>
        <n v="109782"/>
        <n v="11537"/>
        <n v="13016"/>
        <n v="3172"/>
        <n v="138740"/>
        <n v="101104"/>
        <n v="-3816"/>
        <n v="-62506"/>
        <n v="-403662"/>
        <n v="39245"/>
        <n v="-34028"/>
        <n v="32097"/>
        <n v="13232"/>
        <n v="19711"/>
        <n v="52161"/>
        <n v="-23933"/>
        <n v="-29360"/>
        <n v="149338"/>
        <n v="26843"/>
        <n v="324911"/>
        <n v="60589"/>
        <n v="6689"/>
        <n v="248508"/>
        <n v="549600"/>
        <n v="23111"/>
        <n v="875"/>
        <n v="200634"/>
        <n v="36616"/>
        <n v="26399"/>
        <n v="5517"/>
        <n v="31297"/>
        <n v="244143"/>
        <n v="256111"/>
        <n v="1313762"/>
        <n v="148246"/>
        <n v="-138715"/>
        <n v="-73427"/>
        <n v="2328"/>
        <n v="-44699"/>
        <n v="-103463"/>
        <n v="62952"/>
        <n v="-4378"/>
        <n v="9668"/>
        <n v="3951"/>
        <n v="38785"/>
        <n v="89170"/>
        <n v="202502"/>
        <n v="98726"/>
        <n v="-1155"/>
        <n v="-22075"/>
        <n v="-2870"/>
        <n v="624580"/>
        <n v="-43427"/>
        <n v="66320"/>
        <n v="-46155"/>
        <n v="-7036"/>
        <n v="51953"/>
        <n v="-29589"/>
        <n v="157153"/>
        <n v="-39727"/>
        <n v="-1102231"/>
        <n v="572420"/>
        <n v="-32316"/>
      </sharedItems>
    </cacheField>
    <cacheField name="EBIT 2022" numFmtId="0">
      <sharedItems containsMixedTypes="1" containsNumber="1" containsInteger="1" minValue="-1139216" maxValue="1426690"/>
    </cacheField>
    <cacheField name="EBIT 2023" numFmtId="0">
      <sharedItems containsMixedTypes="1" containsNumber="1" containsInteger="1" minValue="-2659231" maxValue="1872494"/>
    </cacheField>
    <cacheField name="NETO REZULTAT 2021" numFmtId="0">
      <sharedItems containsMixedTypes="1" containsNumber="1" containsInteger="1" minValue="-1957026" maxValue="614820"/>
    </cacheField>
    <cacheField name="NETO REZULTAT 2022" numFmtId="0">
      <sharedItems containsMixedTypes="1" containsNumber="1" containsInteger="1" minValue="-1541006" maxValue="1284859"/>
    </cacheField>
    <cacheField name="NETO REZULTAT 2023" numFmtId="0">
      <sharedItems containsMixedTypes="1" containsNumber="1" containsInteger="1" minValue="-3822762" maxValue="18822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x v="0"/>
    <x v="0"/>
    <x v="0"/>
    <s v="DOO"/>
    <n v="1"/>
    <s v="Komunalije"/>
    <n v="38"/>
    <n v="35"/>
    <n v="35"/>
    <n v="228556"/>
    <n v="269306"/>
    <n v="251367"/>
    <n v="-132176"/>
    <n v="-86631"/>
    <n v="-65339"/>
    <n v="360732"/>
    <n v="355937"/>
    <n v="316706"/>
    <n v="428376"/>
    <n v="467189"/>
    <n v="238167"/>
    <x v="0"/>
    <n v="-235070"/>
    <n v="-214707"/>
    <n v="-15004"/>
    <n v="930"/>
    <n v="21292"/>
  </r>
  <r>
    <x v="0"/>
    <x v="1"/>
    <x v="1"/>
    <s v="DOO"/>
    <n v="1"/>
    <s v="Mediji"/>
    <n v="10"/>
    <n v="12"/>
    <n v="0"/>
    <n v="4433"/>
    <n v="4891"/>
    <n v="0"/>
    <n v="3899"/>
    <n v="4690"/>
    <n v="0"/>
    <n v="534"/>
    <n v="201"/>
    <n v="0"/>
    <n v="94628"/>
    <n v="108121"/>
    <n v="0"/>
    <x v="1"/>
    <n v="0"/>
    <n v="0"/>
    <n v="0"/>
    <n v="0"/>
    <n v="0"/>
  </r>
  <r>
    <x v="0"/>
    <x v="2"/>
    <x v="2"/>
    <s v="DOO"/>
    <n v="1"/>
    <s v="Zaštita životne sredine"/>
    <n v="23"/>
    <n v="10"/>
    <n v="19"/>
    <n v="54048"/>
    <n v="44885"/>
    <n v="41751"/>
    <n v="53291"/>
    <n v="44857"/>
    <n v="45219"/>
    <n v="757"/>
    <n v="28"/>
    <n v="-3468"/>
    <n v="147586"/>
    <n v="163386"/>
    <n v="165612"/>
    <x v="2"/>
    <n v="-151651"/>
    <n v="-136772"/>
    <n v="-4716"/>
    <n v="-8434"/>
    <n v="362"/>
  </r>
  <r>
    <x v="0"/>
    <x v="3"/>
    <x v="3"/>
    <s v="DOO"/>
    <n v="1"/>
    <s v="Poljoprivreda"/>
    <n v="12"/>
    <n v="10"/>
    <n v="12"/>
    <n v="6"/>
    <n v="1602"/>
    <n v="4897"/>
    <n v="3"/>
    <n v="1602"/>
    <n v="4924"/>
    <n v="3"/>
    <n v="0"/>
    <n v="-27"/>
    <n v="73600"/>
    <n v="104705"/>
    <n v="118590"/>
    <x v="3"/>
    <n v="1602"/>
    <n v="4409"/>
    <n v="2"/>
    <n v="1602"/>
    <n v="4409"/>
  </r>
  <r>
    <x v="0"/>
    <x v="4"/>
    <x v="4"/>
    <s v="DOO"/>
    <n v="1"/>
    <s v="Komunalije"/>
    <n v="31"/>
    <n v="33"/>
    <n v="36"/>
    <n v="2497930"/>
    <n v="2502921"/>
    <n v="2346512"/>
    <n v="1461397"/>
    <n v="1509235"/>
    <n v="1418493"/>
    <n v="1036533"/>
    <n v="993686"/>
    <n v="928019"/>
    <n v="293757"/>
    <n v="426940"/>
    <n v="473430"/>
    <x v="4"/>
    <n v="53920"/>
    <n v="-260391"/>
    <n v="34678"/>
    <n v="53964"/>
    <n v="-90739"/>
  </r>
  <r>
    <x v="1"/>
    <x v="5"/>
    <x v="5"/>
    <s v="DOO"/>
    <n v="1"/>
    <s v="Komunalije"/>
    <n v="314"/>
    <n v="316"/>
    <n v="326"/>
    <n v="4982580"/>
    <n v="5113080"/>
    <n v="5946585"/>
    <n v="1822125"/>
    <n v="1873779"/>
    <n v="2117558"/>
    <n v="3160455"/>
    <n v="3239301"/>
    <n v="3829027"/>
    <n v="5056849"/>
    <n v="5426071"/>
    <n v="6654200"/>
    <x v="5"/>
    <n v="71571"/>
    <n v="431081"/>
    <n v="5902"/>
    <n v="39502"/>
    <n v="392456"/>
  </r>
  <r>
    <x v="1"/>
    <x v="6"/>
    <x v="6"/>
    <s v="DOO"/>
    <n v="1"/>
    <s v="Saobraćaj"/>
    <s v="-"/>
    <s v="-"/>
    <s v="-"/>
    <s v="-"/>
    <s v="-"/>
    <s v="-"/>
    <s v="-"/>
    <s v="-"/>
    <s v="-"/>
    <m/>
    <m/>
    <m/>
    <s v="-"/>
    <s v="-"/>
    <s v="-"/>
    <x v="6"/>
    <s v="-"/>
    <s v="-"/>
    <s v="-"/>
    <s v="-"/>
    <s v="-"/>
  </r>
  <r>
    <x v="1"/>
    <x v="7"/>
    <x v="7"/>
    <s v="DOO"/>
    <n v="1"/>
    <s v="Sport"/>
    <n v="23"/>
    <n v="29"/>
    <n v="29"/>
    <n v="160261"/>
    <n v="181710"/>
    <n v="359031"/>
    <n v="110985"/>
    <n v="139064"/>
    <n v="127059"/>
    <n v="49276"/>
    <n v="42646"/>
    <n v="231972"/>
    <n v="485536"/>
    <n v="542326"/>
    <n v="692877"/>
    <x v="7"/>
    <n v="30842"/>
    <n v="-23"/>
    <n v="31510"/>
    <n v="28088"/>
    <n v="591"/>
  </r>
  <r>
    <x v="1"/>
    <x v="8"/>
    <x v="8"/>
    <s v="DOO"/>
    <n v="1"/>
    <s v="Komunalije"/>
    <n v="169"/>
    <n v="173"/>
    <n v="171"/>
    <n v="49774177"/>
    <n v="48950563"/>
    <n v="48423173"/>
    <n v="2821032"/>
    <n v="2747353"/>
    <n v="2776681"/>
    <n v="46953145"/>
    <n v="46203210"/>
    <n v="45646492"/>
    <n v="6000926"/>
    <n v="5264991"/>
    <n v="5224657"/>
    <x v="8"/>
    <n v="-38900"/>
    <n v="-149247"/>
    <n v="49351"/>
    <n v="43814"/>
    <n v="29328"/>
  </r>
  <r>
    <x v="1"/>
    <x v="9"/>
    <x v="9"/>
    <s v="DOO"/>
    <n v="1"/>
    <s v="Mediji"/>
    <n v="23"/>
    <n v="23"/>
    <n v="22"/>
    <n v="225973"/>
    <n v="239277"/>
    <n v="233492"/>
    <n v="214914"/>
    <n v="227399"/>
    <n v="221199"/>
    <n v="11059"/>
    <n v="11878"/>
    <n v="12293"/>
    <n v="329443"/>
    <n v="347530"/>
    <n v="338098"/>
    <x v="9"/>
    <n v="15430"/>
    <n v="-8508"/>
    <n v="1520"/>
    <n v="14431"/>
    <n v="-6200"/>
  </r>
  <r>
    <x v="1"/>
    <x v="10"/>
    <x v="10"/>
    <s v="DOO"/>
    <n v="1"/>
    <s v="Poljoprivreda"/>
    <n v="12"/>
    <n v="13"/>
    <n v="18"/>
    <n v="20146"/>
    <n v="5781"/>
    <n v="95092"/>
    <n v="20117"/>
    <n v="5781"/>
    <n v="45327"/>
    <n v="29"/>
    <n v="0"/>
    <n v="49765"/>
    <n v="144350"/>
    <n v="152549"/>
    <n v="336708"/>
    <x v="10"/>
    <n v="-24849"/>
    <n v="38118"/>
    <n v="293"/>
    <n v="-14336"/>
    <n v="39546"/>
  </r>
  <r>
    <x v="2"/>
    <x v="11"/>
    <x v="11"/>
    <s v="DOO"/>
    <n v="1"/>
    <s v="Drugo "/>
    <n v="70"/>
    <n v="75"/>
    <n v="79"/>
    <n v="1073246"/>
    <n v="1284511"/>
    <n v="463647"/>
    <n v="-263263"/>
    <n v="-242160"/>
    <n v="-242036"/>
    <n v="1336509"/>
    <n v="1526671"/>
    <n v="705683"/>
    <n v="871984"/>
    <n v="1068159"/>
    <n v="1444066"/>
    <x v="11"/>
    <n v="21103"/>
    <n v="124"/>
    <n v="-142023"/>
    <n v="21103"/>
    <n v="124"/>
  </r>
  <r>
    <x v="2"/>
    <x v="12"/>
    <x v="12"/>
    <s v="DOO"/>
    <n v="1"/>
    <s v="Energetika"/>
    <n v="9"/>
    <n v="10"/>
    <n v="11"/>
    <n v="689700"/>
    <n v="650599"/>
    <n v="614763"/>
    <n v="-261055"/>
    <n v="-58154"/>
    <n v="37392"/>
    <n v="950755"/>
    <n v="708753"/>
    <n v="577371"/>
    <n v="105800"/>
    <n v="337526"/>
    <n v="259810"/>
    <x v="12"/>
    <n v="202829"/>
    <n v="95617"/>
    <n v="-22530"/>
    <n v="178733"/>
    <n v="95546"/>
  </r>
  <r>
    <x v="2"/>
    <x v="13"/>
    <x v="13"/>
    <s v="DOO"/>
    <n v="1"/>
    <s v="Komunalije"/>
    <n v="143"/>
    <n v="140"/>
    <n v="143"/>
    <n v="1880809"/>
    <n v="1735277"/>
    <n v="1743561"/>
    <n v="-2415712"/>
    <n v="-2652727"/>
    <n v="-2971437"/>
    <n v="4296521"/>
    <n v="4388004"/>
    <n v="4714998"/>
    <n v="1270291"/>
    <n v="1278799"/>
    <n v="1318819"/>
    <x v="13"/>
    <n v="-237294"/>
    <n v="-350294"/>
    <n v="-9166"/>
    <n v="-237015"/>
    <n v="-348058"/>
  </r>
  <r>
    <x v="2"/>
    <x v="14"/>
    <x v="14"/>
    <s v="DOO"/>
    <n v="1"/>
    <s v="Mediji"/>
    <n v="21"/>
    <n v="22"/>
    <n v="22"/>
    <n v="35317"/>
    <n v="42463"/>
    <n v="24811"/>
    <n v="-868755"/>
    <n v="-908643"/>
    <n v="-1013744"/>
    <n v="904072"/>
    <n v="951106"/>
    <n v="1038555"/>
    <n v="153097"/>
    <n v="167629"/>
    <n v="182577"/>
    <x v="14"/>
    <n v="-39367"/>
    <n v="-104217"/>
    <n v="-64408"/>
    <n v="-39888"/>
    <n v="-105100"/>
  </r>
  <r>
    <x v="2"/>
    <x v="15"/>
    <x v="15"/>
    <s v="DOO"/>
    <n v="1"/>
    <s v="Saobraćaj"/>
    <n v="13"/>
    <n v="12"/>
    <n v="12"/>
    <n v="13971"/>
    <n v="8012"/>
    <n v="20084"/>
    <n v="-62884"/>
    <n v="-89404"/>
    <n v="-102273"/>
    <n v="76855"/>
    <n v="97416"/>
    <n v="122357"/>
    <n v="87671"/>
    <n v="115424"/>
    <n v="120178"/>
    <x v="15"/>
    <n v="-26520"/>
    <n v="-12869"/>
    <n v="-22796"/>
    <n v="-26520"/>
    <n v="-12869"/>
  </r>
  <r>
    <x v="2"/>
    <x v="16"/>
    <x v="16"/>
    <s v="DOO"/>
    <n v="1"/>
    <s v="Sport"/>
    <n v="48"/>
    <n v="47"/>
    <n v="48"/>
    <n v="96498"/>
    <n v="97609"/>
    <n v="135722"/>
    <n v="-548761"/>
    <n v="-554783"/>
    <n v="-563772"/>
    <n v="645259"/>
    <n v="652392"/>
    <n v="699494"/>
    <n v="370684"/>
    <n v="447147"/>
    <n v="483907"/>
    <x v="16"/>
    <n v="-11955"/>
    <n v="-8989"/>
    <n v="-54378"/>
    <n v="-6019"/>
    <n v="-8989"/>
  </r>
  <r>
    <x v="2"/>
    <x v="17"/>
    <x v="17"/>
    <s v="DOO"/>
    <n v="1"/>
    <s v="Komunalije"/>
    <n v="61"/>
    <n v="62"/>
    <n v="61"/>
    <n v="1911125"/>
    <n v="2154981"/>
    <n v="2207014"/>
    <n v="1532753"/>
    <n v="1747838"/>
    <n v="1755580"/>
    <n v="378372"/>
    <n v="407143"/>
    <n v="451434"/>
    <n v="847754"/>
    <n v="828391"/>
    <n v="836860"/>
    <x v="17"/>
    <n v="5006"/>
    <n v="1679"/>
    <n v="38232"/>
    <n v="4555"/>
    <n v="1528"/>
  </r>
  <r>
    <x v="3"/>
    <x v="18"/>
    <x v="18"/>
    <s v="DOO"/>
    <n v="1"/>
    <s v="Komunalije"/>
    <n v="148"/>
    <n v="138"/>
    <n v="149"/>
    <n v="3657271"/>
    <n v="3858653"/>
    <n v="3760464"/>
    <n v="-1012331"/>
    <n v="-1159177"/>
    <n v="-1636610"/>
    <n v="4669602"/>
    <n v="5017830"/>
    <n v="5397074"/>
    <n v="2108105"/>
    <n v="2361166"/>
    <n v="2253426"/>
    <x v="18"/>
    <n v="-81333"/>
    <n v="-349743"/>
    <n v="-78298"/>
    <n v="-97156"/>
    <n v="-365146"/>
  </r>
  <r>
    <x v="3"/>
    <x v="19"/>
    <x v="19"/>
    <s v="DOO"/>
    <n v="1"/>
    <s v="Saobraćaj"/>
    <n v="24"/>
    <n v="21"/>
    <n v="20"/>
    <n v="111715"/>
    <n v="124640"/>
    <n v="130530"/>
    <n v="-173143"/>
    <n v="-184665"/>
    <n v="-145730"/>
    <n v="284858"/>
    <n v="309305"/>
    <n v="276260"/>
    <n v="181036"/>
    <n v="252634"/>
    <n v="316516"/>
    <x v="19"/>
    <n v="-8034"/>
    <n v="43230"/>
    <n v="-38038"/>
    <n v="-11442"/>
    <n v="39050"/>
  </r>
  <r>
    <x v="3"/>
    <x v="20"/>
    <x v="20"/>
    <s v="DOO"/>
    <n v="1"/>
    <s v="Komunalije"/>
    <n v="64"/>
    <n v="69"/>
    <n v="72"/>
    <n v="3603437"/>
    <n v="3566629"/>
    <n v="3364729"/>
    <n v="2453609"/>
    <n v="2335192"/>
    <n v="2064216"/>
    <n v="1149828"/>
    <n v="1231437"/>
    <n v="1300513"/>
    <n v="1256120"/>
    <n v="1178460"/>
    <n v="1168125"/>
    <x v="20"/>
    <n v="-122622"/>
    <n v="-270163"/>
    <n v="-8507"/>
    <n v="-118416"/>
    <n v="-270976"/>
  </r>
  <r>
    <x v="4"/>
    <x v="21"/>
    <x v="21"/>
    <s v="DOO"/>
    <n v="1"/>
    <s v="Drugo(obrazovanje)"/>
    <n v="14"/>
    <n v="15"/>
    <n v="18"/>
    <n v="133117"/>
    <n v="152695"/>
    <n v="205549"/>
    <n v="-90572"/>
    <n v="-49938"/>
    <n v="-744"/>
    <n v="223689"/>
    <n v="202633"/>
    <n v="206293"/>
    <n v="308380"/>
    <n v="314425"/>
    <n v="343632"/>
    <x v="21"/>
    <n v="44885"/>
    <n v="54346"/>
    <n v="80481"/>
    <n v="40634"/>
    <n v="49194"/>
  </r>
  <r>
    <x v="4"/>
    <x v="22"/>
    <x v="22"/>
    <s v="DOO"/>
    <n v="1"/>
    <s v="Drugo (Construction)"/>
    <n v="1"/>
    <n v="1"/>
    <n v="1"/>
    <n v="11974566"/>
    <n v="11974566"/>
    <n v="11974566"/>
    <n v="-607664"/>
    <n v="-626971"/>
    <n v="-646407"/>
    <n v="12582230"/>
    <n v="12601537"/>
    <n v="12620973"/>
    <n v="0"/>
    <n v="0"/>
    <n v="0"/>
    <x v="22"/>
    <n v="-19307"/>
    <n v="-19435"/>
    <n v="-235437"/>
    <n v="-19307"/>
    <n v="-19435"/>
  </r>
  <r>
    <x v="4"/>
    <x v="23"/>
    <x v="23"/>
    <s v="DOO"/>
    <n v="1"/>
    <s v="Mediji"/>
    <n v="55"/>
    <n v="55"/>
    <n v="58"/>
    <n v="618816"/>
    <n v="637044"/>
    <n v="575868"/>
    <n v="282416"/>
    <n v="381080"/>
    <n v="312158"/>
    <n v="336400"/>
    <n v="255964"/>
    <n v="263710"/>
    <n v="1057826"/>
    <n v="1148558"/>
    <n v="1034784"/>
    <x v="23"/>
    <n v="109492"/>
    <n v="-69079"/>
    <n v="119318"/>
    <n v="98665"/>
    <n v="-68923"/>
  </r>
  <r>
    <x v="4"/>
    <x v="24"/>
    <x v="24"/>
    <s v="DOO"/>
    <n v="1"/>
    <s v="Komunalije"/>
    <n v="161"/>
    <n v="171"/>
    <n v="183"/>
    <n v="4474674"/>
    <n v="6423898"/>
    <n v="7008332"/>
    <n v="3383182"/>
    <n v="5497089"/>
    <n v="5549828"/>
    <n v="1091492"/>
    <n v="926809"/>
    <n v="1458504"/>
    <n v="5240189"/>
    <n v="6734904"/>
    <n v="6535632"/>
    <x v="24"/>
    <n v="-73411"/>
    <n v="-797466"/>
    <n v="-240622"/>
    <n v="16149"/>
    <n v="-916083"/>
  </r>
  <r>
    <x v="4"/>
    <x v="25"/>
    <x v="25"/>
    <s v="DOO"/>
    <n v="1"/>
    <s v="Mediji"/>
    <n v="30"/>
    <n v="35"/>
    <n v="46"/>
    <n v="1444794"/>
    <n v="1337052"/>
    <n v="1263265"/>
    <n v="1355651"/>
    <n v="1267790"/>
    <n v="1224344"/>
    <n v="89143"/>
    <n v="69262"/>
    <n v="38921"/>
    <n v="521460"/>
    <n v="627058"/>
    <n v="892857"/>
    <x v="25"/>
    <n v="-113545"/>
    <n v="-45463"/>
    <n v="-118770"/>
    <n v="-87861"/>
    <n v="-43446"/>
  </r>
  <r>
    <x v="4"/>
    <x v="26"/>
    <x v="26"/>
    <s v="DOO"/>
    <n v="1"/>
    <s v=" Sport"/>
    <n v="41"/>
    <n v="45"/>
    <n v="52"/>
    <n v="365467"/>
    <n v="385488"/>
    <n v="329680"/>
    <n v="138632"/>
    <n v="204076"/>
    <n v="129937"/>
    <n v="226835"/>
    <n v="181412"/>
    <n v="199743"/>
    <n v="632333"/>
    <n v="762352"/>
    <n v="767724"/>
    <x v="26"/>
    <n v="72020"/>
    <n v="-44875"/>
    <n v="-49253"/>
    <n v="65444"/>
    <n v="-74139"/>
  </r>
  <r>
    <x v="4"/>
    <x v="27"/>
    <x v="27"/>
    <s v="DOO"/>
    <n v="1"/>
    <s v="Komunalije"/>
    <n v="28"/>
    <n v="29"/>
    <n v="29"/>
    <n v="402642"/>
    <n v="444878"/>
    <n v="579609"/>
    <n v="372511"/>
    <n v="376181"/>
    <n v="370663"/>
    <n v="30131"/>
    <n v="68697"/>
    <n v="208946"/>
    <n v="778038"/>
    <n v="881061"/>
    <n v="1313717"/>
    <x v="27"/>
    <n v="-54129"/>
    <n v="-1925"/>
    <n v="6246"/>
    <n v="-55257"/>
    <n v="-5518"/>
  </r>
  <r>
    <x v="4"/>
    <x v="28"/>
    <x v="28"/>
    <s v="DOO"/>
    <n v="1"/>
    <s v="Saobraćaj"/>
    <n v="88"/>
    <n v="87"/>
    <n v="89"/>
    <n v="500857"/>
    <n v="692885"/>
    <n v="1285727"/>
    <n v="6723"/>
    <n v="333623"/>
    <n v="812624"/>
    <n v="494134"/>
    <n v="359262"/>
    <n v="473103"/>
    <n v="1763720"/>
    <n v="2296399"/>
    <n v="2941651"/>
    <x v="28"/>
    <n v="361089"/>
    <n v="480962"/>
    <n v="198692"/>
    <n v="326899"/>
    <n v="434627"/>
  </r>
  <r>
    <x v="4"/>
    <x v="29"/>
    <x v="29"/>
    <s v="DOO"/>
    <n v="1"/>
    <s v="Komunalije"/>
    <n v="16"/>
    <n v="19"/>
    <n v="23"/>
    <n v="1557778"/>
    <n v="1549623"/>
    <n v="1626254"/>
    <n v="1437798"/>
    <n v="1492717"/>
    <n v="1567495"/>
    <n v="119980"/>
    <n v="56906"/>
    <n v="58759"/>
    <n v="464595"/>
    <n v="564175"/>
    <n v="657717"/>
    <x v="29"/>
    <n v="60351"/>
    <n v="82594"/>
    <n v="33449"/>
    <n v="54919"/>
    <n v="74778"/>
  </r>
  <r>
    <x v="4"/>
    <x v="30"/>
    <x v="30"/>
    <s v="DOO"/>
    <n v="1"/>
    <s v="Sport"/>
    <n v="39"/>
    <n v="38"/>
    <n v="37"/>
    <n v="159466"/>
    <n v="257741"/>
    <n v="257553"/>
    <n v="-129585"/>
    <n v="52303"/>
    <n v="199457"/>
    <n v="289051"/>
    <n v="205438"/>
    <n v="58096"/>
    <n v="650187"/>
    <n v="810089"/>
    <n v="803428"/>
    <x v="30"/>
    <n v="188192"/>
    <n v="166660"/>
    <n v="3523"/>
    <n v="181888"/>
    <n v="147155"/>
  </r>
  <r>
    <x v="4"/>
    <x v="31"/>
    <x v="31"/>
    <s v="DOO"/>
    <n v="1"/>
    <s v="Sport"/>
    <n v="1"/>
    <n v="1"/>
    <n v="1"/>
    <n v="1107172"/>
    <n v="1107172"/>
    <n v="1107172"/>
    <n v="1057937"/>
    <n v="1044796"/>
    <n v="1031430"/>
    <n v="49235"/>
    <n v="62376"/>
    <n v="75742"/>
    <n v="980"/>
    <n v="310"/>
    <n v="60"/>
    <x v="31"/>
    <n v="-13141"/>
    <n v="-13366"/>
    <n v="-12903"/>
    <n v="-13141"/>
    <n v="-13366"/>
  </r>
  <r>
    <x v="4"/>
    <x v="32"/>
    <x v="32"/>
    <s v="DOO"/>
    <n v="1"/>
    <s v="Komunalije"/>
    <n v="226"/>
    <n v="236"/>
    <n v="240"/>
    <n v="17941538"/>
    <n v="18528883"/>
    <n v="23198785"/>
    <n v="14179302"/>
    <n v="15077383"/>
    <n v="19757786"/>
    <n v="3762236"/>
    <n v="3451500"/>
    <n v="3440999"/>
    <n v="7269321"/>
    <n v="8194685"/>
    <n v="8541327"/>
    <x v="32"/>
    <n v="576073"/>
    <n v="-336005"/>
    <n v="-720033"/>
    <n v="898081"/>
    <n v="-1044003"/>
  </r>
  <r>
    <x v="5"/>
    <x v="33"/>
    <x v="33"/>
    <s v="DOO"/>
    <n v="1"/>
    <s v="Komunalije"/>
    <n v="63"/>
    <n v="65"/>
    <n v="64"/>
    <n v="6077489"/>
    <n v="6840723"/>
    <n v="7072969"/>
    <n v="-8583470"/>
    <n v="-10120943"/>
    <n v="-11661341"/>
    <n v="14660959"/>
    <n v="16961666"/>
    <n v="18734310"/>
    <n v="1553695"/>
    <n v="1187759"/>
    <n v="1248665"/>
    <x v="33"/>
    <n v="-1139216"/>
    <n v="-1289078"/>
    <n v="-1957026"/>
    <n v="-1541006"/>
    <n v="-1540934"/>
  </r>
  <r>
    <x v="5"/>
    <x v="34"/>
    <x v="34"/>
    <s v="DOO"/>
    <n v="1"/>
    <s v="Drugo (Biznis podrška)"/>
    <n v="1"/>
    <n v="1"/>
    <n v="6"/>
    <n v="529"/>
    <n v="10425"/>
    <n v="13674"/>
    <n v="-3152"/>
    <n v="10532"/>
    <n v="12333"/>
    <n v="3681"/>
    <n v="-107"/>
    <n v="1341"/>
    <n v="2000"/>
    <n v="115033"/>
    <n v="101378"/>
    <x v="34"/>
    <n v="585"/>
    <n v="1979"/>
    <n v="-13152"/>
    <n v="532"/>
    <n v="1801"/>
  </r>
  <r>
    <x v="5"/>
    <x v="35"/>
    <x v="35"/>
    <s v="DOO"/>
    <n v="1"/>
    <s v="Komunalije"/>
    <n v="77"/>
    <n v="67"/>
    <n v="65"/>
    <n v="2504596"/>
    <n v="2524879"/>
    <n v="2997820"/>
    <n v="-1554361"/>
    <n v="-1605866"/>
    <n v="-1739519"/>
    <n v="4058957"/>
    <n v="4130745"/>
    <n v="4737339"/>
    <n v="1602787"/>
    <n v="1591909"/>
    <n v="1413404"/>
    <x v="35"/>
    <n v="-48316"/>
    <n v="-130900"/>
    <n v="17016"/>
    <n v="-51504"/>
    <n v="-133654"/>
  </r>
  <r>
    <x v="5"/>
    <x v="36"/>
    <x v="36"/>
    <s v="DOO"/>
    <n v="1"/>
    <s v="Mediji"/>
    <n v="14"/>
    <n v="14"/>
    <n v="16"/>
    <n v="33604"/>
    <n v="32593"/>
    <n v="39257"/>
    <n v="-484163"/>
    <n v="-481890"/>
    <n v="-466902"/>
    <n v="517767"/>
    <n v="514483"/>
    <n v="506159"/>
    <n v="156478"/>
    <n v="183463"/>
    <n v="209252"/>
    <x v="36"/>
    <n v="5374"/>
    <n v="12898"/>
    <n v="-37416"/>
    <n v="4774"/>
    <n v="13080"/>
  </r>
  <r>
    <x v="5"/>
    <x v="37"/>
    <x v="37"/>
    <s v="DOO"/>
    <n v="1"/>
    <s v="Sport"/>
    <n v="32"/>
    <n v="31"/>
    <n v="34"/>
    <n v="5737842"/>
    <n v="5773950"/>
    <n v="5688623"/>
    <n v="4497027"/>
    <n v="4556881"/>
    <n v="4457115"/>
    <n v="1240815"/>
    <n v="1217069"/>
    <n v="1231508"/>
    <n v="300541"/>
    <n v="470502"/>
    <n v="436503"/>
    <x v="37"/>
    <n v="60275"/>
    <n v="-50611"/>
    <n v="-77884"/>
    <n v="59854"/>
    <n v="-50611"/>
  </r>
  <r>
    <x v="6"/>
    <x v="38"/>
    <x v="38"/>
    <s v="DOO"/>
    <n v="1"/>
    <s v="Poljoprivreda"/>
    <n v="5"/>
    <n v="6"/>
    <n v="6"/>
    <n v="76889"/>
    <n v="70034"/>
    <n v="71902"/>
    <n v="9867"/>
    <n v="6890"/>
    <n v="12438"/>
    <n v="67022"/>
    <n v="63144"/>
    <n v="59464"/>
    <n v="72813"/>
    <n v="73923"/>
    <n v="97887"/>
    <x v="38"/>
    <n v="-2976"/>
    <n v="5548"/>
    <n v="-3653"/>
    <n v="-2976"/>
    <n v="5548"/>
  </r>
  <r>
    <x v="6"/>
    <x v="39"/>
    <x v="39"/>
    <s v="DOO"/>
    <n v="1"/>
    <s v="Komunalije"/>
    <n v="53"/>
    <n v="63"/>
    <n v="51"/>
    <n v="2080168"/>
    <n v="1649892"/>
    <n v="1783706"/>
    <n v="240846"/>
    <n v="-55222"/>
    <n v="-33490"/>
    <n v="1839322"/>
    <n v="1705114"/>
    <n v="1817196"/>
    <n v="876580"/>
    <n v="886413"/>
    <n v="1030432"/>
    <x v="39"/>
    <n v="-259020"/>
    <n v="48649"/>
    <n v="-490907"/>
    <n v="-258243"/>
    <n v="55253"/>
  </r>
  <r>
    <x v="6"/>
    <x v="40"/>
    <x v="40"/>
    <s v="DOO"/>
    <n v="1"/>
    <s v="Mediji"/>
    <n v="10"/>
    <n v="10"/>
    <n v="9"/>
    <n v="821"/>
    <n v="15"/>
    <n v="69"/>
    <n v="821"/>
    <n v="15"/>
    <n v="69"/>
    <n v="0"/>
    <n v="0"/>
    <n v="0"/>
    <n v="133306"/>
    <n v="115160"/>
    <n v="106156"/>
    <x v="40"/>
    <n v="15"/>
    <n v="69"/>
    <n v="821"/>
    <n v="15"/>
    <n v="69"/>
  </r>
  <r>
    <x v="6"/>
    <x v="41"/>
    <x v="41"/>
    <s v="DOO"/>
    <n v="1"/>
    <s v="Komunalije"/>
    <n v="70"/>
    <n v="69"/>
    <n v="72"/>
    <n v="2287830"/>
    <n v="2193338"/>
    <n v="2152962"/>
    <n v="1314811"/>
    <n v="1317830"/>
    <n v="1356707"/>
    <n v="973019"/>
    <n v="875508"/>
    <n v="796255"/>
    <n v="1485517"/>
    <n v="1502816"/>
    <n v="1412646"/>
    <x v="41"/>
    <n v="16496"/>
    <n v="63856"/>
    <n v="43665"/>
    <n v="3019"/>
    <n v="29299"/>
  </r>
  <r>
    <x v="7"/>
    <x v="42"/>
    <x v="42"/>
    <s v="DOO"/>
    <n v="1"/>
    <s v="Komunalije"/>
    <n v="19"/>
    <n v="21"/>
    <n v="20"/>
    <n v="236811"/>
    <n v="217112"/>
    <n v="200963"/>
    <n v="198212"/>
    <n v="170584"/>
    <n v="146076"/>
    <n v="38599"/>
    <n v="46528"/>
    <n v="54887"/>
    <n v="187288"/>
    <n v="222856"/>
    <n v="243995"/>
    <x v="42"/>
    <n v="-19151"/>
    <n v="-24509"/>
    <n v="-36963"/>
    <n v="-19151"/>
    <n v="-24509"/>
  </r>
  <r>
    <x v="8"/>
    <x v="43"/>
    <x v="43"/>
    <s v="DOO"/>
    <n v="1"/>
    <s v="Transport"/>
    <n v="6"/>
    <n v="6"/>
    <n v="6"/>
    <n v="63866"/>
    <n v="60351"/>
    <n v="83034"/>
    <n v="10310"/>
    <n v="20227"/>
    <n v="60775"/>
    <n v="53556"/>
    <n v="40124"/>
    <n v="22259"/>
    <n v="117551"/>
    <n v="110528"/>
    <n v="145587"/>
    <x v="43"/>
    <n v="11701"/>
    <n v="42538"/>
    <n v="5352"/>
    <n v="11719"/>
    <n v="40548"/>
  </r>
  <r>
    <x v="8"/>
    <x v="44"/>
    <x v="44"/>
    <s v="DOO"/>
    <n v="1"/>
    <s v="Drugo"/>
    <n v="28"/>
    <n v="20"/>
    <n v="22"/>
    <n v="471917"/>
    <n v="440001"/>
    <n v="328041"/>
    <n v="5291"/>
    <n v="2886"/>
    <n v="11191"/>
    <n v="466626"/>
    <n v="437115"/>
    <n v="316850"/>
    <n v="329188"/>
    <n v="314131"/>
    <n v="377879"/>
    <x v="44"/>
    <n v="-3175"/>
    <n v="7417"/>
    <n v="-29306"/>
    <n v="-2406"/>
    <n v="8304"/>
  </r>
  <r>
    <x v="8"/>
    <x v="45"/>
    <x v="45"/>
    <s v="DOO"/>
    <n v="1"/>
    <s v="Komunalije"/>
    <n v="163"/>
    <n v="166"/>
    <n v="178"/>
    <n v="2099631"/>
    <n v="1703253"/>
    <n v="2512508"/>
    <n v="1268287"/>
    <n v="961536"/>
    <n v="1362282"/>
    <n v="831344"/>
    <n v="741717"/>
    <n v="1150226"/>
    <n v="3261111"/>
    <n v="3439747"/>
    <n v="3911140"/>
    <x v="45"/>
    <n v="162420"/>
    <n v="129997"/>
    <n v="234751"/>
    <n v="84112"/>
    <n v="103755"/>
  </r>
  <r>
    <x v="8"/>
    <x v="46"/>
    <x v="46"/>
    <s v="DOO"/>
    <n v="1"/>
    <s v="Komunalije"/>
    <n v="2"/>
    <n v="5"/>
    <n v="6"/>
    <n v="30466127"/>
    <n v="30600066"/>
    <n v="31369729"/>
    <n v="-1795687"/>
    <n v="-1820618"/>
    <n v="-1843871"/>
    <n v="32261814"/>
    <n v="32420684"/>
    <n v="33213600"/>
    <n v="417898"/>
    <n v="597889"/>
    <n v="867775"/>
    <x v="46"/>
    <n v="-212202"/>
    <n v="-365145"/>
    <n v="-446194"/>
    <n v="-24931"/>
    <n v="-23254"/>
  </r>
  <r>
    <x v="8"/>
    <x v="47"/>
    <x v="47"/>
    <s v="DOO"/>
    <n v="1"/>
    <s v="Mediji"/>
    <n v="34"/>
    <n v="36"/>
    <n v="37"/>
    <n v="68984"/>
    <n v="121152"/>
    <n v="43985"/>
    <n v="-123790"/>
    <n v="-11622"/>
    <n v="-71704"/>
    <n v="192774"/>
    <n v="132774"/>
    <n v="115689"/>
    <n v="446583"/>
    <n v="595845"/>
    <n v="532518"/>
    <x v="47"/>
    <n v="127363"/>
    <n v="-56728"/>
    <n v="-34503"/>
    <n v="112168"/>
    <n v="-60082"/>
  </r>
  <r>
    <x v="8"/>
    <x v="48"/>
    <x v="48"/>
    <s v="DOO"/>
    <n v="1"/>
    <s v="Komunalije"/>
    <n v="83"/>
    <n v="83"/>
    <n v="82"/>
    <n v="846999"/>
    <n v="650555"/>
    <n v="874368"/>
    <n v="414174"/>
    <n v="421351"/>
    <n v="425647"/>
    <n v="432825"/>
    <n v="229204"/>
    <n v="448721"/>
    <n v="1362179"/>
    <n v="1245487"/>
    <n v="1371702"/>
    <x v="48"/>
    <n v="7913"/>
    <n v="7627"/>
    <n v="45900"/>
    <n v="7178"/>
    <n v="4297"/>
  </r>
  <r>
    <x v="8"/>
    <x v="49"/>
    <x v="49"/>
    <s v="DOO"/>
    <n v="1"/>
    <s v="Saobraćaj"/>
    <n v="38"/>
    <n v="36"/>
    <n v="40"/>
    <n v="4878251"/>
    <n v="4952948"/>
    <n v="4810143"/>
    <n v="194316"/>
    <n v="242100"/>
    <n v="297876"/>
    <n v="4683935"/>
    <n v="4710848"/>
    <n v="4512267"/>
    <n v="542313"/>
    <n v="928917"/>
    <n v="1163719"/>
    <x v="49"/>
    <n v="57617"/>
    <n v="74588"/>
    <n v="-41110"/>
    <n v="47787"/>
    <n v="55776"/>
  </r>
  <r>
    <x v="8"/>
    <x v="50"/>
    <x v="50"/>
    <s v="DOO"/>
    <n v="1"/>
    <s v="Sport"/>
    <n v="29"/>
    <n v="30"/>
    <n v="33"/>
    <n v="114739"/>
    <n v="310088"/>
    <n v="324536"/>
    <n v="-15500"/>
    <n v="-64595"/>
    <n v="-19160"/>
    <n v="130239"/>
    <n v="374683"/>
    <n v="343696"/>
    <n v="527679"/>
    <n v="616047"/>
    <n v="787348"/>
    <x v="50"/>
    <n v="29599"/>
    <n v="8829"/>
    <n v="-74352"/>
    <n v="26936"/>
    <n v="8829"/>
  </r>
  <r>
    <x v="8"/>
    <x v="51"/>
    <x v="51"/>
    <s v="DOO"/>
    <n v="1"/>
    <s v="Komunalije"/>
    <n v="163"/>
    <n v="164"/>
    <n v="168"/>
    <n v="35828056"/>
    <n v="35045477"/>
    <n v="34473797"/>
    <n v="2858982"/>
    <n v="2935979"/>
    <n v="3414821"/>
    <n v="32969074"/>
    <n v="32109498"/>
    <n v="31058976"/>
    <n v="4995676"/>
    <n v="5339576"/>
    <n v="5876638"/>
    <x v="51"/>
    <n v="39633"/>
    <n v="161100"/>
    <n v="111952"/>
    <n v="76996"/>
    <n v="211884"/>
  </r>
  <r>
    <x v="8"/>
    <x v="52"/>
    <x v="52"/>
    <s v="DOO"/>
    <n v="1"/>
    <s v="Zaštita životne sredine"/>
    <n v="11"/>
    <n v="18"/>
    <n v="19"/>
    <n v="64406"/>
    <n v="51432"/>
    <n v="25845"/>
    <n v="-37304"/>
    <n v="-18879"/>
    <n v="-1945"/>
    <n v="101710"/>
    <n v="70311"/>
    <n v="27790"/>
    <n v="106842"/>
    <n v="192889"/>
    <n v="228434"/>
    <x v="52"/>
    <n v="15555"/>
    <n v="16163"/>
    <n v="-16665"/>
    <n v="18466"/>
    <n v="17443"/>
  </r>
  <r>
    <x v="9"/>
    <x v="53"/>
    <x v="53"/>
    <s v="DOO"/>
    <n v="1"/>
    <s v="Komunalije"/>
    <n v="30"/>
    <n v="30"/>
    <n v="31"/>
    <n v="1152808"/>
    <n v="1049803"/>
    <n v="1237881"/>
    <n v="52616"/>
    <n v="26333"/>
    <n v="141268"/>
    <n v="1100192"/>
    <n v="1023470"/>
    <n v="1096613"/>
    <n v="626145"/>
    <n v="679530"/>
    <n v="1124143"/>
    <x v="53"/>
    <n v="52208"/>
    <n v="113507"/>
    <n v="75445"/>
    <n v="-20612"/>
    <n v="101108"/>
  </r>
  <r>
    <x v="9"/>
    <x v="54"/>
    <x v="54"/>
    <s v="DOO"/>
    <n v="1"/>
    <s v="Komunalije"/>
    <n v="27"/>
    <n v="27"/>
    <n v="28"/>
    <n v="528447"/>
    <n v="506822"/>
    <n v="512369"/>
    <n v="52218"/>
    <n v="56770"/>
    <n v="58746"/>
    <n v="476229"/>
    <n v="450052"/>
    <n v="453623"/>
    <n v="349680"/>
    <n v="390777"/>
    <n v="478056"/>
    <x v="54"/>
    <n v="5026"/>
    <n v="5740"/>
    <n v="9183"/>
    <n v="4553"/>
    <n v="1976"/>
  </r>
  <r>
    <x v="10"/>
    <x v="55"/>
    <x v="55"/>
    <s v="DOO"/>
    <n v="1"/>
    <s v="Mediji"/>
    <n v="14"/>
    <n v="13"/>
    <n v="13"/>
    <n v="10400"/>
    <n v="19795"/>
    <n v="23285"/>
    <n v="4943"/>
    <n v="7707"/>
    <n v="7950"/>
    <n v="5457"/>
    <n v="12088"/>
    <n v="15335"/>
    <n v="196357"/>
    <n v="204189"/>
    <n v="207075"/>
    <x v="55"/>
    <n v="2914"/>
    <n v="328"/>
    <n v="-1461"/>
    <n v="2983"/>
    <n v="243"/>
  </r>
  <r>
    <x v="10"/>
    <x v="56"/>
    <x v="56"/>
    <s v="DOO"/>
    <n v="1"/>
    <s v="Komunalije"/>
    <n v="94"/>
    <n v="97"/>
    <n v="100"/>
    <n v="29044875"/>
    <n v="28568564"/>
    <n v="28241661"/>
    <n v="1962074"/>
    <n v="1564714"/>
    <n v="1746678"/>
    <n v="27082801"/>
    <n v="27003850"/>
    <n v="26494983"/>
    <n v="3365185"/>
    <n v="4228792"/>
    <n v="4055001"/>
    <x v="56"/>
    <n v="518766"/>
    <n v="326219"/>
    <n v="-298204"/>
    <n v="-397360"/>
    <n v="49532"/>
  </r>
  <r>
    <x v="10"/>
    <x v="57"/>
    <x v="57"/>
    <s v="DOO"/>
    <n v="1"/>
    <s v="Komunalije"/>
    <n v="148"/>
    <n v="160"/>
    <n v="180"/>
    <n v="9193033"/>
    <n v="9071386"/>
    <n v="10383724"/>
    <n v="6455534"/>
    <n v="6486780"/>
    <n v="7072447"/>
    <n v="2737499"/>
    <n v="2584606"/>
    <n v="3311277"/>
    <n v="3645332"/>
    <n v="4115029"/>
    <n v="4860951"/>
    <x v="57"/>
    <n v="50931"/>
    <n v="-1877"/>
    <n v="104898"/>
    <n v="37302"/>
    <n v="8461"/>
  </r>
  <r>
    <x v="11"/>
    <x v="58"/>
    <x v="58"/>
    <s v="DOO"/>
    <n v="1"/>
    <s v="Komunalije"/>
    <n v="62"/>
    <n v="65"/>
    <n v="67"/>
    <n v="2063502"/>
    <n v="2161873"/>
    <n v="2285530"/>
    <n v="-40798"/>
    <n v="57265"/>
    <n v="174348"/>
    <n v="2104300"/>
    <n v="2104608"/>
    <n v="2111182"/>
    <n v="790141"/>
    <n v="998357"/>
    <n v="1025538"/>
    <x v="58"/>
    <n v="99033"/>
    <n v="117084"/>
    <n v="9106"/>
    <n v="98063"/>
    <n v="117084"/>
  </r>
  <r>
    <x v="12"/>
    <x v="59"/>
    <x v="59"/>
    <s v="DOO"/>
    <n v="1"/>
    <s v="Drugo"/>
    <n v="1"/>
    <n v="1"/>
    <n v="1"/>
    <n v="34631"/>
    <n v="24967"/>
    <n v="23670"/>
    <n v="29624"/>
    <n v="24967"/>
    <n v="23670"/>
    <n v="5007"/>
    <n v="0"/>
    <n v="0"/>
    <n v="16663"/>
    <n v="3323"/>
    <n v="8561"/>
    <x v="59"/>
    <n v="-4625"/>
    <n v="-1297"/>
    <n v="11922"/>
    <n v="-4625"/>
    <n v="-1297"/>
  </r>
  <r>
    <x v="12"/>
    <x v="60"/>
    <x v="60"/>
    <s v="DOO"/>
    <n v="1"/>
    <s v="Transport"/>
    <n v="24"/>
    <n v="25"/>
    <n v="21"/>
    <n v="45313"/>
    <n v="49976"/>
    <n v="50449"/>
    <n v="-61897"/>
    <n v="-61791"/>
    <n v="-106835"/>
    <n v="107210"/>
    <n v="111767"/>
    <n v="157284"/>
    <n v="107210"/>
    <n v="111767"/>
    <n v="49172"/>
    <x v="60"/>
    <n v="106"/>
    <n v="-45043"/>
    <n v="3172"/>
    <n v="106"/>
    <n v="-45043"/>
  </r>
  <r>
    <x v="12"/>
    <x v="61"/>
    <x v="61"/>
    <s v="JP "/>
    <n v="1"/>
    <s v="Poljoprivreda"/>
    <n v="6"/>
    <n v="5"/>
    <n v="6"/>
    <n v="153173"/>
    <n v="149977"/>
    <n v="155438"/>
    <n v="129150"/>
    <n v="129150"/>
    <n v="129150"/>
    <n v="24023"/>
    <n v="20827"/>
    <n v="26288"/>
    <n v="35202"/>
    <n v="44135"/>
    <n v="58000"/>
    <x v="1"/>
    <n v="0"/>
    <n v="7059"/>
    <n v="0"/>
    <n v="0"/>
    <n v="0"/>
  </r>
  <r>
    <x v="12"/>
    <x v="62"/>
    <x v="62"/>
    <s v="DOO"/>
    <n v="1"/>
    <s v="Komunalije"/>
    <n v="173"/>
    <n v="167"/>
    <n v="160"/>
    <n v="2016027"/>
    <n v="1762354"/>
    <n v="2005702"/>
    <n v="-2292234"/>
    <n v="-2371088"/>
    <n v="-2317907"/>
    <n v="4308261"/>
    <n v="4133442"/>
    <n v="4323609"/>
    <n v="3326810"/>
    <n v="3225722"/>
    <n v="3702794"/>
    <x v="61"/>
    <n v="-12172"/>
    <n v="120800"/>
    <n v="25774"/>
    <n v="-78854"/>
    <n v="53181"/>
  </r>
  <r>
    <x v="12"/>
    <x v="63"/>
    <x v="63"/>
    <s v="DOO"/>
    <n v="1"/>
    <s v="Mediji"/>
    <n v="69"/>
    <n v="64"/>
    <n v="64"/>
    <n v="1189522"/>
    <n v="1232778"/>
    <n v="1307310"/>
    <n v="668562"/>
    <n v="841733"/>
    <n v="934267"/>
    <n v="520960"/>
    <n v="391045"/>
    <n v="373043"/>
    <n v="942054"/>
    <n v="1105982"/>
    <n v="1219599"/>
    <x v="62"/>
    <n v="188774"/>
    <n v="105277"/>
    <n v="91979"/>
    <n v="173171"/>
    <n v="92534"/>
  </r>
  <r>
    <x v="12"/>
    <x v="64"/>
    <x v="64"/>
    <s v="DOO"/>
    <n v="1"/>
    <s v="Saobraćaj"/>
    <n v="14"/>
    <n v="24"/>
    <n v="26"/>
    <n v="8335"/>
    <n v="27589"/>
    <n v="143594"/>
    <n v="-43431"/>
    <n v="12320"/>
    <n v="32020"/>
    <n v="51766"/>
    <n v="15269"/>
    <n v="111574"/>
    <n v="174400"/>
    <n v="246609"/>
    <n v="254382"/>
    <x v="63"/>
    <n v="57795"/>
    <n v="21667"/>
    <n v="-3816"/>
    <n v="55751"/>
    <n v="19700"/>
  </r>
  <r>
    <x v="12"/>
    <x v="65"/>
    <x v="65"/>
    <s v="AD"/>
    <n v="0.55289999999999995"/>
    <s v="Saobraćaj"/>
    <n v="19"/>
    <n v="19"/>
    <n v="20"/>
    <n v="2376705"/>
    <n v="2362364"/>
    <n v="2376342"/>
    <n v="2070466"/>
    <n v="2053988"/>
    <n v="2063838"/>
    <n v="306239"/>
    <n v="308376"/>
    <n v="312504"/>
    <n v="311085"/>
    <n v="351799"/>
    <n v="389804"/>
    <x v="64"/>
    <n v="-16481"/>
    <n v="10326"/>
    <n v="-62810"/>
    <n v="-16478"/>
    <n v="10330"/>
  </r>
  <r>
    <x v="12"/>
    <x v="66"/>
    <x v="66"/>
    <s v="DOO"/>
    <n v="1"/>
    <s v="Komunalije"/>
    <n v="196"/>
    <n v="195"/>
    <n v="187"/>
    <n v="64068896"/>
    <n v="62869370"/>
    <n v="62326540"/>
    <n v="9435771"/>
    <n v="8956329"/>
    <n v="9623788"/>
    <n v="54633125"/>
    <n v="53913041"/>
    <n v="52702752"/>
    <n v="4090861"/>
    <n v="3952796"/>
    <n v="5088973"/>
    <x v="65"/>
    <n v="-453600"/>
    <n v="453674"/>
    <n v="-162577"/>
    <n v="-251822"/>
    <n v="598976"/>
  </r>
  <r>
    <x v="12"/>
    <x v="67"/>
    <x v="67"/>
    <s v="JP "/>
    <n v="1"/>
    <s v="Sport"/>
    <n v="81"/>
    <n v="81"/>
    <n v="83"/>
    <n v="10065526"/>
    <n v="9840603"/>
    <n v="9573900"/>
    <n v="-306757"/>
    <n v="-276968"/>
    <n v="-304243"/>
    <n v="10372283"/>
    <n v="10117571"/>
    <n v="9878143"/>
    <n v="1139566"/>
    <n v="1200172"/>
    <n v="1155489"/>
    <x v="66"/>
    <n v="31676"/>
    <n v="-25732"/>
    <n v="35936"/>
    <n v="29789"/>
    <n v="-27275"/>
  </r>
  <r>
    <x v="13"/>
    <x v="68"/>
    <x v="68"/>
    <s v="DOO"/>
    <n v="1"/>
    <s v="Komunalije"/>
    <n v="15"/>
    <n v="16"/>
    <n v="15"/>
    <n v="51760"/>
    <n v="43032"/>
    <n v="23086"/>
    <n v="34761"/>
    <n v="2436"/>
    <n v="-2604"/>
    <n v="16999"/>
    <n v="40596"/>
    <n v="25690"/>
    <n v="141506"/>
    <n v="189239"/>
    <n v="180523"/>
    <x v="67"/>
    <n v="-30317"/>
    <n v="-5038"/>
    <n v="-34028"/>
    <n v="-30384"/>
    <n v="-5038"/>
  </r>
  <r>
    <x v="14"/>
    <x v="69"/>
    <x v="69"/>
    <s v="DOO"/>
    <n v="1"/>
    <s v="Komunalije"/>
    <n v="46"/>
    <n v="44"/>
    <n v="48"/>
    <n v="1330730"/>
    <n v="1653507"/>
    <n v="1650788"/>
    <n v="-809428"/>
    <n v="-526658"/>
    <n v="-540613"/>
    <n v="2140158"/>
    <n v="2180165"/>
    <n v="2191401"/>
    <n v="541472"/>
    <n v="559696"/>
    <n v="628266"/>
    <x v="68"/>
    <n v="-89555"/>
    <n v="-10334"/>
    <n v="30972"/>
    <n v="-90934"/>
    <n v="-13955"/>
  </r>
  <r>
    <x v="15"/>
    <x v="70"/>
    <x v="70"/>
    <s v="DOO"/>
    <n v="1"/>
    <s v="Komunalije"/>
    <n v="25"/>
    <n v="26"/>
    <n v="33"/>
    <n v="445303"/>
    <n v="606706"/>
    <n v="814789"/>
    <n v="333456"/>
    <n v="334068"/>
    <n v="342820"/>
    <n v="111847"/>
    <n v="272638"/>
    <n v="471969"/>
    <n v="465870"/>
    <n v="431787"/>
    <n v="664675"/>
    <x v="69"/>
    <n v="2574"/>
    <n v="9029"/>
    <n v="9173"/>
    <n v="611"/>
    <n v="8752"/>
  </r>
  <r>
    <x v="15"/>
    <x v="71"/>
    <x v="71"/>
    <s v="DOO"/>
    <n v="1"/>
    <s v="Zaštita životne sredine"/>
    <n v="9"/>
    <n v="9"/>
    <n v="11"/>
    <n v="42487"/>
    <n v="84874"/>
    <n v="76368"/>
    <n v="-3306"/>
    <n v="53794"/>
    <n v="67412"/>
    <n v="45793"/>
    <n v="31080"/>
    <n v="8956"/>
    <n v="174760"/>
    <n v="242384"/>
    <n v="226021"/>
    <x v="70"/>
    <n v="65274"/>
    <n v="17648"/>
    <n v="15854"/>
    <n v="57098"/>
    <n v="13518"/>
  </r>
  <r>
    <x v="16"/>
    <x v="72"/>
    <x v="72"/>
    <s v="DOO"/>
    <n v="1"/>
    <s v="Sport"/>
    <n v="13"/>
    <n v="11"/>
    <n v="14"/>
    <n v="231593"/>
    <n v="239330"/>
    <n v="240946"/>
    <n v="-100959"/>
    <n v="-16364"/>
    <n v="36617"/>
    <n v="332552"/>
    <n v="255694"/>
    <n v="204329"/>
    <n v="241434"/>
    <n v="224549"/>
    <n v="247551"/>
    <x v="71"/>
    <n v="87873"/>
    <n v="55272"/>
    <n v="52161"/>
    <n v="83935"/>
    <n v="52981"/>
  </r>
  <r>
    <x v="16"/>
    <x v="73"/>
    <x v="73"/>
    <s v="DOO"/>
    <n v="1"/>
    <s v="Komunalije"/>
    <n v="30"/>
    <n v="34"/>
    <n v="32"/>
    <n v="486291"/>
    <n v="1491702"/>
    <n v="1422514"/>
    <n v="-1364310"/>
    <n v="-264941"/>
    <n v="-254822"/>
    <n v="1850601"/>
    <n v="1756643"/>
    <n v="1677336"/>
    <n v="364834"/>
    <n v="505288"/>
    <n v="540056"/>
    <x v="72"/>
    <n v="-18879"/>
    <n v="-68475"/>
    <n v="-23933"/>
    <n v="-18879"/>
    <n v="-68475"/>
  </r>
  <r>
    <x v="16"/>
    <x v="74"/>
    <x v="74"/>
    <s v="DOO"/>
    <n v="1"/>
    <s v="Mediji"/>
    <n v="32"/>
    <n v="33"/>
    <n v="33"/>
    <n v="49247"/>
    <n v="30315"/>
    <n v="38947"/>
    <n v="-952524"/>
    <n v="-810955"/>
    <n v="-737562"/>
    <n v="1001771"/>
    <n v="841270"/>
    <n v="776509"/>
    <n v="358483"/>
    <n v="508386"/>
    <n v="482457"/>
    <x v="73"/>
    <n v="141519"/>
    <n v="73392"/>
    <n v="-29470"/>
    <n v="141569"/>
    <n v="73392"/>
  </r>
  <r>
    <x v="16"/>
    <x v="75"/>
    <x v="75"/>
    <s v="DOO"/>
    <n v="1"/>
    <s v="Saobraćaj"/>
    <n v="32"/>
    <n v="32"/>
    <n v="33"/>
    <n v="289494"/>
    <n v="267658"/>
    <n v="418805"/>
    <n v="-565119"/>
    <n v="-462349"/>
    <n v="-239281"/>
    <n v="854613"/>
    <n v="730007"/>
    <n v="658086"/>
    <n v="639279"/>
    <n v="711760"/>
    <n v="975196"/>
    <x v="74"/>
    <n v="102771"/>
    <n v="223068"/>
    <n v="149338"/>
    <n v="102771"/>
    <n v="223068"/>
  </r>
  <r>
    <x v="16"/>
    <x v="76"/>
    <x v="76"/>
    <s v="DOO"/>
    <n v="1"/>
    <s v="Komunalije"/>
    <n v="120"/>
    <n v="115"/>
    <n v="122"/>
    <n v="9645406"/>
    <n v="9845335"/>
    <n v="10048846"/>
    <n v="6380512"/>
    <n v="6462005"/>
    <n v="6506784"/>
    <n v="3264894"/>
    <n v="3383330"/>
    <n v="3542062"/>
    <n v="1870928"/>
    <n v="1946764"/>
    <n v="1701426"/>
    <x v="75"/>
    <n v="-225414"/>
    <n v="-76398"/>
    <n v="20921"/>
    <n v="-234909"/>
    <n v="-91671"/>
  </r>
  <r>
    <x v="16"/>
    <x v="77"/>
    <x v="77"/>
    <s v="DOO"/>
    <n v="1"/>
    <s v="Komunalije"/>
    <n v="167"/>
    <n v="172"/>
    <n v="196"/>
    <n v="2577988"/>
    <n v="2410029"/>
    <n v="2403804"/>
    <n v="130343"/>
    <n v="385358"/>
    <n v="444942"/>
    <n v="2447645"/>
    <n v="2024671"/>
    <n v="1958862"/>
    <n v="2365899"/>
    <n v="2814896"/>
    <n v="3102296"/>
    <x v="76"/>
    <n v="358200"/>
    <n v="59775"/>
    <n v="198332"/>
    <n v="255016"/>
    <n v="59584"/>
  </r>
  <r>
    <x v="16"/>
    <x v="78"/>
    <x v="78"/>
    <s v="DOO"/>
    <n v="1"/>
    <s v="Komunalije"/>
    <n v="29"/>
    <n v="25"/>
    <n v="33"/>
    <n v="363099"/>
    <n v="521790"/>
    <n v="364382"/>
    <n v="-212599"/>
    <n v="-8177"/>
    <n v="-182879"/>
    <n v="575698"/>
    <n v="529967"/>
    <n v="547261"/>
    <n v="496695"/>
    <n v="481360"/>
    <n v="500003"/>
    <x v="77"/>
    <n v="65237"/>
    <n v="-30570"/>
    <n v="59474"/>
    <n v="60740"/>
    <n v="-31019"/>
  </r>
  <r>
    <x v="17"/>
    <x v="79"/>
    <x v="79"/>
    <s v="DOO"/>
    <n v="1"/>
    <s v="Drugo"/>
    <n v="51"/>
    <n v="54"/>
    <n v="55"/>
    <n v="1293488"/>
    <n v="909783"/>
    <n v="1738593"/>
    <n v="141633"/>
    <n v="74521"/>
    <n v="99984"/>
    <n v="1151855"/>
    <n v="835262"/>
    <n v="1638609"/>
    <n v="1069091"/>
    <n v="1126566"/>
    <n v="1144877"/>
    <x v="78"/>
    <n v="-70948"/>
    <n v="36376"/>
    <n v="6369"/>
    <n v="-64083"/>
    <n v="34923"/>
  </r>
  <r>
    <x v="17"/>
    <x v="80"/>
    <x v="80"/>
    <s v="DOO"/>
    <n v="1"/>
    <s v="Drugo "/>
    <n v="97"/>
    <n v="98"/>
    <n v="102"/>
    <n v="2145434"/>
    <n v="2405266"/>
    <n v="2604771"/>
    <n v="1890751"/>
    <n v="1774110"/>
    <n v="1963113"/>
    <n v="254683"/>
    <n v="631156"/>
    <n v="641658"/>
    <n v="2980264"/>
    <n v="3281038"/>
    <n v="2840876"/>
    <x v="79"/>
    <n v="230502"/>
    <n v="209340"/>
    <n v="225630"/>
    <n v="205151"/>
    <n v="189351"/>
  </r>
  <r>
    <x v="17"/>
    <x v="81"/>
    <x v="81"/>
    <s v="DOO"/>
    <n v="1"/>
    <s v="Komunalije"/>
    <n v="162"/>
    <n v="173"/>
    <n v="190"/>
    <n v="21094234"/>
    <n v="18147433"/>
    <n v="18248186"/>
    <n v="11204192"/>
    <n v="8906498"/>
    <n v="8821779"/>
    <n v="9890042"/>
    <n v="9240935"/>
    <n v="9426407"/>
    <n v="5783356"/>
    <n v="6163395"/>
    <n v="6250779"/>
    <x v="80"/>
    <n v="489350"/>
    <n v="313023"/>
    <n v="441078"/>
    <n v="698804"/>
    <n v="301792"/>
  </r>
  <r>
    <x v="17"/>
    <x v="82"/>
    <x v="82"/>
    <s v="DOO"/>
    <n v="1"/>
    <s v="Komunalije"/>
    <n v="96"/>
    <n v="104"/>
    <n v="120"/>
    <n v="8309583"/>
    <n v="7997850"/>
    <n v="7922004"/>
    <n v="2174115"/>
    <n v="2813928"/>
    <n v="3351660"/>
    <n v="6135468"/>
    <n v="5183922"/>
    <n v="4570344"/>
    <n v="4762308"/>
    <n v="5572328"/>
    <n v="5767511"/>
    <x v="81"/>
    <n v="514045"/>
    <n v="586667"/>
    <n v="3476"/>
    <n v="414978"/>
    <n v="481273"/>
  </r>
  <r>
    <x v="17"/>
    <x v="83"/>
    <x v="83"/>
    <s v="DOO"/>
    <n v="1"/>
    <s v="Mediji"/>
    <n v="80"/>
    <n v="53"/>
    <n v="79"/>
    <n v="986599"/>
    <n v="931686"/>
    <n v="870544"/>
    <n v="866644"/>
    <n v="706194"/>
    <n v="664077"/>
    <n v="119955"/>
    <n v="225492"/>
    <n v="206467"/>
    <n v="1080697"/>
    <n v="1909577"/>
    <n v="1781749"/>
    <x v="82"/>
    <n v="-137006"/>
    <n v="-40840"/>
    <n v="12341"/>
    <n v="-137239"/>
    <n v="-42117"/>
  </r>
  <r>
    <x v="17"/>
    <x v="84"/>
    <x v="84"/>
    <s v="DOO"/>
    <n v="1"/>
    <s v="Saobraćaj"/>
    <n v="132"/>
    <n v="136"/>
    <n v="135"/>
    <n v="1853882"/>
    <n v="1979044"/>
    <n v="1444301"/>
    <n v="1368917"/>
    <n v="1493387"/>
    <n v="931702"/>
    <n v="484965"/>
    <n v="485657"/>
    <n v="512599"/>
    <n v="2317282"/>
    <n v="2534350"/>
    <n v="2449180"/>
    <x v="83"/>
    <n v="363879"/>
    <n v="430030"/>
    <n v="168990"/>
    <n v="239567"/>
    <n v="71551"/>
  </r>
  <r>
    <x v="17"/>
    <x v="85"/>
    <x v="85"/>
    <s v="DOO"/>
    <n v="1"/>
    <s v="Saobraćaj"/>
    <n v="98"/>
    <n v="136"/>
    <n v="209"/>
    <n v="5672573"/>
    <n v="6345792"/>
    <n v="7120067"/>
    <n v="4303474"/>
    <n v="4369742"/>
    <n v="4256046"/>
    <n v="1369099"/>
    <n v="1976050"/>
    <n v="2864021"/>
    <n v="6463627"/>
    <n v="7472524"/>
    <n v="9017070"/>
    <x v="84"/>
    <n v="83372"/>
    <n v="458381"/>
    <n v="25873"/>
    <n v="65441"/>
    <n v="141192"/>
  </r>
  <r>
    <x v="17"/>
    <x v="86"/>
    <x v="86"/>
    <s v="DOO"/>
    <n v="1"/>
    <s v="Sport"/>
    <n v="103"/>
    <n v="108"/>
    <n v="109"/>
    <n v="4262547"/>
    <n v="2262993"/>
    <n v="2318093"/>
    <n v="1876332"/>
    <n v="1829918"/>
    <n v="1526269"/>
    <n v="2386215"/>
    <n v="433075"/>
    <n v="791824"/>
    <n v="1895961"/>
    <n v="2209850"/>
    <n v="1767987"/>
    <x v="85"/>
    <n v="-126182"/>
    <n v="-282190"/>
    <n v="449"/>
    <n v="9563"/>
    <n v="-303647"/>
  </r>
  <r>
    <x v="17"/>
    <x v="87"/>
    <x v="87"/>
    <s v="DOO"/>
    <n v="1"/>
    <s v="Poljoprivreda"/>
    <n v="151"/>
    <n v="149"/>
    <n v="150"/>
    <n v="2300199"/>
    <n v="2437526"/>
    <n v="2509140"/>
    <n v="1786668"/>
    <n v="1809251"/>
    <n v="558154"/>
    <n v="513531"/>
    <n v="628275"/>
    <n v="1950986"/>
    <n v="2245673"/>
    <n v="2248175"/>
    <n v="2345111"/>
    <x v="86"/>
    <n v="22797"/>
    <n v="-268538"/>
    <n v="3018"/>
    <n v="22583"/>
    <n v="-272970"/>
  </r>
  <r>
    <x v="17"/>
    <x v="88"/>
    <x v="88"/>
    <s v="DOO"/>
    <n v="1"/>
    <s v="Zaštita životne sredine"/>
    <n v="3"/>
    <n v="7"/>
    <n v="8"/>
    <n v="48609"/>
    <n v="60040"/>
    <n v="111757"/>
    <n v="44399"/>
    <n v="55859"/>
    <n v="98314"/>
    <n v="4210"/>
    <n v="4181"/>
    <n v="13443"/>
    <n v="124642"/>
    <n v="152463"/>
    <n v="249433"/>
    <x v="87"/>
    <n v="12811"/>
    <n v="47438"/>
    <n v="28488"/>
    <n v="11460"/>
    <n v="42456"/>
  </r>
  <r>
    <x v="17"/>
    <x v="89"/>
    <x v="89"/>
    <s v="DOO"/>
    <n v="1"/>
    <s v="Komunalije"/>
    <n v="533"/>
    <n v="568"/>
    <n v="641"/>
    <n v="16728397"/>
    <n v="17550330"/>
    <n v="18429221"/>
    <n v="12690851"/>
    <n v="12886404"/>
    <n v="11311081"/>
    <n v="4037546"/>
    <n v="4663926"/>
    <n v="7118140"/>
    <n v="8783657"/>
    <n v="8323602"/>
    <n v="8358632"/>
    <x v="88"/>
    <n v="38910"/>
    <n v="-1755503"/>
    <n v="51083"/>
    <n v="36021"/>
    <n v="-1755016"/>
  </r>
  <r>
    <x v="17"/>
    <x v="90"/>
    <x v="90"/>
    <s v="DOO"/>
    <n v="1"/>
    <s v="Komunalije"/>
    <n v="80"/>
    <n v="101"/>
    <n v="111"/>
    <n v="2337080"/>
    <n v="3466384"/>
    <n v="3754258"/>
    <n v="1816503"/>
    <n v="1821000"/>
    <n v="1593980"/>
    <n v="520577"/>
    <n v="1645384"/>
    <n v="2160278"/>
    <n v="1845312"/>
    <n v="1913703"/>
    <n v="2015288"/>
    <x v="89"/>
    <n v="35024"/>
    <n v="53728"/>
    <n v="231401"/>
    <n v="4496"/>
    <n v="48279"/>
  </r>
  <r>
    <x v="17"/>
    <x v="91"/>
    <x v="91"/>
    <s v="DOO"/>
    <n v="1"/>
    <s v="Komunalije"/>
    <n v="567"/>
    <n v="578"/>
    <n v="568"/>
    <n v="59083403"/>
    <n v="57888997"/>
    <n v="56874484"/>
    <n v="49583361"/>
    <n v="48689828"/>
    <n v="44118881"/>
    <n v="9500042"/>
    <n v="9199169"/>
    <n v="12755603"/>
    <n v="14532118"/>
    <n v="13949786"/>
    <n v="11999604"/>
    <x v="90"/>
    <n v="400723"/>
    <n v="-2659231"/>
    <n v="13594"/>
    <n v="-893534"/>
    <n v="-3822762"/>
  </r>
  <r>
    <x v="17"/>
    <x v="92"/>
    <x v="92"/>
    <s v="DOO"/>
    <n v="1"/>
    <s v="Zaštita životne sredine"/>
    <n v="130"/>
    <n v="139"/>
    <n v="157"/>
    <n v="1881611"/>
    <n v="2080408"/>
    <n v="2228788"/>
    <n v="1008354"/>
    <n v="1214457"/>
    <n v="1333867"/>
    <n v="873257"/>
    <n v="865951"/>
    <n v="894921"/>
    <n v="2825285"/>
    <n v="3223165"/>
    <n v="3108334"/>
    <x v="91"/>
    <n v="220259"/>
    <n v="85848"/>
    <n v="140920"/>
    <n v="206104"/>
    <n v="119409"/>
  </r>
  <r>
    <x v="18"/>
    <x v="93"/>
    <x v="93"/>
    <s v="DOO"/>
    <n v="1"/>
    <s v="Mediji"/>
    <n v="28"/>
    <n v="25"/>
    <n v="27"/>
    <n v="34123"/>
    <n v="17142"/>
    <n v="17473"/>
    <n v="-577731"/>
    <n v="-628230"/>
    <n v="-736027"/>
    <n v="611854"/>
    <n v="645372"/>
    <n v="753500"/>
    <n v="195661"/>
    <n v="222708"/>
    <n v="250191"/>
    <x v="92"/>
    <n v="-52115"/>
    <n v="-91651"/>
    <n v="-137728"/>
    <n v="-50499"/>
    <n v="-90923"/>
  </r>
  <r>
    <x v="18"/>
    <x v="94"/>
    <x v="94"/>
    <s v="DOO"/>
    <n v="1"/>
    <s v="Sport"/>
    <n v="23"/>
    <n v="25"/>
    <n v="27"/>
    <n v="26868"/>
    <n v="19768"/>
    <n v="17849"/>
    <n v="-317495"/>
    <n v="-350654"/>
    <n v="-397674"/>
    <n v="344363"/>
    <n v="370422"/>
    <n v="415523"/>
    <n v="133047"/>
    <n v="183970"/>
    <n v="203725"/>
    <x v="93"/>
    <n v="-33159"/>
    <n v="-47021"/>
    <n v="-73427"/>
    <n v="-33159"/>
    <n v="-47021"/>
  </r>
  <r>
    <x v="18"/>
    <x v="95"/>
    <x v="95"/>
    <s v="DOO"/>
    <n v="1"/>
    <s v="Komunalije"/>
    <n v="45"/>
    <n v="51"/>
    <n v="53"/>
    <n v="2786239"/>
    <n v="2797423"/>
    <n v="2820335"/>
    <n v="2054940"/>
    <n v="1964452"/>
    <n v="1869518"/>
    <n v="731299"/>
    <n v="832971"/>
    <n v="950817"/>
    <n v="531825"/>
    <n v="474229"/>
    <n v="498309"/>
    <x v="94"/>
    <n v="-82873"/>
    <n v="-94035"/>
    <n v="2325"/>
    <n v="-83733"/>
    <n v="-94934"/>
  </r>
  <r>
    <x v="18"/>
    <x v="96"/>
    <x v="96"/>
    <s v="DOO"/>
    <n v="1"/>
    <s v="Komunalije"/>
    <n v="78"/>
    <n v="82"/>
    <n v="82"/>
    <n v="2789096"/>
    <n v="2727918"/>
    <n v="2743884"/>
    <n v="1376084"/>
    <n v="1248086"/>
    <n v="1154040"/>
    <n v="1413012"/>
    <n v="1479832"/>
    <n v="1589844"/>
    <n v="710903"/>
    <n v="728138"/>
    <n v="776047"/>
    <x v="95"/>
    <n v="-126877"/>
    <n v="-97021"/>
    <n v="-45302"/>
    <n v="-127997"/>
    <n v="-94049"/>
  </r>
  <r>
    <x v="18"/>
    <x v="97"/>
    <x v="97"/>
    <s v="DOO"/>
    <n v="1"/>
    <s v="Sport"/>
    <n v="9"/>
    <n v="11"/>
    <n v="14"/>
    <n v="41742"/>
    <n v="36996"/>
    <n v="40567"/>
    <n v="-231076"/>
    <n v="-216079"/>
    <n v="-227885"/>
    <n v="272818"/>
    <n v="253075"/>
    <n v="268452"/>
    <n v="93002"/>
    <n v="109000"/>
    <n v="131385"/>
    <x v="96"/>
    <n v="-325"/>
    <n v="-15336"/>
    <n v="-103463"/>
    <n v="-325"/>
    <n v="-15336"/>
  </r>
  <r>
    <x v="19"/>
    <x v="98"/>
    <x v="98"/>
    <s v="DOO"/>
    <n v="1"/>
    <s v="Komunalije"/>
    <n v="31"/>
    <n v="29"/>
    <n v="31"/>
    <n v="145830"/>
    <n v="109103"/>
    <n v="101271"/>
    <n v="-110241"/>
    <n v="-102951"/>
    <n v="-102323"/>
    <n v="256071"/>
    <n v="212054"/>
    <n v="203594"/>
    <n v="395600"/>
    <n v="403112"/>
    <n v="383327"/>
    <x v="97"/>
    <n v="9637"/>
    <n v="706"/>
    <n v="57259"/>
    <n v="8770"/>
    <n v="628"/>
  </r>
  <r>
    <x v="19"/>
    <x v="99"/>
    <x v="99"/>
    <s v="DOO"/>
    <n v="1"/>
    <s v="Zaštita životne sredine"/>
    <n v="4"/>
    <n v="10"/>
    <n v="7"/>
    <n v="16661"/>
    <n v="14341"/>
    <n v="13182"/>
    <n v="-2966"/>
    <n v="2617"/>
    <n v="4313"/>
    <n v="19627"/>
    <n v="11724"/>
    <n v="8869"/>
    <n v="53643"/>
    <n v="118542"/>
    <n v="97083"/>
    <x v="98"/>
    <n v="3874"/>
    <n v="1628"/>
    <n v="-4424"/>
    <n v="5584"/>
    <n v="1756"/>
  </r>
  <r>
    <x v="20"/>
    <x v="100"/>
    <x v="100"/>
    <s v="DOO"/>
    <n v="1"/>
    <s v="Transport"/>
    <n v="16"/>
    <n v="15"/>
    <n v="12"/>
    <n v="134315"/>
    <n v="168531"/>
    <n v="237744"/>
    <n v="42834"/>
    <n v="67854"/>
    <n v="127578"/>
    <n v="91481"/>
    <n v="100677"/>
    <n v="110166"/>
    <n v="254159"/>
    <n v="252896"/>
    <n v="286628"/>
    <x v="99"/>
    <n v="29738"/>
    <n v="71832"/>
    <n v="13706"/>
    <n v="25019"/>
    <n v="59723"/>
  </r>
  <r>
    <x v="20"/>
    <x v="101"/>
    <x v="101"/>
    <s v="DOO"/>
    <n v="1"/>
    <s v="Mediji"/>
    <n v="15"/>
    <n v="15"/>
    <n v="16"/>
    <n v="18211"/>
    <n v="9214"/>
    <n v="86921"/>
    <n v="-2663"/>
    <n v="6258"/>
    <n v="791"/>
    <n v="20874"/>
    <n v="2956"/>
    <n v="86130"/>
    <n v="239361"/>
    <n v="233679"/>
    <n v="248437"/>
    <x v="100"/>
    <n v="9025"/>
    <n v="-4983"/>
    <n v="2868"/>
    <n v="8921"/>
    <n v="-5466"/>
  </r>
  <r>
    <x v="20"/>
    <x v="102"/>
    <x v="102"/>
    <s v="DOO"/>
    <n v="1"/>
    <s v="Komunalije"/>
    <n v="114"/>
    <n v="165"/>
    <n v="171"/>
    <n v="1124628"/>
    <n v="1331878"/>
    <n v="2037511"/>
    <n v="505492"/>
    <n v="529702"/>
    <n v="680762"/>
    <n v="619136"/>
    <n v="802176"/>
    <n v="1356749"/>
    <n v="2667383"/>
    <n v="3075666"/>
    <n v="3473057"/>
    <x v="101"/>
    <n v="97550"/>
    <n v="74643"/>
    <n v="15151"/>
    <n v="24209"/>
    <n v="9488"/>
  </r>
  <r>
    <x v="20"/>
    <x v="103"/>
    <x v="103"/>
    <s v="DOO"/>
    <n v="1"/>
    <s v="Saobraćaj"/>
    <n v="18"/>
    <n v="25"/>
    <n v="25"/>
    <n v="282972"/>
    <n v="451145"/>
    <n v="631973"/>
    <n v="259922"/>
    <n v="412037"/>
    <n v="582309"/>
    <n v="23050"/>
    <n v="39108"/>
    <n v="49664"/>
    <n v="514339"/>
    <n v="621390"/>
    <n v="755044"/>
    <x v="102"/>
    <n v="169785"/>
    <n v="228523"/>
    <n v="85220"/>
    <n v="152115"/>
    <n v="170272"/>
  </r>
  <r>
    <x v="20"/>
    <x v="104"/>
    <x v="104"/>
    <s v="DOO"/>
    <n v="1"/>
    <s v="Komunalije"/>
    <n v="57"/>
    <n v="62"/>
    <n v="63"/>
    <n v="28857238"/>
    <n v="28610353"/>
    <n v="28480221"/>
    <n v="2038639"/>
    <n v="2117138"/>
    <n v="2234066"/>
    <n v="26818599"/>
    <n v="26493215"/>
    <n v="26246155"/>
    <n v="3479446"/>
    <n v="3619585"/>
    <n v="3302926"/>
    <x v="103"/>
    <n v="425372"/>
    <n v="266809"/>
    <n v="29401"/>
    <n v="112999"/>
    <n v="116928"/>
  </r>
  <r>
    <x v="21"/>
    <x v="105"/>
    <x v="105"/>
    <s v="DOO"/>
    <n v="1"/>
    <s v="Komunalije"/>
    <n v="20"/>
    <n v="32"/>
    <n v="48"/>
    <n v="197855"/>
    <n v="272887"/>
    <n v="345428"/>
    <n v="91920"/>
    <n v="139763"/>
    <n v="234931"/>
    <n v="105935"/>
    <n v="133124"/>
    <n v="110497"/>
    <n v="629283"/>
    <n v="573621"/>
    <n v="730396"/>
    <x v="104"/>
    <n v="40866"/>
    <n v="96781"/>
    <n v="98726"/>
    <n v="35068"/>
    <n v="86602"/>
  </r>
  <r>
    <x v="21"/>
    <x v="106"/>
    <x v="106"/>
    <s v="DOO"/>
    <n v="1"/>
    <s v="Poljoprivreda"/>
    <n v="1"/>
    <n v="36"/>
    <n v="41"/>
    <n v="10"/>
    <n v="18115"/>
    <n v="22483"/>
    <n v="-1155"/>
    <n v="6909"/>
    <n v="-17273"/>
    <n v="1165"/>
    <n v="11206"/>
    <n v="39756"/>
    <n v="0"/>
    <n v="436708"/>
    <n v="446441"/>
    <x v="105"/>
    <n v="8962"/>
    <n v="-24179"/>
    <n v="-1155"/>
    <n v="8064"/>
    <n v="-24182"/>
  </r>
  <r>
    <x v="21"/>
    <x v="107"/>
    <x v="107"/>
    <s v="DOO"/>
    <n v="1"/>
    <s v="Komunalije"/>
    <n v="0"/>
    <n v="33"/>
    <n v="43"/>
    <n v="0"/>
    <n v="160080"/>
    <n v="196457"/>
    <n v="0"/>
    <n v="105399"/>
    <n v="141294"/>
    <n v="0"/>
    <n v="54681"/>
    <n v="55163"/>
    <n v="0"/>
    <n v="556138"/>
    <n v="583072"/>
    <x v="1"/>
    <n v="116281"/>
    <n v="46522"/>
    <n v="0"/>
    <n v="105399"/>
    <n v="35895"/>
  </r>
  <r>
    <x v="22"/>
    <x v="108"/>
    <x v="108"/>
    <s v="DOO"/>
    <n v="1"/>
    <s v="Drugo"/>
    <n v="11"/>
    <n v="10"/>
    <n v="8"/>
    <n v="7835"/>
    <n v="8594"/>
    <n v="6850"/>
    <n v="-400275"/>
    <n v="-357850"/>
    <n v="-306822"/>
    <n v="408110"/>
    <n v="366444"/>
    <n v="313672"/>
    <n v="112550"/>
    <n v="160789"/>
    <n v="162427"/>
    <x v="106"/>
    <n v="47723"/>
    <n v="52957"/>
    <n v="-22075"/>
    <n v="43741"/>
    <n v="51028"/>
  </r>
  <r>
    <x v="22"/>
    <x v="109"/>
    <x v="109"/>
    <s v="JP "/>
    <n v="1"/>
    <s v="Poljoprivreda"/>
    <n v="13"/>
    <n v="13"/>
    <n v="13"/>
    <n v="13201"/>
    <n v="54922"/>
    <n v="17388"/>
    <n v="-531823"/>
    <n v="-489616"/>
    <n v="-485393"/>
    <n v="545024"/>
    <n v="544538"/>
    <n v="502781"/>
    <n v="131210"/>
    <n v="196271"/>
    <n v="206055"/>
    <x v="107"/>
    <n v="45858"/>
    <n v="6929"/>
    <n v="-2870"/>
    <n v="42207"/>
    <n v="4223"/>
  </r>
  <r>
    <x v="22"/>
    <x v="110"/>
    <x v="110"/>
    <s v="DOO"/>
    <n v="1"/>
    <s v="Komunalije"/>
    <n v="154"/>
    <n v="158"/>
    <n v="164"/>
    <n v="6900502"/>
    <n v="7184949"/>
    <n v="7345360"/>
    <n v="1249875"/>
    <n v="1313831"/>
    <n v="1513911"/>
    <n v="5650627"/>
    <n v="5871118"/>
    <n v="5831449"/>
    <n v="2612676"/>
    <n v="3039342"/>
    <n v="3591731"/>
    <x v="108"/>
    <n v="869456"/>
    <n v="865769"/>
    <n v="546044"/>
    <n v="64820"/>
    <n v="171000"/>
  </r>
  <r>
    <x v="22"/>
    <x v="111"/>
    <x v="111"/>
    <s v="DOO"/>
    <n v="1"/>
    <s v="Mediji"/>
    <n v="10"/>
    <n v="9"/>
    <n v="9"/>
    <n v="7448"/>
    <n v="10797"/>
    <n v="12041"/>
    <n v="-360595"/>
    <n v="-310066"/>
    <n v="-265150"/>
    <n v="368043"/>
    <n v="320863"/>
    <n v="277191"/>
    <n v="87124"/>
    <n v="194169"/>
    <n v="185273"/>
    <x v="109"/>
    <n v="50529"/>
    <n v="44916"/>
    <n v="-43427"/>
    <n v="50529"/>
    <n v="44916"/>
  </r>
  <r>
    <x v="22"/>
    <x v="112"/>
    <x v="112"/>
    <s v="DOO"/>
    <n v="1"/>
    <s v="Saobraćaj"/>
    <n v="29"/>
    <n v="33"/>
    <n v="36"/>
    <n v="91817"/>
    <n v="114943"/>
    <n v="95135"/>
    <n v="76206"/>
    <n v="84919"/>
    <n v="55904"/>
    <n v="15611"/>
    <n v="30024"/>
    <n v="39231"/>
    <n v="401074"/>
    <n v="434494"/>
    <n v="421975"/>
    <x v="110"/>
    <n v="10421"/>
    <n v="-28870"/>
    <n v="60844"/>
    <n v="8713"/>
    <n v="-29015"/>
  </r>
  <r>
    <x v="22"/>
    <x v="113"/>
    <x v="113"/>
    <s v="DOO"/>
    <n v="1"/>
    <s v="Komunalije"/>
    <n v="125"/>
    <n v="119"/>
    <n v="118"/>
    <n v="15460159"/>
    <n v="15093352"/>
    <n v="15273645"/>
    <n v="10552338"/>
    <n v="10310660"/>
    <n v="10043226"/>
    <n v="4907821"/>
    <n v="4782692"/>
    <n v="5230419"/>
    <n v="2599140"/>
    <n v="2527207"/>
    <n v="2497994"/>
    <x v="111"/>
    <n v="-49436"/>
    <n v="-184130"/>
    <n v="-363680"/>
    <n v="-241678"/>
    <n v="-259524"/>
  </r>
  <r>
    <x v="23"/>
    <x v="114"/>
    <x v="114"/>
    <s v="DOO"/>
    <n v="1"/>
    <s v="Komunalije"/>
    <n v="0"/>
    <n v="0"/>
    <n v="1"/>
    <n v="0"/>
    <n v="0"/>
    <n v="47551"/>
    <n v="0"/>
    <n v="0"/>
    <n v="46109"/>
    <n v="0"/>
    <n v="0"/>
    <n v="1442"/>
    <n v="0"/>
    <n v="0"/>
    <n v="0"/>
    <x v="1"/>
    <n v="0"/>
    <n v="-3891"/>
    <n v="0"/>
    <n v="0"/>
    <n v="-3891"/>
  </r>
  <r>
    <x v="24"/>
    <x v="115"/>
    <x v="115"/>
    <s v="DOO"/>
    <n v="1"/>
    <s v="Saobraćaj"/>
    <n v="0"/>
    <n v="0"/>
    <n v="1"/>
    <n v="0"/>
    <n v="0"/>
    <n v="14344"/>
    <n v="0"/>
    <n v="0"/>
    <n v="0"/>
    <n v="0"/>
    <n v="0"/>
    <n v="14344"/>
    <n v="0"/>
    <n v="0"/>
    <n v="3336"/>
    <x v="1"/>
    <n v="0"/>
    <n v="0"/>
    <n v="0"/>
    <n v="0"/>
    <n v="0"/>
  </r>
  <r>
    <x v="24"/>
    <x v="116"/>
    <x v="116"/>
    <s v="DOO"/>
    <n v="1"/>
    <s v="Sport"/>
    <n v="6"/>
    <n v="6"/>
    <n v="6"/>
    <n v="7112"/>
    <n v="5823"/>
    <n v="10720"/>
    <n v="1298"/>
    <n v="3359"/>
    <n v="7426"/>
    <n v="5814"/>
    <n v="2464"/>
    <n v="3294"/>
    <n v="48276"/>
    <n v="61529"/>
    <n v="78426"/>
    <x v="112"/>
    <n v="2063"/>
    <n v="4088"/>
    <n v="-7030"/>
    <n v="2061"/>
    <n v="4068"/>
  </r>
  <r>
    <x v="24"/>
    <x v="117"/>
    <x v="117"/>
    <s v="DOO"/>
    <n v="1"/>
    <s v="Komunalije"/>
    <n v="41"/>
    <n v="37"/>
    <n v="40"/>
    <n v="1546118"/>
    <n v="1538922"/>
    <n v="1647511"/>
    <n v="498633"/>
    <n v="573404"/>
    <n v="596040"/>
    <n v="1047485"/>
    <n v="965518"/>
    <n v="1051471"/>
    <n v="634421"/>
    <n v="686040"/>
    <n v="886025"/>
    <x v="113"/>
    <n v="75806"/>
    <n v="23764"/>
    <n v="49586"/>
    <n v="74770"/>
    <n v="22636"/>
  </r>
  <r>
    <x v="25"/>
    <x v="118"/>
    <x v="118"/>
    <s v="DOO"/>
    <n v="1"/>
    <s v="Saobraćaj"/>
    <n v="4"/>
    <n v="1"/>
    <n v="1"/>
    <n v="8345"/>
    <n v="28625"/>
    <n v="35293"/>
    <n v="-157651"/>
    <n v="-76087"/>
    <n v="28984"/>
    <n v="165996"/>
    <n v="104712"/>
    <n v="6309"/>
    <n v="11925"/>
    <n v="106674"/>
    <n v="130411"/>
    <x v="114"/>
    <n v="81560"/>
    <n v="111195"/>
    <n v="-29589"/>
    <n v="81564"/>
    <n v="105071"/>
  </r>
  <r>
    <x v="26"/>
    <x v="119"/>
    <x v="119"/>
    <s v="DOO"/>
    <n v="0.5"/>
    <s v="Komunalije"/>
    <n v="8"/>
    <n v="10"/>
    <n v="10"/>
    <n v="316620"/>
    <n v="265531"/>
    <n v="290694"/>
    <n v="192799"/>
    <n v="199520"/>
    <n v="232747"/>
    <n v="123821"/>
    <n v="66011"/>
    <n v="57947"/>
    <n v="627430"/>
    <n v="546728"/>
    <n v="616062"/>
    <x v="115"/>
    <n v="8114"/>
    <n v="36648"/>
    <n v="142546"/>
    <n v="6721"/>
    <n v="33227"/>
  </r>
  <r>
    <x v="26"/>
    <x v="120"/>
    <x v="120"/>
    <s v="DOO"/>
    <n v="1"/>
    <s v="Komunalije"/>
    <n v="3"/>
    <n v="2"/>
    <n v="2"/>
    <n v="1080025"/>
    <n v="1055433"/>
    <n v="1033271"/>
    <n v="-996229"/>
    <n v="-1010414"/>
    <n v="-1025102"/>
    <n v="2076254"/>
    <n v="2065847"/>
    <n v="2058373"/>
    <n v="44502"/>
    <n v="48003"/>
    <n v="48000"/>
    <x v="116"/>
    <n v="-12078"/>
    <n v="-12641"/>
    <n v="-42044"/>
    <n v="-14184"/>
    <n v="-14688"/>
  </r>
  <r>
    <x v="26"/>
    <x v="121"/>
    <x v="121"/>
    <s v="AD"/>
    <n v="0.56969999999999998"/>
    <s v="Saobraćaj"/>
    <n v="67"/>
    <n v="67"/>
    <n v="66"/>
    <n v="8045500"/>
    <n v="9252300"/>
    <n v="11437843"/>
    <n v="4024997"/>
    <n v="5309855"/>
    <n v="7192117"/>
    <n v="4020503"/>
    <n v="3942445"/>
    <n v="4245726"/>
    <n v="1100650"/>
    <n v="4165930"/>
    <n v="4825892"/>
    <x v="117"/>
    <n v="1426690"/>
    <n v="1872494"/>
    <n v="-967997"/>
    <n v="1284859"/>
    <n v="1882262"/>
  </r>
  <r>
    <x v="26"/>
    <x v="122"/>
    <x v="122"/>
    <s v="DOO"/>
    <n v="0.5"/>
    <s v="Zaštita životne sredine"/>
    <n v="27"/>
    <n v="27"/>
    <n v="28"/>
    <n v="9215440"/>
    <n v="9498627"/>
    <n v="9599063"/>
    <n v="5297792"/>
    <n v="5804905"/>
    <n v="6144828"/>
    <n v="3917648"/>
    <n v="3693722"/>
    <n v="3454235"/>
    <n v="1569098"/>
    <n v="1599047"/>
    <n v="1731747"/>
    <x v="118"/>
    <n v="500200"/>
    <n v="381008"/>
    <n v="614820"/>
    <n v="504889"/>
    <n v="339923"/>
  </r>
  <r>
    <x v="26"/>
    <x v="123"/>
    <x v="123"/>
    <s v="DOO"/>
    <n v="0.995"/>
    <s v="Drugo (Biznispodrška)"/>
    <n v="9"/>
    <n v="9"/>
    <n v="8"/>
    <n v="16040"/>
    <n v="4895"/>
    <n v="24548"/>
    <n v="-146039"/>
    <n v="-170484"/>
    <n v="-156156"/>
    <n v="162079"/>
    <n v="175379"/>
    <n v="180704"/>
    <n v="70084"/>
    <n v="73898"/>
    <n v="108003"/>
    <x v="119"/>
    <n v="-24445"/>
    <n v="14328"/>
    <n v="-32316"/>
    <n v="-24445"/>
    <n v="143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9B0806-778F-44E5-9048-A8AC020B3BED}" name="PivotTable8" cacheId="0" applyNumberFormats="0" applyBorderFormats="0" applyFontFormats="0" applyPatternFormats="0" applyAlignmentFormats="0" applyWidthHeightFormats="1" dataCaption="Values" grandTotalCaption="UKUPNO" updatedVersion="6" minRefreshableVersion="3" useAutoFormatting="1" itemPrintTitles="1" createdVersion="6" indent="0" outline="1" outlineData="1" multipleFieldFilters="0" rowHeaderCaption="PREDUZEĆA NA LOKALNOM NIVOU PO OPŠTINAMA ">
  <location ref="A2:V154" firstHeaderRow="0" firstDataRow="1" firstDataCol="1"/>
  <pivotFields count="27"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5"/>
        <item x="17"/>
        <item x="18"/>
        <item x="19"/>
        <item x="20"/>
        <item x="21"/>
        <item x="22"/>
        <item x="24"/>
        <item x="23"/>
        <item x="25"/>
        <item x="26"/>
        <item t="default"/>
      </items>
    </pivotField>
    <pivotField axis="axisRow" showAll="0">
      <items count="125">
        <item x="43"/>
        <item x="11"/>
        <item x="79"/>
        <item x="44"/>
        <item x="108"/>
        <item x="59"/>
        <item x="34"/>
        <item x="52"/>
        <item x="80"/>
        <item x="88"/>
        <item x="21"/>
        <item x="22"/>
        <item x="60"/>
        <item x="100"/>
        <item x="12"/>
        <item x="72"/>
        <item x="45"/>
        <item x="77"/>
        <item x="89"/>
        <item x="81"/>
        <item x="46"/>
        <item x="119"/>
        <item x="120"/>
        <item x="38"/>
        <item x="78"/>
        <item x="101"/>
        <item x="47"/>
        <item x="114"/>
        <item x="67"/>
        <item x="109"/>
        <item x="61"/>
        <item x="23"/>
        <item x="68"/>
        <item x="5"/>
        <item x="42"/>
        <item x="69"/>
        <item x="98"/>
        <item x="110"/>
        <item x="58"/>
        <item x="73"/>
        <item x="82"/>
        <item x="18"/>
        <item x="0"/>
        <item x="13"/>
        <item x="24"/>
        <item x="35"/>
        <item x="39"/>
        <item x="53"/>
        <item x="62"/>
        <item x="96"/>
        <item x="102"/>
        <item x="105"/>
        <item x="117"/>
        <item x="57"/>
        <item x="70"/>
        <item x="48"/>
        <item x="55"/>
        <item x="36"/>
        <item x="1"/>
        <item x="9"/>
        <item x="14"/>
        <item x="40"/>
        <item x="63"/>
        <item x="74"/>
        <item x="83"/>
        <item x="93"/>
        <item x="111"/>
        <item x="75"/>
        <item x="10"/>
        <item x="121"/>
        <item x="25"/>
        <item x="26"/>
        <item x="122"/>
        <item x="27"/>
        <item x="99"/>
        <item x="2"/>
        <item x="71"/>
        <item x="28"/>
        <item x="6"/>
        <item x="115"/>
        <item x="15"/>
        <item x="19"/>
        <item x="103"/>
        <item x="49"/>
        <item x="64"/>
        <item x="84"/>
        <item x="112"/>
        <item x="106"/>
        <item x="29"/>
        <item x="90"/>
        <item x="118"/>
        <item x="85"/>
        <item x="123"/>
        <item x="3"/>
        <item x="97"/>
        <item x="37"/>
        <item x="16"/>
        <item x="94"/>
        <item x="50"/>
        <item x="116"/>
        <item x="86"/>
        <item x="30"/>
        <item x="7"/>
        <item x="65"/>
        <item x="87"/>
        <item x="31"/>
        <item x="20"/>
        <item x="76"/>
        <item x="33"/>
        <item x="4"/>
        <item x="8"/>
        <item x="17"/>
        <item x="32"/>
        <item x="41"/>
        <item x="51"/>
        <item x="54"/>
        <item x="66"/>
        <item x="91"/>
        <item x="95"/>
        <item x="104"/>
        <item x="113"/>
        <item x="56"/>
        <item x="107"/>
        <item x="92"/>
        <item t="default"/>
      </items>
    </pivotField>
    <pivotField showAll="0">
      <items count="125">
        <item x="62"/>
        <item x="65"/>
        <item x="9"/>
        <item x="5"/>
        <item x="18"/>
        <item x="20"/>
        <item x="35"/>
        <item x="23"/>
        <item x="32"/>
        <item x="24"/>
        <item x="70"/>
        <item x="57"/>
        <item x="56"/>
        <item x="91"/>
        <item x="80"/>
        <item x="58"/>
        <item x="69"/>
        <item x="33"/>
        <item x="66"/>
        <item x="75"/>
        <item x="47"/>
        <item x="7"/>
        <item x="55"/>
        <item x="121"/>
        <item x="117"/>
        <item x="8"/>
        <item x="72"/>
        <item x="67"/>
        <item x="0"/>
        <item x="16"/>
        <item x="109"/>
        <item x="26"/>
        <item x="50"/>
        <item x="10"/>
        <item x="93"/>
        <item x="40"/>
        <item x="51"/>
        <item x="45"/>
        <item x="48"/>
        <item x="104"/>
        <item x="102"/>
        <item x="31"/>
        <item x="76"/>
        <item x="13"/>
        <item x="17"/>
        <item x="101"/>
        <item x="25"/>
        <item x="28"/>
        <item x="120"/>
        <item x="79"/>
        <item x="89"/>
        <item x="92"/>
        <item x="90"/>
        <item x="82"/>
        <item x="1"/>
        <item x="37"/>
        <item x="30"/>
        <item x="118"/>
        <item x="22"/>
        <item x="60"/>
        <item x="38"/>
        <item x="44"/>
        <item x="94"/>
        <item x="29"/>
        <item x="84"/>
        <item x="85"/>
        <item x="81"/>
        <item x="87"/>
        <item x="98"/>
        <item x="59"/>
        <item x="61"/>
        <item x="73"/>
        <item x="77"/>
        <item x="122"/>
        <item x="78"/>
        <item x="21"/>
        <item x="96"/>
        <item x="95"/>
        <item x="53"/>
        <item x="54"/>
        <item x="86"/>
        <item x="49"/>
        <item x="108"/>
        <item x="39"/>
        <item x="14"/>
        <item x="113"/>
        <item x="110"/>
        <item x="41"/>
        <item x="36"/>
        <item x="46"/>
        <item x="63"/>
        <item x="111"/>
        <item x="74"/>
        <item x="43"/>
        <item x="19"/>
        <item x="4"/>
        <item x="64"/>
        <item x="123"/>
        <item x="15"/>
        <item x="11"/>
        <item x="12"/>
        <item x="71"/>
        <item x="68"/>
        <item x="97"/>
        <item x="88"/>
        <item x="103"/>
        <item x="100"/>
        <item x="42"/>
        <item x="116"/>
        <item x="99"/>
        <item x="2"/>
        <item x="119"/>
        <item x="52"/>
        <item x="3"/>
        <item x="112"/>
        <item x="105"/>
        <item x="27"/>
        <item x="83"/>
        <item x="34"/>
        <item x="106"/>
        <item x="107"/>
        <item x="115"/>
        <item x="114"/>
        <item x="6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>
      <items count="121">
        <item x="117"/>
        <item x="33"/>
        <item x="46"/>
        <item x="65"/>
        <item x="24"/>
        <item x="56"/>
        <item x="0"/>
        <item x="22"/>
        <item x="32"/>
        <item x="8"/>
        <item x="11"/>
        <item x="92"/>
        <item x="2"/>
        <item x="25"/>
        <item x="96"/>
        <item x="39"/>
        <item x="37"/>
        <item x="93"/>
        <item x="14"/>
        <item x="64"/>
        <item x="18"/>
        <item x="16"/>
        <item x="26"/>
        <item x="111"/>
        <item x="95"/>
        <item x="109"/>
        <item x="49"/>
        <item x="116"/>
        <item x="36"/>
        <item x="42"/>
        <item x="19"/>
        <item x="47"/>
        <item x="67"/>
        <item x="119"/>
        <item x="44"/>
        <item x="114"/>
        <item x="73"/>
        <item x="50"/>
        <item x="72"/>
        <item x="15"/>
        <item x="106"/>
        <item x="12"/>
        <item x="52"/>
        <item x="34"/>
        <item x="31"/>
        <item x="13"/>
        <item x="112"/>
        <item x="98"/>
        <item x="63"/>
        <item x="38"/>
        <item x="107"/>
        <item x="55"/>
        <item x="105"/>
        <item x="10"/>
        <item x="1"/>
        <item x="3"/>
        <item x="40"/>
        <item x="82"/>
        <item x="9"/>
        <item x="94"/>
        <item x="60"/>
        <item x="100"/>
        <item x="86"/>
        <item x="20"/>
        <item x="78"/>
        <item x="43"/>
        <item x="27"/>
        <item x="54"/>
        <item x="41"/>
        <item x="99"/>
        <item x="58"/>
        <item x="59"/>
        <item x="69"/>
        <item x="35"/>
        <item x="70"/>
        <item x="81"/>
        <item x="85"/>
        <item x="75"/>
        <item x="29"/>
        <item x="87"/>
        <item x="68"/>
        <item x="7"/>
        <item x="84"/>
        <item x="101"/>
        <item x="66"/>
        <item x="4"/>
        <item x="17"/>
        <item x="30"/>
        <item x="113"/>
        <item x="71"/>
        <item x="48"/>
        <item x="5"/>
        <item x="77"/>
        <item x="97"/>
        <item x="110"/>
        <item x="21"/>
        <item x="102"/>
        <item x="51"/>
        <item x="104"/>
        <item x="62"/>
        <item x="53"/>
        <item x="57"/>
        <item x="23"/>
        <item x="61"/>
        <item x="91"/>
        <item x="74"/>
        <item x="115"/>
        <item x="83"/>
        <item x="103"/>
        <item x="28"/>
        <item x="88"/>
        <item x="79"/>
        <item x="89"/>
        <item x="76"/>
        <item x="45"/>
        <item x="80"/>
        <item x="118"/>
        <item x="108"/>
        <item x="90"/>
        <item x="6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52">
    <i>
      <x/>
    </i>
    <i r="1">
      <x v="42"/>
    </i>
    <i r="1">
      <x v="58"/>
    </i>
    <i r="1">
      <x v="75"/>
    </i>
    <i r="1">
      <x v="93"/>
    </i>
    <i r="1">
      <x v="109"/>
    </i>
    <i>
      <x v="1"/>
    </i>
    <i r="1">
      <x v="33"/>
    </i>
    <i r="1">
      <x v="59"/>
    </i>
    <i r="1">
      <x v="68"/>
    </i>
    <i r="1">
      <x v="78"/>
    </i>
    <i r="1">
      <x v="102"/>
    </i>
    <i r="1">
      <x v="110"/>
    </i>
    <i>
      <x v="2"/>
    </i>
    <i r="1">
      <x v="1"/>
    </i>
    <i r="1">
      <x v="14"/>
    </i>
    <i r="1">
      <x v="43"/>
    </i>
    <i r="1">
      <x v="60"/>
    </i>
    <i r="1">
      <x v="80"/>
    </i>
    <i r="1">
      <x v="96"/>
    </i>
    <i r="1">
      <x v="111"/>
    </i>
    <i>
      <x v="3"/>
    </i>
    <i r="1">
      <x v="41"/>
    </i>
    <i r="1">
      <x v="81"/>
    </i>
    <i r="1">
      <x v="106"/>
    </i>
    <i>
      <x v="4"/>
    </i>
    <i r="1">
      <x v="10"/>
    </i>
    <i r="1">
      <x v="11"/>
    </i>
    <i r="1">
      <x v="31"/>
    </i>
    <i r="1">
      <x v="44"/>
    </i>
    <i r="1">
      <x v="70"/>
    </i>
    <i r="1">
      <x v="71"/>
    </i>
    <i r="1">
      <x v="73"/>
    </i>
    <i r="1">
      <x v="77"/>
    </i>
    <i r="1">
      <x v="88"/>
    </i>
    <i r="1">
      <x v="101"/>
    </i>
    <i r="1">
      <x v="105"/>
    </i>
    <i r="1">
      <x v="112"/>
    </i>
    <i>
      <x v="5"/>
    </i>
    <i r="1">
      <x v="6"/>
    </i>
    <i r="1">
      <x v="45"/>
    </i>
    <i r="1">
      <x v="57"/>
    </i>
    <i r="1">
      <x v="95"/>
    </i>
    <i r="1">
      <x v="108"/>
    </i>
    <i>
      <x v="6"/>
    </i>
    <i r="1">
      <x v="23"/>
    </i>
    <i r="1">
      <x v="46"/>
    </i>
    <i r="1">
      <x v="61"/>
    </i>
    <i r="1">
      <x v="113"/>
    </i>
    <i>
      <x v="7"/>
    </i>
    <i r="1">
      <x v="34"/>
    </i>
    <i>
      <x v="8"/>
    </i>
    <i r="1">
      <x/>
    </i>
    <i r="1">
      <x v="3"/>
    </i>
    <i r="1">
      <x v="7"/>
    </i>
    <i r="1">
      <x v="16"/>
    </i>
    <i r="1">
      <x v="20"/>
    </i>
    <i r="1">
      <x v="26"/>
    </i>
    <i r="1">
      <x v="55"/>
    </i>
    <i r="1">
      <x v="83"/>
    </i>
    <i r="1">
      <x v="98"/>
    </i>
    <i r="1">
      <x v="114"/>
    </i>
    <i>
      <x v="9"/>
    </i>
    <i r="1">
      <x v="47"/>
    </i>
    <i r="1">
      <x v="115"/>
    </i>
    <i>
      <x v="10"/>
    </i>
    <i r="1">
      <x v="53"/>
    </i>
    <i r="1">
      <x v="56"/>
    </i>
    <i r="1">
      <x v="121"/>
    </i>
    <i>
      <x v="11"/>
    </i>
    <i r="1">
      <x v="38"/>
    </i>
    <i>
      <x v="12"/>
    </i>
    <i r="1">
      <x v="5"/>
    </i>
    <i r="1">
      <x v="12"/>
    </i>
    <i r="1">
      <x v="28"/>
    </i>
    <i r="1">
      <x v="30"/>
    </i>
    <i r="1">
      <x v="48"/>
    </i>
    <i r="1">
      <x v="62"/>
    </i>
    <i r="1">
      <x v="84"/>
    </i>
    <i r="1">
      <x v="103"/>
    </i>
    <i r="1">
      <x v="116"/>
    </i>
    <i>
      <x v="13"/>
    </i>
    <i r="1">
      <x v="32"/>
    </i>
    <i>
      <x v="14"/>
    </i>
    <i r="1">
      <x v="35"/>
    </i>
    <i>
      <x v="15"/>
    </i>
    <i r="1">
      <x v="15"/>
    </i>
    <i r="1">
      <x v="17"/>
    </i>
    <i r="1">
      <x v="24"/>
    </i>
    <i r="1">
      <x v="39"/>
    </i>
    <i r="1">
      <x v="63"/>
    </i>
    <i r="1">
      <x v="67"/>
    </i>
    <i r="1">
      <x v="107"/>
    </i>
    <i>
      <x v="16"/>
    </i>
    <i r="1">
      <x v="54"/>
    </i>
    <i r="1">
      <x v="76"/>
    </i>
    <i>
      <x v="17"/>
    </i>
    <i r="1">
      <x v="2"/>
    </i>
    <i r="1">
      <x v="8"/>
    </i>
    <i r="1">
      <x v="9"/>
    </i>
    <i r="1">
      <x v="18"/>
    </i>
    <i r="1">
      <x v="19"/>
    </i>
    <i r="1">
      <x v="40"/>
    </i>
    <i r="1">
      <x v="64"/>
    </i>
    <i r="1">
      <x v="85"/>
    </i>
    <i r="1">
      <x v="89"/>
    </i>
    <i r="1">
      <x v="91"/>
    </i>
    <i r="1">
      <x v="100"/>
    </i>
    <i r="1">
      <x v="104"/>
    </i>
    <i r="1">
      <x v="117"/>
    </i>
    <i r="1">
      <x v="123"/>
    </i>
    <i>
      <x v="18"/>
    </i>
    <i r="1">
      <x v="49"/>
    </i>
    <i r="1">
      <x v="65"/>
    </i>
    <i r="1">
      <x v="94"/>
    </i>
    <i r="1">
      <x v="97"/>
    </i>
    <i r="1">
      <x v="118"/>
    </i>
    <i>
      <x v="19"/>
    </i>
    <i r="1">
      <x v="36"/>
    </i>
    <i r="1">
      <x v="74"/>
    </i>
    <i>
      <x v="20"/>
    </i>
    <i r="1">
      <x v="13"/>
    </i>
    <i r="1">
      <x v="25"/>
    </i>
    <i r="1">
      <x v="50"/>
    </i>
    <i r="1">
      <x v="82"/>
    </i>
    <i r="1">
      <x v="119"/>
    </i>
    <i>
      <x v="21"/>
    </i>
    <i r="1">
      <x v="51"/>
    </i>
    <i r="1">
      <x v="87"/>
    </i>
    <i r="1">
      <x v="122"/>
    </i>
    <i>
      <x v="22"/>
    </i>
    <i r="1">
      <x v="4"/>
    </i>
    <i r="1">
      <x v="29"/>
    </i>
    <i r="1">
      <x v="37"/>
    </i>
    <i r="1">
      <x v="66"/>
    </i>
    <i r="1">
      <x v="86"/>
    </i>
    <i r="1">
      <x v="120"/>
    </i>
    <i>
      <x v="23"/>
    </i>
    <i r="1">
      <x v="52"/>
    </i>
    <i r="1">
      <x v="79"/>
    </i>
    <i r="1">
      <x v="99"/>
    </i>
    <i>
      <x v="24"/>
    </i>
    <i r="1">
      <x v="27"/>
    </i>
    <i>
      <x v="25"/>
    </i>
    <i r="1">
      <x v="90"/>
    </i>
    <i>
      <x v="26"/>
    </i>
    <i r="1">
      <x v="21"/>
    </i>
    <i r="1">
      <x v="22"/>
    </i>
    <i r="1">
      <x v="69"/>
    </i>
    <i r="1">
      <x v="72"/>
    </i>
    <i r="1">
      <x v="92"/>
    </i>
    <i t="grand">
      <x/>
    </i>
  </rowItems>
  <colFields count="1">
    <field x="-2"/>
  </colFields>
  <colItems count="2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</colItems>
  <dataFields count="21">
    <dataField name=" BROJ ZAPOSLENIH 2021" fld="6" baseField="0" baseItem="0"/>
    <dataField name=" BROJ ZAPOSLENIH 2022" fld="7" baseField="0" baseItem="0"/>
    <dataField name=" BROJ ZAPOSLENIH 2023" fld="8" baseField="0" baseItem="0"/>
    <dataField name=" UKUPNA AKTIVA 2021" fld="9" baseField="0" baseItem="0" numFmtId="43"/>
    <dataField name=" UKUPNA AKTIVA 2022" fld="10" baseField="0" baseItem="0" numFmtId="43"/>
    <dataField name=" UKUPNA AKTIVA 2023" fld="11" baseField="0" baseItem="0" numFmtId="43"/>
    <dataField name=" UKUPNI KAPITAL 2021" fld="12" baseField="0" baseItem="0" numFmtId="43"/>
    <dataField name=" UKUPNI KAPITAL 2022" fld="13" baseField="0" baseItem="0" numFmtId="43"/>
    <dataField name=" UKUPNI KAPITAL 2023" fld="14" baseField="0" baseItem="0" numFmtId="43"/>
    <dataField name=" UKUPNE OBAVEZE 2021" fld="15" baseField="0" baseItem="0" numFmtId="43"/>
    <dataField name=" UKUPNE OBAVEZE 2022" fld="16" baseField="0" baseItem="0" numFmtId="43"/>
    <dataField name=" UKUPNE OBAVEZE 2023" fld="17" baseField="0" baseItem="0" numFmtId="43"/>
    <dataField name=" UKUPNI PRIHOD 2021" fld="18" baseField="0" baseItem="0" numFmtId="43"/>
    <dataField name=" UKUPNI PRIHOD 2022" fld="19" baseField="0" baseItem="0" numFmtId="43"/>
    <dataField name=" UKUPNI PRIHOD 2023" fld="20" baseField="0" baseItem="0" numFmtId="43"/>
    <dataField name=" EBIT 2021" fld="21" baseField="0" baseItem="0" numFmtId="43"/>
    <dataField name=" EBIT 2022" fld="22" baseField="0" baseItem="0" numFmtId="43"/>
    <dataField name=" EBIT 2023" fld="23" baseField="0" baseItem="0" numFmtId="43"/>
    <dataField name=" NETO REZULTAT 2021" fld="24" baseField="0" baseItem="0" numFmtId="43"/>
    <dataField name=" NETO REZULTAT 2022" fld="25" baseField="0" baseItem="0" numFmtId="43"/>
    <dataField name=" NETO REZULTAT 2023" fld="26" baseField="0" baseItem="0" numFmtId="43"/>
  </dataFields>
  <formats count="112">
    <format dxfId="111">
      <pivotArea outline="0" collapsedLevelsAreSubtotals="1" fieldPosition="0"/>
    </format>
    <format dxfId="110">
      <pivotArea dataOnly="0" labelOnly="1" fieldPosition="0">
        <references count="1">
          <reference field="0" count="0"/>
        </references>
      </pivotArea>
    </format>
    <format dxfId="109">
      <pivotArea dataOnly="0" labelOnly="1" grandRow="1" outline="0" fieldPosition="0"/>
    </format>
    <format dxfId="108">
      <pivotArea dataOnly="0" labelOnly="1" fieldPosition="0">
        <references count="2">
          <reference field="0" count="1" selected="0">
            <x v="0"/>
          </reference>
          <reference field="1" count="5">
            <x v="42"/>
            <x v="58"/>
            <x v="75"/>
            <x v="93"/>
            <x v="109"/>
          </reference>
        </references>
      </pivotArea>
    </format>
    <format dxfId="107">
      <pivotArea dataOnly="0" labelOnly="1" fieldPosition="0">
        <references count="2">
          <reference field="0" count="1" selected="0">
            <x v="1"/>
          </reference>
          <reference field="1" count="6">
            <x v="33"/>
            <x v="59"/>
            <x v="68"/>
            <x v="78"/>
            <x v="102"/>
            <x v="110"/>
          </reference>
        </references>
      </pivotArea>
    </format>
    <format dxfId="106">
      <pivotArea dataOnly="0" labelOnly="1" fieldPosition="0">
        <references count="2">
          <reference field="0" count="1" selected="0">
            <x v="2"/>
          </reference>
          <reference field="1" count="7">
            <x v="1"/>
            <x v="14"/>
            <x v="43"/>
            <x v="60"/>
            <x v="80"/>
            <x v="96"/>
            <x v="111"/>
          </reference>
        </references>
      </pivotArea>
    </format>
    <format dxfId="105">
      <pivotArea dataOnly="0" labelOnly="1" fieldPosition="0">
        <references count="2">
          <reference field="0" count="1" selected="0">
            <x v="3"/>
          </reference>
          <reference field="1" count="3">
            <x v="41"/>
            <x v="81"/>
            <x v="106"/>
          </reference>
        </references>
      </pivotArea>
    </format>
    <format dxfId="104">
      <pivotArea dataOnly="0" labelOnly="1" fieldPosition="0">
        <references count="2">
          <reference field="0" count="1" selected="0">
            <x v="4"/>
          </reference>
          <reference field="1" count="12">
            <x v="10"/>
            <x v="11"/>
            <x v="31"/>
            <x v="44"/>
            <x v="70"/>
            <x v="71"/>
            <x v="73"/>
            <x v="77"/>
            <x v="88"/>
            <x v="101"/>
            <x v="105"/>
            <x v="112"/>
          </reference>
        </references>
      </pivotArea>
    </format>
    <format dxfId="103">
      <pivotArea dataOnly="0" labelOnly="1" fieldPosition="0">
        <references count="2">
          <reference field="0" count="1" selected="0">
            <x v="5"/>
          </reference>
          <reference field="1" count="5">
            <x v="6"/>
            <x v="45"/>
            <x v="57"/>
            <x v="95"/>
            <x v="108"/>
          </reference>
        </references>
      </pivotArea>
    </format>
    <format dxfId="102">
      <pivotArea dataOnly="0" labelOnly="1" fieldPosition="0">
        <references count="2">
          <reference field="0" count="1" selected="0">
            <x v="6"/>
          </reference>
          <reference field="1" count="4">
            <x v="23"/>
            <x v="46"/>
            <x v="61"/>
            <x v="113"/>
          </reference>
        </references>
      </pivotArea>
    </format>
    <format dxfId="101">
      <pivotArea dataOnly="0" labelOnly="1" fieldPosition="0">
        <references count="2">
          <reference field="0" count="1" selected="0">
            <x v="7"/>
          </reference>
          <reference field="1" count="1">
            <x v="34"/>
          </reference>
        </references>
      </pivotArea>
    </format>
    <format dxfId="100">
      <pivotArea dataOnly="0" labelOnly="1" fieldPosition="0">
        <references count="2">
          <reference field="0" count="1" selected="0">
            <x v="8"/>
          </reference>
          <reference field="1" count="10">
            <x v="0"/>
            <x v="3"/>
            <x v="7"/>
            <x v="16"/>
            <x v="20"/>
            <x v="26"/>
            <x v="55"/>
            <x v="83"/>
            <x v="98"/>
            <x v="114"/>
          </reference>
        </references>
      </pivotArea>
    </format>
    <format dxfId="99">
      <pivotArea dataOnly="0" labelOnly="1" fieldPosition="0">
        <references count="2">
          <reference field="0" count="1" selected="0">
            <x v="9"/>
          </reference>
          <reference field="1" count="2">
            <x v="47"/>
            <x v="115"/>
          </reference>
        </references>
      </pivotArea>
    </format>
    <format dxfId="98">
      <pivotArea dataOnly="0" labelOnly="1" fieldPosition="0">
        <references count="2">
          <reference field="0" count="1" selected="0">
            <x v="10"/>
          </reference>
          <reference field="1" count="3">
            <x v="53"/>
            <x v="56"/>
            <x v="121"/>
          </reference>
        </references>
      </pivotArea>
    </format>
    <format dxfId="97">
      <pivotArea dataOnly="0" labelOnly="1" fieldPosition="0">
        <references count="2">
          <reference field="0" count="1" selected="0">
            <x v="11"/>
          </reference>
          <reference field="1" count="1">
            <x v="38"/>
          </reference>
        </references>
      </pivotArea>
    </format>
    <format dxfId="96">
      <pivotArea dataOnly="0" labelOnly="1" fieldPosition="0">
        <references count="2">
          <reference field="0" count="1" selected="0">
            <x v="12"/>
          </reference>
          <reference field="1" count="9">
            <x v="5"/>
            <x v="12"/>
            <x v="28"/>
            <x v="30"/>
            <x v="48"/>
            <x v="62"/>
            <x v="84"/>
            <x v="103"/>
            <x v="116"/>
          </reference>
        </references>
      </pivotArea>
    </format>
    <format dxfId="95">
      <pivotArea dataOnly="0" labelOnly="1" fieldPosition="0">
        <references count="2">
          <reference field="0" count="1" selected="0">
            <x v="13"/>
          </reference>
          <reference field="1" count="1">
            <x v="32"/>
          </reference>
        </references>
      </pivotArea>
    </format>
    <format dxfId="94">
      <pivotArea dataOnly="0" labelOnly="1" fieldPosition="0">
        <references count="2">
          <reference field="0" count="1" selected="0">
            <x v="14"/>
          </reference>
          <reference field="1" count="1">
            <x v="35"/>
          </reference>
        </references>
      </pivotArea>
    </format>
    <format dxfId="93">
      <pivotArea dataOnly="0" labelOnly="1" fieldPosition="0">
        <references count="2">
          <reference field="0" count="1" selected="0">
            <x v="15"/>
          </reference>
          <reference field="1" count="7">
            <x v="15"/>
            <x v="17"/>
            <x v="24"/>
            <x v="39"/>
            <x v="63"/>
            <x v="67"/>
            <x v="107"/>
          </reference>
        </references>
      </pivotArea>
    </format>
    <format dxfId="92">
      <pivotArea dataOnly="0" labelOnly="1" fieldPosition="0">
        <references count="2">
          <reference field="0" count="1" selected="0">
            <x v="16"/>
          </reference>
          <reference field="1" count="2">
            <x v="54"/>
            <x v="76"/>
          </reference>
        </references>
      </pivotArea>
    </format>
    <format dxfId="91">
      <pivotArea dataOnly="0" labelOnly="1" fieldPosition="0">
        <references count="2">
          <reference field="0" count="1" selected="0">
            <x v="17"/>
          </reference>
          <reference field="1" count="14">
            <x v="2"/>
            <x v="8"/>
            <x v="9"/>
            <x v="18"/>
            <x v="19"/>
            <x v="40"/>
            <x v="64"/>
            <x v="85"/>
            <x v="89"/>
            <x v="91"/>
            <x v="100"/>
            <x v="104"/>
            <x v="117"/>
            <x v="123"/>
          </reference>
        </references>
      </pivotArea>
    </format>
    <format dxfId="90">
      <pivotArea dataOnly="0" labelOnly="1" fieldPosition="0">
        <references count="2">
          <reference field="0" count="1" selected="0">
            <x v="18"/>
          </reference>
          <reference field="1" count="5">
            <x v="49"/>
            <x v="65"/>
            <x v="94"/>
            <x v="97"/>
            <x v="118"/>
          </reference>
        </references>
      </pivotArea>
    </format>
    <format dxfId="89">
      <pivotArea dataOnly="0" labelOnly="1" fieldPosition="0">
        <references count="2">
          <reference field="0" count="1" selected="0">
            <x v="19"/>
          </reference>
          <reference field="1" count="2">
            <x v="36"/>
            <x v="74"/>
          </reference>
        </references>
      </pivotArea>
    </format>
    <format dxfId="88">
      <pivotArea dataOnly="0" labelOnly="1" fieldPosition="0">
        <references count="2">
          <reference field="0" count="1" selected="0">
            <x v="20"/>
          </reference>
          <reference field="1" count="5">
            <x v="13"/>
            <x v="25"/>
            <x v="50"/>
            <x v="82"/>
            <x v="119"/>
          </reference>
        </references>
      </pivotArea>
    </format>
    <format dxfId="87">
      <pivotArea dataOnly="0" labelOnly="1" fieldPosition="0">
        <references count="2">
          <reference field="0" count="1" selected="0">
            <x v="21"/>
          </reference>
          <reference field="1" count="3">
            <x v="51"/>
            <x v="87"/>
            <x v="122"/>
          </reference>
        </references>
      </pivotArea>
    </format>
    <format dxfId="86">
      <pivotArea dataOnly="0" labelOnly="1" fieldPosition="0">
        <references count="2">
          <reference field="0" count="1" selected="0">
            <x v="22"/>
          </reference>
          <reference field="1" count="6">
            <x v="4"/>
            <x v="29"/>
            <x v="37"/>
            <x v="66"/>
            <x v="86"/>
            <x v="120"/>
          </reference>
        </references>
      </pivotArea>
    </format>
    <format dxfId="85">
      <pivotArea dataOnly="0" labelOnly="1" fieldPosition="0">
        <references count="2">
          <reference field="0" count="1" selected="0">
            <x v="23"/>
          </reference>
          <reference field="1" count="3">
            <x v="52"/>
            <x v="79"/>
            <x v="99"/>
          </reference>
        </references>
      </pivotArea>
    </format>
    <format dxfId="84">
      <pivotArea dataOnly="0" labelOnly="1" fieldPosition="0">
        <references count="2">
          <reference field="0" count="1" selected="0">
            <x v="24"/>
          </reference>
          <reference field="1" count="1">
            <x v="27"/>
          </reference>
        </references>
      </pivotArea>
    </format>
    <format dxfId="83">
      <pivotArea dataOnly="0" labelOnly="1" fieldPosition="0">
        <references count="2">
          <reference field="0" count="1" selected="0">
            <x v="25"/>
          </reference>
          <reference field="1" count="1">
            <x v="90"/>
          </reference>
        </references>
      </pivotArea>
    </format>
    <format dxfId="82">
      <pivotArea dataOnly="0" labelOnly="1" fieldPosition="0">
        <references count="2">
          <reference field="0" count="1" selected="0">
            <x v="26"/>
          </reference>
          <reference field="1" count="5">
            <x v="21"/>
            <x v="22"/>
            <x v="69"/>
            <x v="72"/>
            <x v="92"/>
          </reference>
        </references>
      </pivotArea>
    </format>
    <format dxfId="81">
      <pivotArea outline="0" collapsedLevelsAreSubtotals="1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80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79">
      <pivotArea outline="0" collapsedLevelsAreSubtotals="1" fieldPosition="0">
        <references count="1">
          <reference field="4294967294" count="12" selected="0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8">
      <pivotArea grandRow="1" outline="0" collapsedLevelsAreSubtotals="1" fieldPosition="0"/>
    </format>
    <format dxfId="77">
      <pivotArea dataOnly="0" labelOnly="1" grandRow="1" outline="0" fieldPosition="0"/>
    </format>
    <format dxfId="76">
      <pivotArea dataOnly="0" labelOnly="1" outline="0" fieldPosition="0">
        <references count="1">
          <reference field="4294967294" count="2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5">
      <pivotArea dataOnly="0" labelOnly="1" outline="0" fieldPosition="0">
        <references count="1">
          <reference field="4294967294" count="2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4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2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0">
      <pivotArea outline="0" collapsedLevelsAreSubtotals="1" fieldPosition="0">
        <references count="1">
          <reference field="4294967294" count="3" selected="0">
            <x v="3"/>
            <x v="4"/>
            <x v="5"/>
          </reference>
        </references>
      </pivotArea>
    </format>
    <format dxfId="69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68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67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66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65">
      <pivotArea outline="0" collapsedLevelsAreSubtotals="1" fieldPosition="0">
        <references count="1">
          <reference field="4294967294" count="3" selected="0">
            <x v="9"/>
            <x v="10"/>
            <x v="11"/>
          </reference>
        </references>
      </pivotArea>
    </format>
    <format dxfId="64">
      <pivotArea dataOnly="0" labelOnly="1" outline="0" fieldPosition="0">
        <references count="1">
          <reference field="4294967294" count="3">
            <x v="9"/>
            <x v="10"/>
            <x v="11"/>
          </reference>
        </references>
      </pivotArea>
    </format>
    <format dxfId="63">
      <pivotArea dataOnly="0" outline="0" fieldPosition="0">
        <references count="1">
          <reference field="4294967294" count="3">
            <x v="12"/>
            <x v="13"/>
            <x v="14"/>
          </reference>
        </references>
      </pivotArea>
    </format>
    <format dxfId="62">
      <pivotArea dataOnly="0" outline="0" fieldPosition="0">
        <references count="1">
          <reference field="4294967294" count="3">
            <x v="12"/>
            <x v="13"/>
            <x v="14"/>
          </reference>
        </references>
      </pivotArea>
    </format>
    <format dxfId="61">
      <pivotArea outline="0" collapsedLevelsAreSubtotals="1" fieldPosition="0">
        <references count="1">
          <reference field="4294967294" count="3" selected="0">
            <x v="15"/>
            <x v="16"/>
            <x v="17"/>
          </reference>
        </references>
      </pivotArea>
    </format>
    <format dxfId="60">
      <pivotArea dataOnly="0" labelOnly="1" outline="0" fieldPosition="0">
        <references count="1">
          <reference field="4294967294" count="3">
            <x v="15"/>
            <x v="16"/>
            <x v="17"/>
          </reference>
        </references>
      </pivotArea>
    </format>
    <format dxfId="59">
      <pivotArea outline="0" collapsedLevelsAreSubtotals="1" fieldPosition="0">
        <references count="1">
          <reference field="4294967294" count="3" selected="0">
            <x v="18"/>
            <x v="19"/>
            <x v="20"/>
          </reference>
        </references>
      </pivotArea>
    </format>
    <format dxfId="58">
      <pivotArea dataOnly="0" labelOnly="1" outline="0" fieldPosition="0">
        <references count="1">
          <reference field="4294967294" count="3">
            <x v="18"/>
            <x v="19"/>
            <x v="20"/>
          </reference>
        </references>
      </pivotArea>
    </format>
    <format dxfId="57">
      <pivotArea dataOnly="0" labelOnly="1" outline="0" fieldPosition="0">
        <references count="1">
          <reference field="4294967294" count="3">
            <x v="18"/>
            <x v="19"/>
            <x v="20"/>
          </reference>
        </references>
      </pivotArea>
    </format>
    <format dxfId="56">
      <pivotArea dataOnly="0" labelOnly="1" outline="0" fieldPosition="0">
        <references count="1">
          <reference field="4294967294" count="9"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55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54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53">
      <pivotArea outline="0" collapsedLevelsAreSubtotals="1" fieldPosition="0">
        <references count="1">
          <reference field="4294967294" count="3" selected="0">
            <x v="12"/>
            <x v="13"/>
            <x v="14"/>
          </reference>
        </references>
      </pivotArea>
    </format>
    <format dxfId="52">
      <pivotArea outline="0" collapsedLevelsAreSubtotals="1" fieldPosition="0">
        <references count="1">
          <reference field="4294967294" count="3" selected="0">
            <x v="18"/>
            <x v="19"/>
            <x v="20"/>
          </reference>
        </references>
      </pivotArea>
    </format>
    <format dxfId="51">
      <pivotArea collapsedLevelsAreSubtotals="1" fieldPosition="0">
        <references count="1">
          <reference field="0" count="1">
            <x v="0"/>
          </reference>
        </references>
      </pivotArea>
    </format>
    <format dxfId="50">
      <pivotArea dataOnly="0" labelOnly="1" fieldPosition="0">
        <references count="1">
          <reference field="0" count="1">
            <x v="0"/>
          </reference>
        </references>
      </pivotArea>
    </format>
    <format dxfId="49">
      <pivotArea collapsedLevelsAreSubtotals="1" fieldPosition="0">
        <references count="1">
          <reference field="0" count="1">
            <x v="1"/>
          </reference>
        </references>
      </pivotArea>
    </format>
    <format dxfId="48">
      <pivotArea dataOnly="0" labelOnly="1" fieldPosition="0">
        <references count="1">
          <reference field="0" count="1">
            <x v="1"/>
          </reference>
        </references>
      </pivotArea>
    </format>
    <format dxfId="47">
      <pivotArea collapsedLevelsAreSubtotals="1" fieldPosition="0">
        <references count="1">
          <reference field="0" count="1">
            <x v="2"/>
          </reference>
        </references>
      </pivotArea>
    </format>
    <format dxfId="46">
      <pivotArea dataOnly="0" labelOnly="1" fieldPosition="0">
        <references count="1">
          <reference field="0" count="1">
            <x v="2"/>
          </reference>
        </references>
      </pivotArea>
    </format>
    <format dxfId="45">
      <pivotArea collapsedLevelsAreSubtotals="1" fieldPosition="0">
        <references count="1">
          <reference field="0" count="1">
            <x v="3"/>
          </reference>
        </references>
      </pivotArea>
    </format>
    <format dxfId="44">
      <pivotArea dataOnly="0" labelOnly="1" fieldPosition="0">
        <references count="1">
          <reference field="0" count="1">
            <x v="3"/>
          </reference>
        </references>
      </pivotArea>
    </format>
    <format dxfId="43">
      <pivotArea collapsedLevelsAreSubtotals="1" fieldPosition="0">
        <references count="1">
          <reference field="0" count="1">
            <x v="4"/>
          </reference>
        </references>
      </pivotArea>
    </format>
    <format dxfId="42">
      <pivotArea dataOnly="0" labelOnly="1" fieldPosition="0">
        <references count="1">
          <reference field="0" count="1">
            <x v="4"/>
          </reference>
        </references>
      </pivotArea>
    </format>
    <format dxfId="41">
      <pivotArea collapsedLevelsAreSubtotals="1" fieldPosition="0">
        <references count="1">
          <reference field="0" count="1">
            <x v="5"/>
          </reference>
        </references>
      </pivotArea>
    </format>
    <format dxfId="40">
      <pivotArea dataOnly="0" labelOnly="1" fieldPosition="0">
        <references count="1">
          <reference field="0" count="1">
            <x v="5"/>
          </reference>
        </references>
      </pivotArea>
    </format>
    <format dxfId="39">
      <pivotArea collapsedLevelsAreSubtotals="1" fieldPosition="0">
        <references count="1">
          <reference field="0" count="1">
            <x v="6"/>
          </reference>
        </references>
      </pivotArea>
    </format>
    <format dxfId="38">
      <pivotArea dataOnly="0" labelOnly="1" fieldPosition="0">
        <references count="1">
          <reference field="0" count="1">
            <x v="6"/>
          </reference>
        </references>
      </pivotArea>
    </format>
    <format dxfId="37">
      <pivotArea collapsedLevelsAreSubtotals="1" fieldPosition="0">
        <references count="1">
          <reference field="0" count="1">
            <x v="7"/>
          </reference>
        </references>
      </pivotArea>
    </format>
    <format dxfId="36">
      <pivotArea dataOnly="0" labelOnly="1" fieldPosition="0">
        <references count="1">
          <reference field="0" count="1">
            <x v="7"/>
          </reference>
        </references>
      </pivotArea>
    </format>
    <format dxfId="35">
      <pivotArea collapsedLevelsAreSubtotals="1" fieldPosition="0">
        <references count="1">
          <reference field="0" count="1">
            <x v="8"/>
          </reference>
        </references>
      </pivotArea>
    </format>
    <format dxfId="34">
      <pivotArea dataOnly="0" labelOnly="1" fieldPosition="0">
        <references count="1">
          <reference field="0" count="1">
            <x v="8"/>
          </reference>
        </references>
      </pivotArea>
    </format>
    <format dxfId="33">
      <pivotArea collapsedLevelsAreSubtotals="1" fieldPosition="0">
        <references count="1">
          <reference field="0" count="1">
            <x v="9"/>
          </reference>
        </references>
      </pivotArea>
    </format>
    <format dxfId="32">
      <pivotArea dataOnly="0" labelOnly="1" fieldPosition="0">
        <references count="1">
          <reference field="0" count="1">
            <x v="9"/>
          </reference>
        </references>
      </pivotArea>
    </format>
    <format dxfId="31">
      <pivotArea collapsedLevelsAreSubtotals="1" fieldPosition="0">
        <references count="1">
          <reference field="0" count="1">
            <x v="10"/>
          </reference>
        </references>
      </pivotArea>
    </format>
    <format dxfId="30">
      <pivotArea dataOnly="0" labelOnly="1" fieldPosition="0">
        <references count="1">
          <reference field="0" count="1">
            <x v="10"/>
          </reference>
        </references>
      </pivotArea>
    </format>
    <format dxfId="29">
      <pivotArea collapsedLevelsAreSubtotals="1" fieldPosition="0">
        <references count="1">
          <reference field="0" count="1">
            <x v="13"/>
          </reference>
        </references>
      </pivotArea>
    </format>
    <format dxfId="28">
      <pivotArea dataOnly="0" labelOnly="1" fieldPosition="0">
        <references count="1">
          <reference field="0" count="1">
            <x v="13"/>
          </reference>
        </references>
      </pivotArea>
    </format>
    <format dxfId="27">
      <pivotArea collapsedLevelsAreSubtotals="1" fieldPosition="0">
        <references count="1">
          <reference field="0" count="1">
            <x v="14"/>
          </reference>
        </references>
      </pivotArea>
    </format>
    <format dxfId="26">
      <pivotArea dataOnly="0" labelOnly="1" fieldPosition="0">
        <references count="1">
          <reference field="0" count="1">
            <x v="14"/>
          </reference>
        </references>
      </pivotArea>
    </format>
    <format dxfId="25">
      <pivotArea collapsedLevelsAreSubtotals="1" fieldPosition="0">
        <references count="1">
          <reference field="0" count="1">
            <x v="15"/>
          </reference>
        </references>
      </pivotArea>
    </format>
    <format dxfId="24">
      <pivotArea dataOnly="0" labelOnly="1" fieldPosition="0">
        <references count="1">
          <reference field="0" count="1">
            <x v="15"/>
          </reference>
        </references>
      </pivotArea>
    </format>
    <format dxfId="23">
      <pivotArea collapsedLevelsAreSubtotals="1" fieldPosition="0">
        <references count="1">
          <reference field="0" count="1">
            <x v="16"/>
          </reference>
        </references>
      </pivotArea>
    </format>
    <format dxfId="22">
      <pivotArea dataOnly="0" labelOnly="1" fieldPosition="0">
        <references count="1">
          <reference field="0" count="1">
            <x v="16"/>
          </reference>
        </references>
      </pivotArea>
    </format>
    <format dxfId="21">
      <pivotArea collapsedLevelsAreSubtotals="1" fieldPosition="0">
        <references count="1">
          <reference field="0" count="1">
            <x v="17"/>
          </reference>
        </references>
      </pivotArea>
    </format>
    <format dxfId="20">
      <pivotArea dataOnly="0" labelOnly="1" fieldPosition="0">
        <references count="1">
          <reference field="0" count="1">
            <x v="17"/>
          </reference>
        </references>
      </pivotArea>
    </format>
    <format dxfId="19">
      <pivotArea collapsedLevelsAreSubtotals="1" fieldPosition="0">
        <references count="1">
          <reference field="0" count="1">
            <x v="18"/>
          </reference>
        </references>
      </pivotArea>
    </format>
    <format dxfId="18">
      <pivotArea dataOnly="0" labelOnly="1" fieldPosition="0">
        <references count="1">
          <reference field="0" count="1">
            <x v="18"/>
          </reference>
        </references>
      </pivotArea>
    </format>
    <format dxfId="17">
      <pivotArea collapsedLevelsAreSubtotals="1" fieldPosition="0">
        <references count="1">
          <reference field="0" count="1">
            <x v="19"/>
          </reference>
        </references>
      </pivotArea>
    </format>
    <format dxfId="16">
      <pivotArea dataOnly="0" labelOnly="1" fieldPosition="0">
        <references count="1">
          <reference field="0" count="1">
            <x v="19"/>
          </reference>
        </references>
      </pivotArea>
    </format>
    <format dxfId="15">
      <pivotArea collapsedLevelsAreSubtotals="1" fieldPosition="0">
        <references count="1">
          <reference field="0" count="1">
            <x v="20"/>
          </reference>
        </references>
      </pivotArea>
    </format>
    <format dxfId="14">
      <pivotArea dataOnly="0" labelOnly="1" fieldPosition="0">
        <references count="1">
          <reference field="0" count="1">
            <x v="20"/>
          </reference>
        </references>
      </pivotArea>
    </format>
    <format dxfId="13">
      <pivotArea collapsedLevelsAreSubtotals="1" fieldPosition="0">
        <references count="1">
          <reference field="0" count="1">
            <x v="21"/>
          </reference>
        </references>
      </pivotArea>
    </format>
    <format dxfId="12">
      <pivotArea dataOnly="0" labelOnly="1" fieldPosition="0">
        <references count="1">
          <reference field="0" count="1">
            <x v="21"/>
          </reference>
        </references>
      </pivotArea>
    </format>
    <format dxfId="11">
      <pivotArea dataOnly="0" fieldPosition="0">
        <references count="1">
          <reference field="0" count="1">
            <x v="22"/>
          </reference>
        </references>
      </pivotArea>
    </format>
    <format dxfId="10">
      <pivotArea dataOnly="0" fieldPosition="0">
        <references count="1">
          <reference field="0" count="1">
            <x v="23"/>
          </reference>
        </references>
      </pivotArea>
    </format>
    <format dxfId="9">
      <pivotArea dataOnly="0" fieldPosition="0">
        <references count="1">
          <reference field="0" count="1">
            <x v="24"/>
          </reference>
        </references>
      </pivotArea>
    </format>
    <format dxfId="8">
      <pivotArea dataOnly="0" fieldPosition="0">
        <references count="1">
          <reference field="0" count="1">
            <x v="25"/>
          </reference>
        </references>
      </pivotArea>
    </format>
    <format dxfId="7">
      <pivotArea dataOnly="0" fieldPosition="0">
        <references count="1">
          <reference field="0" count="1">
            <x v="26"/>
          </reference>
        </references>
      </pivotArea>
    </format>
    <format dxfId="6">
      <pivotArea dataOnly="0" grandRow="1" fieldPosition="0"/>
    </format>
    <format dxfId="5">
      <pivotArea dataOnly="0" labelOnly="1" fieldPosition="0">
        <references count="2">
          <reference field="0" count="1" selected="0">
            <x v="0"/>
          </reference>
          <reference field="1" count="5">
            <x v="42"/>
            <x v="58"/>
            <x v="75"/>
            <x v="93"/>
            <x v="109"/>
          </reference>
        </references>
      </pivotArea>
    </format>
    <format dxfId="4">
      <pivotArea dataOnly="0" labelOnly="1" fieldPosition="0">
        <references count="2">
          <reference field="0" count="1" selected="0">
            <x v="8"/>
          </reference>
          <reference field="1" count="10">
            <x v="0"/>
            <x v="3"/>
            <x v="7"/>
            <x v="16"/>
            <x v="20"/>
            <x v="26"/>
            <x v="55"/>
            <x v="83"/>
            <x v="98"/>
            <x v="114"/>
          </reference>
        </references>
      </pivotArea>
    </format>
    <format dxfId="3">
      <pivotArea dataOnly="0" labelOnly="1" fieldPosition="0">
        <references count="2">
          <reference field="0" count="1" selected="0">
            <x v="17"/>
          </reference>
          <reference field="1" count="13">
            <x v="2"/>
            <x v="8"/>
            <x v="9"/>
            <x v="18"/>
            <x v="19"/>
            <x v="40"/>
            <x v="64"/>
            <x v="85"/>
            <x v="89"/>
            <x v="91"/>
            <x v="100"/>
            <x v="104"/>
            <x v="117"/>
          </reference>
        </references>
      </pivotArea>
    </format>
    <format dxfId="2">
      <pivotArea dataOnly="0" labelOnly="1" fieldPosition="0">
        <references count="2">
          <reference field="0" count="1" selected="0">
            <x v="26"/>
          </reference>
          <reference field="1" count="5">
            <x v="21"/>
            <x v="22"/>
            <x v="69"/>
            <x v="72"/>
            <x v="92"/>
          </reference>
        </references>
      </pivotArea>
    </format>
    <format dxfId="1">
      <pivotArea collapsedLevelsAreSubtotals="1" fieldPosition="0">
        <references count="2">
          <reference field="4294967294" count="9" selected="0">
            <x v="0"/>
            <x v="1"/>
            <x v="2"/>
            <x v="3"/>
            <x v="4"/>
            <x v="5"/>
            <x v="6"/>
            <x v="7"/>
            <x v="8"/>
          </reference>
          <reference field="0" count="1">
            <x v="11"/>
          </reference>
        </references>
      </pivotArea>
    </format>
    <format dxfId="0">
      <pivotArea dataOnly="0" fieldPosition="0">
        <references count="1">
          <reference field="0" count="1">
            <x v="1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2D1A-5AE5-0545-A383-6D3A031A598E}">
  <sheetPr>
    <tabColor rgb="FF0432FF"/>
  </sheetPr>
  <dimension ref="A1:EI135"/>
  <sheetViews>
    <sheetView tabSelected="1" zoomScale="67" zoomScaleNormal="67" workbookViewId="0">
      <pane xSplit="4" ySplit="2" topLeftCell="K3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ColWidth="11.42578125" defaultRowHeight="15" x14ac:dyDescent="0.25"/>
  <cols>
    <col min="2" max="2" width="30" customWidth="1"/>
    <col min="3" max="3" width="65.85546875" style="2" customWidth="1"/>
    <col min="4" max="4" width="10" bestFit="1" customWidth="1"/>
    <col min="5" max="5" width="18" customWidth="1"/>
    <col min="6" max="6" width="10.42578125" bestFit="1" customWidth="1"/>
    <col min="7" max="7" width="21.42578125" style="1" bestFit="1" customWidth="1"/>
    <col min="8" max="9" width="12.5703125" style="1" bestFit="1" customWidth="1"/>
    <col min="10" max="10" width="12.5703125" style="2" bestFit="1" customWidth="1"/>
    <col min="11" max="11" width="19.28515625" style="2" bestFit="1" customWidth="1"/>
    <col min="12" max="13" width="19.28515625" style="1" bestFit="1" customWidth="1"/>
    <col min="14" max="14" width="18.85546875" style="4" bestFit="1" customWidth="1"/>
    <col min="15" max="15" width="19.28515625" style="3" bestFit="1" customWidth="1"/>
    <col min="16" max="16" width="18.85546875" style="3" bestFit="1" customWidth="1"/>
    <col min="17" max="19" width="19.28515625" style="3" bestFit="1" customWidth="1"/>
    <col min="20" max="20" width="18" style="5" bestFit="1" customWidth="1"/>
    <col min="21" max="21" width="18.85546875" style="1" bestFit="1" customWidth="1"/>
    <col min="22" max="22" width="18.42578125" style="21" bestFit="1" customWidth="1"/>
    <col min="23" max="23" width="15.85546875" style="2" customWidth="1"/>
    <col min="24" max="24" width="17.5703125" style="2" bestFit="1" customWidth="1"/>
    <col min="25" max="25" width="17.5703125" style="1" bestFit="1" customWidth="1"/>
    <col min="26" max="26" width="17.5703125" style="24" bestFit="1" customWidth="1"/>
    <col min="27" max="27" width="17.5703125" style="23" bestFit="1" customWidth="1"/>
    <col min="28" max="28" width="18" style="22" bestFit="1" customWidth="1"/>
    <col min="29" max="29" width="16.85546875" hidden="1" customWidth="1"/>
    <col min="30" max="30" width="14.5703125" hidden="1" customWidth="1"/>
    <col min="31" max="31" width="0.5703125" hidden="1" customWidth="1"/>
    <col min="32" max="45" width="15.42578125" hidden="1" customWidth="1"/>
    <col min="46" max="46" width="0.140625" hidden="1" customWidth="1"/>
    <col min="47" max="50" width="15.42578125" hidden="1" customWidth="1"/>
    <col min="51" max="51" width="0.5703125" hidden="1" customWidth="1"/>
    <col min="52" max="69" width="15.42578125" hidden="1" customWidth="1"/>
    <col min="70" max="70" width="15.28515625" hidden="1" customWidth="1"/>
    <col min="71" max="71" width="0.140625" hidden="1" customWidth="1"/>
    <col min="72" max="77" width="15.42578125" hidden="1" customWidth="1"/>
    <col min="78" max="80" width="15.42578125" customWidth="1"/>
    <col min="81" max="81" width="0.28515625" customWidth="1"/>
    <col min="82" max="85" width="15.42578125" hidden="1" customWidth="1"/>
    <col min="86" max="86" width="0.42578125" customWidth="1"/>
    <col min="87" max="87" width="15.42578125" hidden="1" customWidth="1"/>
    <col min="88" max="91" width="15.42578125" customWidth="1"/>
    <col min="92" max="92" width="1" customWidth="1"/>
    <col min="93" max="93" width="12.140625" hidden="1" customWidth="1"/>
    <col min="94" max="98" width="15.42578125" hidden="1" customWidth="1"/>
    <col min="99" max="99" width="0.28515625" hidden="1" customWidth="1"/>
    <col min="100" max="105" width="15.42578125" hidden="1" customWidth="1"/>
    <col min="106" max="106" width="11" customWidth="1"/>
  </cols>
  <sheetData>
    <row r="1" spans="1:139" s="19" customFormat="1" ht="22.5" customHeight="1" x14ac:dyDescent="0.25">
      <c r="A1" s="227" t="s">
        <v>312</v>
      </c>
      <c r="B1" s="227" t="s">
        <v>289</v>
      </c>
      <c r="C1" s="227" t="s">
        <v>290</v>
      </c>
      <c r="D1" s="228" t="s">
        <v>252</v>
      </c>
      <c r="E1" s="228" t="s">
        <v>286</v>
      </c>
      <c r="F1" s="227" t="s">
        <v>4</v>
      </c>
      <c r="G1" s="229" t="s">
        <v>3</v>
      </c>
      <c r="H1" s="220" t="s">
        <v>253</v>
      </c>
      <c r="I1" s="221"/>
      <c r="J1" s="222"/>
      <c r="K1" s="217" t="s">
        <v>254</v>
      </c>
      <c r="L1" s="218"/>
      <c r="M1" s="219"/>
      <c r="N1" s="220" t="s">
        <v>255</v>
      </c>
      <c r="O1" s="221"/>
      <c r="P1" s="222"/>
      <c r="Q1" s="217" t="s">
        <v>256</v>
      </c>
      <c r="R1" s="218"/>
      <c r="S1" s="219"/>
      <c r="T1" s="217" t="s">
        <v>292</v>
      </c>
      <c r="U1" s="218"/>
      <c r="V1" s="219"/>
      <c r="W1" s="217" t="s">
        <v>291</v>
      </c>
      <c r="X1" s="218"/>
      <c r="Y1" s="219"/>
      <c r="Z1" s="217" t="s">
        <v>293</v>
      </c>
      <c r="AA1" s="218"/>
      <c r="AB1" s="219"/>
      <c r="AC1" s="17"/>
      <c r="AD1" s="17"/>
      <c r="AE1" s="20"/>
      <c r="AF1" s="3"/>
      <c r="AG1" s="17"/>
      <c r="AH1" s="17"/>
      <c r="AI1" s="17"/>
      <c r="AJ1" s="3" t="s">
        <v>255</v>
      </c>
      <c r="AK1" s="3"/>
      <c r="AL1" s="17"/>
      <c r="AM1" s="17"/>
      <c r="AN1" s="17"/>
      <c r="AO1" s="3"/>
      <c r="AP1" s="3"/>
      <c r="AQ1" s="20"/>
      <c r="AR1" s="20"/>
      <c r="AS1" s="20"/>
      <c r="AT1" s="224"/>
      <c r="AU1" s="225"/>
      <c r="AV1" s="225"/>
      <c r="AW1" s="225"/>
      <c r="AX1" s="225"/>
      <c r="AY1" s="224"/>
      <c r="AZ1" s="225"/>
      <c r="BA1" s="225"/>
      <c r="BB1" s="225"/>
      <c r="BC1" s="225"/>
      <c r="BD1" s="3" t="s">
        <v>257</v>
      </c>
      <c r="BE1" s="3"/>
      <c r="BF1" s="20"/>
      <c r="BG1" s="20"/>
      <c r="BH1" s="20"/>
      <c r="BI1" s="225" t="s">
        <v>258</v>
      </c>
      <c r="BJ1" s="225"/>
      <c r="BK1" s="225"/>
      <c r="BL1" s="225"/>
      <c r="BM1" s="225"/>
      <c r="BN1" s="225" t="s">
        <v>259</v>
      </c>
      <c r="BO1" s="225"/>
      <c r="BP1" s="225"/>
      <c r="BQ1" s="225"/>
      <c r="BR1" s="225"/>
      <c r="BS1" s="225"/>
      <c r="BT1" s="225"/>
      <c r="BU1" s="225"/>
      <c r="BV1" s="225"/>
      <c r="BW1" s="225"/>
      <c r="BX1" s="3" t="s">
        <v>2</v>
      </c>
      <c r="BY1" s="3"/>
      <c r="BZ1" s="31"/>
      <c r="CA1" s="31"/>
      <c r="CB1" s="31"/>
      <c r="CC1" s="226"/>
      <c r="CD1" s="226"/>
      <c r="CE1" s="226"/>
      <c r="CF1" s="226"/>
      <c r="CG1" s="226"/>
      <c r="CH1" s="31"/>
      <c r="CI1" s="32"/>
      <c r="CJ1" s="31"/>
      <c r="CK1" s="31"/>
      <c r="CL1" s="31"/>
      <c r="CM1" s="226"/>
      <c r="CN1" s="226"/>
      <c r="CO1" s="226"/>
      <c r="CP1" s="226"/>
      <c r="CQ1" s="226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33"/>
      <c r="DC1" s="33"/>
      <c r="DD1" s="33"/>
      <c r="DE1" s="33"/>
      <c r="DF1" s="33"/>
      <c r="DG1" s="33"/>
      <c r="DH1" s="33"/>
      <c r="DI1" s="33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</row>
    <row r="2" spans="1:139" s="18" customFormat="1" ht="48" customHeight="1" thickBot="1" x14ac:dyDescent="0.3">
      <c r="A2" s="228"/>
      <c r="B2" s="231"/>
      <c r="C2" s="231"/>
      <c r="D2" s="231"/>
      <c r="E2" s="231"/>
      <c r="F2" s="231"/>
      <c r="G2" s="230"/>
      <c r="H2" s="43">
        <v>2021</v>
      </c>
      <c r="I2" s="44">
        <v>2022</v>
      </c>
      <c r="J2" s="45">
        <v>2023</v>
      </c>
      <c r="K2" s="43">
        <v>2021</v>
      </c>
      <c r="L2" s="44">
        <v>2022</v>
      </c>
      <c r="M2" s="45">
        <v>2023</v>
      </c>
      <c r="N2" s="43">
        <v>2021</v>
      </c>
      <c r="O2" s="44">
        <v>2022</v>
      </c>
      <c r="P2" s="47">
        <v>2023</v>
      </c>
      <c r="Q2" s="46">
        <v>2021</v>
      </c>
      <c r="R2" s="48">
        <v>2022</v>
      </c>
      <c r="S2" s="47">
        <v>2023</v>
      </c>
      <c r="T2" s="46">
        <v>2021</v>
      </c>
      <c r="U2" s="44">
        <v>2022</v>
      </c>
      <c r="V2" s="47">
        <v>2023</v>
      </c>
      <c r="W2" s="46">
        <v>2021</v>
      </c>
      <c r="X2" s="48">
        <v>2022</v>
      </c>
      <c r="Y2" s="47">
        <v>2023</v>
      </c>
      <c r="Z2" s="46">
        <v>2021</v>
      </c>
      <c r="AA2" s="48">
        <v>2022</v>
      </c>
      <c r="AB2" s="47">
        <v>2023</v>
      </c>
      <c r="AC2" s="11"/>
      <c r="AD2" s="11"/>
      <c r="AE2" s="11"/>
      <c r="AF2" s="12"/>
      <c r="AG2" s="11">
        <v>2021</v>
      </c>
      <c r="AH2" s="11">
        <v>2022</v>
      </c>
      <c r="AI2" s="11">
        <v>2023</v>
      </c>
      <c r="AJ2" s="16"/>
      <c r="AK2" s="16"/>
      <c r="AL2" s="16"/>
      <c r="AM2" s="16"/>
      <c r="AN2" s="16"/>
      <c r="AO2" s="11">
        <v>2019</v>
      </c>
      <c r="AP2" s="11"/>
      <c r="AQ2" s="11"/>
      <c r="AR2" s="11"/>
      <c r="AS2" s="11"/>
      <c r="AT2" s="16"/>
      <c r="AU2" s="13"/>
      <c r="AV2" s="13"/>
      <c r="AW2" s="13"/>
      <c r="AX2" s="13"/>
      <c r="AY2" s="11"/>
      <c r="AZ2" s="12"/>
      <c r="BA2" s="12"/>
      <c r="BB2" s="12"/>
      <c r="BC2" s="12"/>
      <c r="BD2" s="16"/>
      <c r="BE2" s="16"/>
      <c r="BF2" s="16"/>
      <c r="BG2" s="16"/>
      <c r="BH2" s="16"/>
      <c r="BI2" s="11">
        <v>2019</v>
      </c>
      <c r="BJ2" s="11">
        <v>2020</v>
      </c>
      <c r="BK2" s="11">
        <v>2021</v>
      </c>
      <c r="BL2" s="11">
        <v>2022</v>
      </c>
      <c r="BM2" s="11">
        <v>2023</v>
      </c>
      <c r="BN2" s="16">
        <v>2019</v>
      </c>
      <c r="BO2" s="16">
        <v>2020</v>
      </c>
      <c r="BP2" s="16">
        <v>2021</v>
      </c>
      <c r="BQ2" s="16">
        <v>2022</v>
      </c>
      <c r="BR2" s="16">
        <v>2023</v>
      </c>
      <c r="BS2" s="12"/>
      <c r="BT2" s="12"/>
      <c r="BU2" s="12"/>
      <c r="BV2" s="12"/>
      <c r="BW2" s="12"/>
      <c r="BX2" s="13"/>
      <c r="BY2" s="13"/>
      <c r="BZ2" s="34"/>
      <c r="CA2" s="34"/>
      <c r="CB2" s="34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4"/>
      <c r="CN2" s="34"/>
      <c r="CO2" s="34"/>
      <c r="CP2" s="34"/>
      <c r="CQ2" s="34"/>
      <c r="CR2" s="35"/>
      <c r="CS2" s="35"/>
      <c r="CT2" s="35"/>
      <c r="CU2" s="35"/>
      <c r="CV2" s="35"/>
      <c r="CW2" s="34"/>
      <c r="CX2" s="34"/>
      <c r="CY2" s="34"/>
      <c r="CZ2" s="34"/>
      <c r="DA2" s="34"/>
      <c r="DB2" s="36"/>
      <c r="DC2" s="36"/>
      <c r="DD2" s="36"/>
      <c r="DE2" s="36"/>
      <c r="DF2" s="36"/>
      <c r="DG2" s="36"/>
      <c r="DH2" s="36"/>
      <c r="DI2" s="36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</row>
    <row r="3" spans="1:139" s="14" customFormat="1" x14ac:dyDescent="0.25">
      <c r="A3" s="25">
        <v>1</v>
      </c>
      <c r="B3" s="70" t="s">
        <v>276</v>
      </c>
      <c r="C3" s="171" t="s">
        <v>89</v>
      </c>
      <c r="D3" s="71" t="s">
        <v>90</v>
      </c>
      <c r="E3" s="72" t="s">
        <v>287</v>
      </c>
      <c r="F3" s="73">
        <v>1</v>
      </c>
      <c r="G3" s="70" t="s">
        <v>306</v>
      </c>
      <c r="H3" s="74">
        <v>38</v>
      </c>
      <c r="I3" s="75">
        <v>35</v>
      </c>
      <c r="J3" s="108">
        <v>35</v>
      </c>
      <c r="K3" s="124">
        <v>228556</v>
      </c>
      <c r="L3" s="77">
        <v>269306</v>
      </c>
      <c r="M3" s="125">
        <v>251367</v>
      </c>
      <c r="N3" s="116">
        <v>-132176</v>
      </c>
      <c r="O3" s="75">
        <v>-86631</v>
      </c>
      <c r="P3" s="108">
        <v>-65339</v>
      </c>
      <c r="Q3" s="140">
        <f t="shared" ref="Q3:Q34" si="0">+K3-N3</f>
        <v>360732</v>
      </c>
      <c r="R3" s="79">
        <f t="shared" ref="R3:R34" si="1">+L3-O3</f>
        <v>355937</v>
      </c>
      <c r="S3" s="141">
        <f t="shared" ref="S3:S34" si="2">+M3-P3</f>
        <v>316706</v>
      </c>
      <c r="T3" s="154">
        <v>428376</v>
      </c>
      <c r="U3" s="75">
        <v>467189</v>
      </c>
      <c r="V3" s="155">
        <f>192572+45595</f>
        <v>238167</v>
      </c>
      <c r="W3" s="148">
        <v>-251004</v>
      </c>
      <c r="X3" s="77">
        <v>-235070</v>
      </c>
      <c r="Y3" s="78">
        <v>-214707</v>
      </c>
      <c r="Z3" s="74">
        <v>-15004</v>
      </c>
      <c r="AA3" s="75">
        <v>930</v>
      </c>
      <c r="AB3" s="76">
        <v>21292</v>
      </c>
      <c r="AC3" s="15"/>
      <c r="AD3" s="15"/>
      <c r="AE3" s="15"/>
      <c r="AF3" s="15"/>
      <c r="AG3" s="15">
        <v>63866</v>
      </c>
      <c r="AH3" s="15">
        <v>60351</v>
      </c>
      <c r="AI3" s="15">
        <v>83034</v>
      </c>
      <c r="AJ3" s="15">
        <v>43287</v>
      </c>
      <c r="AK3" s="15">
        <v>4957</v>
      </c>
      <c r="AL3" s="15"/>
      <c r="AM3" s="15"/>
      <c r="AN3" s="15"/>
      <c r="AO3" s="15">
        <f t="shared" ref="AO3:AP11" si="3">+AE3-AJ3</f>
        <v>-43287</v>
      </c>
      <c r="AP3" s="15">
        <f t="shared" si="3"/>
        <v>-4957</v>
      </c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>
        <v>96411</v>
      </c>
      <c r="BE3" s="15">
        <v>63146</v>
      </c>
      <c r="BF3" s="15"/>
      <c r="BG3" s="15"/>
      <c r="BH3" s="15"/>
      <c r="BI3" s="15">
        <v>96410</v>
      </c>
      <c r="BJ3" s="15">
        <v>24381</v>
      </c>
      <c r="BK3" s="15">
        <v>43888</v>
      </c>
      <c r="BL3" s="15">
        <v>60325</v>
      </c>
      <c r="BM3" s="15">
        <v>78765</v>
      </c>
      <c r="BN3" s="15">
        <v>107968</v>
      </c>
      <c r="BO3" s="15">
        <v>101459</v>
      </c>
      <c r="BP3" s="15">
        <v>111868</v>
      </c>
      <c r="BQ3" s="15">
        <v>98936</v>
      </c>
      <c r="BR3" s="15">
        <v>104067</v>
      </c>
      <c r="BS3" s="15">
        <v>85789</v>
      </c>
      <c r="BT3" s="15">
        <v>71865</v>
      </c>
      <c r="BU3" s="15">
        <v>77462</v>
      </c>
      <c r="BV3" s="15">
        <v>74300</v>
      </c>
      <c r="BW3" s="15">
        <v>78995</v>
      </c>
      <c r="BX3" s="15"/>
      <c r="BY3" s="15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9"/>
      <c r="DC3" s="39"/>
      <c r="DD3" s="39"/>
      <c r="DE3" s="39"/>
      <c r="DF3" s="39"/>
      <c r="DG3" s="39"/>
      <c r="DH3" s="39"/>
      <c r="DI3" s="39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</row>
    <row r="4" spans="1:139" x14ac:dyDescent="0.25">
      <c r="A4" s="25">
        <v>2</v>
      </c>
      <c r="B4" s="25" t="s">
        <v>276</v>
      </c>
      <c r="C4" s="170" t="s">
        <v>121</v>
      </c>
      <c r="D4" s="26" t="s">
        <v>122</v>
      </c>
      <c r="E4" s="27" t="s">
        <v>287</v>
      </c>
      <c r="F4" s="28">
        <v>1</v>
      </c>
      <c r="G4" s="25" t="s">
        <v>310</v>
      </c>
      <c r="H4" s="49">
        <v>10</v>
      </c>
      <c r="I4" s="50">
        <v>12</v>
      </c>
      <c r="J4" s="109">
        <v>0</v>
      </c>
      <c r="K4" s="126">
        <v>4433</v>
      </c>
      <c r="L4" s="58">
        <v>4891</v>
      </c>
      <c r="M4" s="127">
        <v>0</v>
      </c>
      <c r="N4" s="117">
        <v>3899</v>
      </c>
      <c r="O4" s="50">
        <v>4690</v>
      </c>
      <c r="P4" s="109">
        <v>0</v>
      </c>
      <c r="Q4" s="142">
        <f t="shared" si="0"/>
        <v>534</v>
      </c>
      <c r="R4" s="64">
        <f t="shared" si="1"/>
        <v>201</v>
      </c>
      <c r="S4" s="143">
        <f t="shared" si="2"/>
        <v>0</v>
      </c>
      <c r="T4" s="156">
        <v>94628</v>
      </c>
      <c r="U4" s="50">
        <v>108121</v>
      </c>
      <c r="V4" s="157">
        <v>0</v>
      </c>
      <c r="W4" s="149">
        <v>0</v>
      </c>
      <c r="X4" s="58">
        <v>0</v>
      </c>
      <c r="Y4" s="60">
        <v>0</v>
      </c>
      <c r="Z4" s="49">
        <v>0</v>
      </c>
      <c r="AA4" s="50">
        <v>0</v>
      </c>
      <c r="AB4" s="51">
        <v>0</v>
      </c>
      <c r="AC4" s="15"/>
      <c r="AD4" s="15"/>
      <c r="AE4" s="7"/>
      <c r="AF4" s="7"/>
      <c r="AG4" s="7">
        <v>1073246</v>
      </c>
      <c r="AH4" s="7">
        <v>1284511</v>
      </c>
      <c r="AI4" s="7">
        <v>463647</v>
      </c>
      <c r="AJ4" s="7">
        <v>-57359</v>
      </c>
      <c r="AK4" s="7">
        <v>-121240</v>
      </c>
      <c r="AL4" s="7"/>
      <c r="AM4" s="7"/>
      <c r="AN4" s="7"/>
      <c r="AO4" s="7">
        <f t="shared" si="3"/>
        <v>57359</v>
      </c>
      <c r="AP4" s="7">
        <f t="shared" si="3"/>
        <v>121240</v>
      </c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>
        <v>1096302</v>
      </c>
      <c r="BE4" s="7">
        <v>946304</v>
      </c>
      <c r="BF4" s="7"/>
      <c r="BG4" s="7"/>
      <c r="BH4" s="7"/>
      <c r="BI4" s="7">
        <v>135279</v>
      </c>
      <c r="BJ4" s="7">
        <v>946304</v>
      </c>
      <c r="BK4" s="7">
        <v>250</v>
      </c>
      <c r="BL4" s="7">
        <v>57450</v>
      </c>
      <c r="BM4" s="7">
        <v>23255</v>
      </c>
      <c r="BN4" s="7">
        <v>1132640</v>
      </c>
      <c r="BO4" s="7">
        <v>1010185</v>
      </c>
      <c r="BP4" s="7">
        <v>1014007</v>
      </c>
      <c r="BQ4" s="7">
        <v>1047056</v>
      </c>
      <c r="BR4" s="7">
        <v>1443942</v>
      </c>
      <c r="BS4" s="7"/>
      <c r="BT4" s="7"/>
      <c r="BU4" s="7"/>
      <c r="BV4" s="7"/>
      <c r="BW4" s="7"/>
      <c r="BX4" s="7"/>
      <c r="BY4" s="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9"/>
      <c r="DC4" s="39"/>
      <c r="DD4" s="39"/>
      <c r="DE4" s="39"/>
      <c r="DF4" s="39"/>
      <c r="DG4" s="39"/>
      <c r="DH4" s="39"/>
      <c r="DI4" s="39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</row>
    <row r="5" spans="1:139" x14ac:dyDescent="0.25">
      <c r="A5" s="25">
        <v>3</v>
      </c>
      <c r="B5" s="25" t="s">
        <v>276</v>
      </c>
      <c r="C5" s="170" t="s">
        <v>155</v>
      </c>
      <c r="D5" s="26" t="s">
        <v>156</v>
      </c>
      <c r="E5" s="27" t="s">
        <v>287</v>
      </c>
      <c r="F5" s="28">
        <v>1</v>
      </c>
      <c r="G5" s="25" t="s">
        <v>301</v>
      </c>
      <c r="H5" s="49">
        <v>23</v>
      </c>
      <c r="I5" s="50">
        <v>10</v>
      </c>
      <c r="J5" s="110">
        <v>19</v>
      </c>
      <c r="K5" s="126">
        <v>54048</v>
      </c>
      <c r="L5" s="58">
        <v>44885</v>
      </c>
      <c r="M5" s="128">
        <v>41751</v>
      </c>
      <c r="N5" s="117">
        <v>53291</v>
      </c>
      <c r="O5" s="50">
        <v>44857</v>
      </c>
      <c r="P5" s="110">
        <v>45219</v>
      </c>
      <c r="Q5" s="142">
        <f t="shared" si="0"/>
        <v>757</v>
      </c>
      <c r="R5" s="64">
        <f t="shared" si="1"/>
        <v>28</v>
      </c>
      <c r="S5" s="143">
        <f t="shared" si="2"/>
        <v>-3468</v>
      </c>
      <c r="T5" s="156">
        <v>147586</v>
      </c>
      <c r="U5" s="50">
        <v>163386</v>
      </c>
      <c r="V5" s="158">
        <v>165612</v>
      </c>
      <c r="W5" s="149">
        <v>-131882</v>
      </c>
      <c r="X5" s="58">
        <v>-151651</v>
      </c>
      <c r="Y5" s="59">
        <v>-136772</v>
      </c>
      <c r="Z5" s="49">
        <v>-4716</v>
      </c>
      <c r="AA5" s="50">
        <v>-8434</v>
      </c>
      <c r="AB5" s="52">
        <v>362</v>
      </c>
      <c r="AC5" s="15"/>
      <c r="AD5" s="15"/>
      <c r="AE5" s="7"/>
      <c r="AF5" s="7"/>
      <c r="AG5" s="7">
        <v>1293488</v>
      </c>
      <c r="AH5" s="7">
        <v>909783</v>
      </c>
      <c r="AI5" s="7">
        <v>1738593</v>
      </c>
      <c r="AJ5" s="7">
        <v>131818</v>
      </c>
      <c r="AK5" s="7">
        <v>164131</v>
      </c>
      <c r="AL5" s="7"/>
      <c r="AM5" s="7"/>
      <c r="AN5" s="7"/>
      <c r="AO5" s="7">
        <f t="shared" si="3"/>
        <v>-131818</v>
      </c>
      <c r="AP5" s="7">
        <f t="shared" si="3"/>
        <v>-164131</v>
      </c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>
        <v>1072312</v>
      </c>
      <c r="BE5" s="7">
        <v>1078728</v>
      </c>
      <c r="BF5" s="7"/>
      <c r="BG5" s="7"/>
      <c r="BH5" s="7"/>
      <c r="BI5" s="7">
        <v>5839</v>
      </c>
      <c r="BJ5" s="7">
        <v>0</v>
      </c>
      <c r="BK5" s="7">
        <v>0</v>
      </c>
      <c r="BL5" s="7">
        <v>120494</v>
      </c>
      <c r="BM5" s="7">
        <v>0</v>
      </c>
      <c r="BN5" s="7">
        <v>1059646</v>
      </c>
      <c r="BO5" s="7">
        <v>1046415</v>
      </c>
      <c r="BP5" s="7">
        <v>1062358</v>
      </c>
      <c r="BQ5" s="7">
        <v>1197493</v>
      </c>
      <c r="BR5" s="7">
        <v>1108457</v>
      </c>
      <c r="BS5" s="7"/>
      <c r="BT5" s="7"/>
      <c r="BU5" s="7"/>
      <c r="BV5" s="7"/>
      <c r="BW5" s="7"/>
      <c r="BX5" s="7"/>
      <c r="BY5" s="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9"/>
      <c r="DC5" s="39"/>
      <c r="DD5" s="39"/>
      <c r="DE5" s="39"/>
      <c r="DF5" s="39"/>
      <c r="DG5" s="39"/>
      <c r="DH5" s="39"/>
      <c r="DI5" s="39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</row>
    <row r="6" spans="1:139" ht="30" x14ac:dyDescent="0.25">
      <c r="A6" s="25">
        <v>4</v>
      </c>
      <c r="B6" s="175" t="s">
        <v>276</v>
      </c>
      <c r="C6" s="170" t="s">
        <v>190</v>
      </c>
      <c r="D6" s="174" t="s">
        <v>191</v>
      </c>
      <c r="E6" s="178" t="s">
        <v>287</v>
      </c>
      <c r="F6" s="179">
        <v>1</v>
      </c>
      <c r="G6" s="175" t="s">
        <v>307</v>
      </c>
      <c r="H6" s="49">
        <v>12</v>
      </c>
      <c r="I6" s="50">
        <v>10</v>
      </c>
      <c r="J6" s="110">
        <v>12</v>
      </c>
      <c r="K6" s="126">
        <v>6</v>
      </c>
      <c r="L6" s="58">
        <v>1602</v>
      </c>
      <c r="M6" s="128">
        <v>4897</v>
      </c>
      <c r="N6" s="117">
        <v>3</v>
      </c>
      <c r="O6" s="50">
        <v>1602</v>
      </c>
      <c r="P6" s="110">
        <v>4924</v>
      </c>
      <c r="Q6" s="142">
        <f t="shared" si="0"/>
        <v>3</v>
      </c>
      <c r="R6" s="64">
        <f t="shared" si="1"/>
        <v>0</v>
      </c>
      <c r="S6" s="143">
        <f t="shared" si="2"/>
        <v>-27</v>
      </c>
      <c r="T6" s="156">
        <v>73600</v>
      </c>
      <c r="U6" s="50">
        <v>104705</v>
      </c>
      <c r="V6" s="158">
        <v>118590</v>
      </c>
      <c r="W6" s="149">
        <v>2</v>
      </c>
      <c r="X6" s="58">
        <v>1602</v>
      </c>
      <c r="Y6" s="59">
        <v>4409</v>
      </c>
      <c r="Z6" s="49">
        <v>2</v>
      </c>
      <c r="AA6" s="50">
        <v>1602</v>
      </c>
      <c r="AB6" s="52">
        <v>4409</v>
      </c>
      <c r="AC6" s="15"/>
      <c r="AD6" s="15"/>
      <c r="AE6" s="7"/>
      <c r="AF6" s="7"/>
      <c r="AG6" s="7">
        <v>471917</v>
      </c>
      <c r="AH6" s="7">
        <v>440001</v>
      </c>
      <c r="AI6" s="7">
        <v>328041</v>
      </c>
      <c r="AJ6" s="7">
        <v>106357</v>
      </c>
      <c r="AK6" s="7">
        <v>38280</v>
      </c>
      <c r="AL6" s="7"/>
      <c r="AM6" s="7"/>
      <c r="AN6" s="7"/>
      <c r="AO6" s="7">
        <f t="shared" si="3"/>
        <v>-106357</v>
      </c>
      <c r="AP6" s="7">
        <f t="shared" si="3"/>
        <v>-38280</v>
      </c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>
        <v>487621</v>
      </c>
      <c r="BE6" s="7">
        <v>217414</v>
      </c>
      <c r="BF6" s="7"/>
      <c r="BG6" s="7"/>
      <c r="BH6" s="7"/>
      <c r="BI6" s="7">
        <v>0</v>
      </c>
      <c r="BJ6" s="7">
        <v>3856</v>
      </c>
      <c r="BK6" s="7">
        <v>14339</v>
      </c>
      <c r="BL6" s="7">
        <v>14876</v>
      </c>
      <c r="BM6" s="7">
        <v>35729</v>
      </c>
      <c r="BN6" s="7">
        <v>488862</v>
      </c>
      <c r="BO6" s="7">
        <v>283599</v>
      </c>
      <c r="BP6" s="7">
        <v>359141</v>
      </c>
      <c r="BQ6" s="7">
        <v>317348</v>
      </c>
      <c r="BR6" s="7">
        <v>370463</v>
      </c>
      <c r="BS6" s="7"/>
      <c r="BT6" s="7"/>
      <c r="BU6" s="7"/>
      <c r="BV6" s="7"/>
      <c r="BW6" s="7"/>
      <c r="BX6" s="7"/>
      <c r="BY6" s="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9"/>
      <c r="DC6" s="39"/>
      <c r="DD6" s="39"/>
      <c r="DE6" s="39"/>
      <c r="DF6" s="39"/>
      <c r="DG6" s="39"/>
      <c r="DH6" s="39"/>
      <c r="DI6" s="39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</row>
    <row r="7" spans="1:139" ht="15.75" thickBot="1" x14ac:dyDescent="0.3">
      <c r="A7" s="25">
        <v>5</v>
      </c>
      <c r="B7" s="80" t="s">
        <v>276</v>
      </c>
      <c r="C7" s="172" t="s">
        <v>222</v>
      </c>
      <c r="D7" s="81" t="s">
        <v>223</v>
      </c>
      <c r="E7" s="82" t="s">
        <v>287</v>
      </c>
      <c r="F7" s="83">
        <v>1</v>
      </c>
      <c r="G7" s="80" t="s">
        <v>306</v>
      </c>
      <c r="H7" s="55">
        <v>31</v>
      </c>
      <c r="I7" s="56">
        <v>33</v>
      </c>
      <c r="J7" s="111">
        <v>36</v>
      </c>
      <c r="K7" s="129">
        <v>2497930</v>
      </c>
      <c r="L7" s="62">
        <v>2502921</v>
      </c>
      <c r="M7" s="130">
        <v>2346512</v>
      </c>
      <c r="N7" s="118">
        <v>1461397</v>
      </c>
      <c r="O7" s="56">
        <v>1509235</v>
      </c>
      <c r="P7" s="111">
        <v>1418493</v>
      </c>
      <c r="Q7" s="144">
        <f t="shared" si="0"/>
        <v>1036533</v>
      </c>
      <c r="R7" s="65">
        <f t="shared" si="1"/>
        <v>993686</v>
      </c>
      <c r="S7" s="145">
        <f t="shared" si="2"/>
        <v>928019</v>
      </c>
      <c r="T7" s="159">
        <v>293757</v>
      </c>
      <c r="U7" s="56">
        <v>426940</v>
      </c>
      <c r="V7" s="160">
        <v>473430</v>
      </c>
      <c r="W7" s="150">
        <v>41286</v>
      </c>
      <c r="X7" s="62">
        <v>53920</v>
      </c>
      <c r="Y7" s="63">
        <v>-260391</v>
      </c>
      <c r="Z7" s="55">
        <v>34678</v>
      </c>
      <c r="AA7" s="56">
        <v>53964</v>
      </c>
      <c r="AB7" s="57">
        <v>-90739</v>
      </c>
      <c r="AC7" s="15"/>
      <c r="AD7" s="15"/>
      <c r="AE7" s="7"/>
      <c r="AF7" s="7"/>
      <c r="AG7" s="7">
        <v>7835</v>
      </c>
      <c r="AH7" s="7">
        <v>8594</v>
      </c>
      <c r="AI7" s="7">
        <v>6850</v>
      </c>
      <c r="AJ7" s="7">
        <v>-378200</v>
      </c>
      <c r="AK7" s="7">
        <v>-401229</v>
      </c>
      <c r="AL7" s="7"/>
      <c r="AM7" s="7"/>
      <c r="AN7" s="7"/>
      <c r="AO7" s="7">
        <f t="shared" si="3"/>
        <v>378200</v>
      </c>
      <c r="AP7" s="7">
        <f t="shared" si="3"/>
        <v>401229</v>
      </c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>
        <v>45489</v>
      </c>
      <c r="BE7" s="7">
        <v>117216</v>
      </c>
      <c r="BF7" s="7"/>
      <c r="BG7" s="7"/>
      <c r="BH7" s="7"/>
      <c r="BI7" s="7">
        <v>2073</v>
      </c>
      <c r="BJ7" s="7">
        <v>0</v>
      </c>
      <c r="BK7" s="7">
        <v>0</v>
      </c>
      <c r="BL7" s="7">
        <v>22760</v>
      </c>
      <c r="BM7" s="7">
        <v>38278</v>
      </c>
      <c r="BN7" s="7">
        <v>2073</v>
      </c>
      <c r="BO7" s="7">
        <v>0</v>
      </c>
      <c r="BP7" s="7">
        <v>0</v>
      </c>
      <c r="BQ7" s="7">
        <v>22760</v>
      </c>
      <c r="BR7" s="7">
        <v>38278</v>
      </c>
      <c r="BS7" s="7"/>
      <c r="BT7" s="7"/>
      <c r="BU7" s="7"/>
      <c r="BV7" s="7"/>
      <c r="BW7" s="7"/>
      <c r="BX7" s="7"/>
      <c r="BY7" s="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9"/>
      <c r="DC7" s="39"/>
      <c r="DD7" s="39"/>
      <c r="DE7" s="39"/>
      <c r="DF7" s="39"/>
      <c r="DG7" s="39"/>
      <c r="DH7" s="39"/>
      <c r="DI7" s="39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</row>
    <row r="8" spans="1:139" x14ac:dyDescent="0.25">
      <c r="A8" s="70">
        <v>6</v>
      </c>
      <c r="B8" s="70" t="s">
        <v>272</v>
      </c>
      <c r="C8" s="171" t="s">
        <v>71</v>
      </c>
      <c r="D8" s="71" t="s">
        <v>72</v>
      </c>
      <c r="E8" s="72" t="s">
        <v>287</v>
      </c>
      <c r="F8" s="73">
        <v>1</v>
      </c>
      <c r="G8" s="70" t="s">
        <v>306</v>
      </c>
      <c r="H8" s="74">
        <v>314</v>
      </c>
      <c r="I8" s="75">
        <v>316</v>
      </c>
      <c r="J8" s="108">
        <v>326</v>
      </c>
      <c r="K8" s="124">
        <v>4982580</v>
      </c>
      <c r="L8" s="77">
        <v>5113080</v>
      </c>
      <c r="M8" s="125">
        <v>5946585</v>
      </c>
      <c r="N8" s="116">
        <v>1822125</v>
      </c>
      <c r="O8" s="75">
        <v>1873779</v>
      </c>
      <c r="P8" s="108">
        <v>2117558</v>
      </c>
      <c r="Q8" s="140">
        <f t="shared" si="0"/>
        <v>3160455</v>
      </c>
      <c r="R8" s="79">
        <f t="shared" si="1"/>
        <v>3239301</v>
      </c>
      <c r="S8" s="141">
        <f t="shared" si="2"/>
        <v>3829027</v>
      </c>
      <c r="T8" s="154">
        <v>5056849</v>
      </c>
      <c r="U8" s="75">
        <v>5426071</v>
      </c>
      <c r="V8" s="155">
        <v>6654200</v>
      </c>
      <c r="W8" s="148">
        <v>58767</v>
      </c>
      <c r="X8" s="77">
        <v>71571</v>
      </c>
      <c r="Y8" s="78">
        <v>431081</v>
      </c>
      <c r="Z8" s="74">
        <v>5902</v>
      </c>
      <c r="AA8" s="75">
        <v>39502</v>
      </c>
      <c r="AB8" s="76">
        <v>392456</v>
      </c>
      <c r="AC8" s="15"/>
      <c r="AD8" s="15"/>
      <c r="AE8" s="7"/>
      <c r="AF8" s="7"/>
      <c r="AG8" s="7">
        <v>34631</v>
      </c>
      <c r="AH8" s="7">
        <v>24967</v>
      </c>
      <c r="AI8" s="7">
        <v>23670</v>
      </c>
      <c r="AJ8" s="7">
        <v>17512</v>
      </c>
      <c r="AK8" s="7">
        <v>17703</v>
      </c>
      <c r="AL8" s="7"/>
      <c r="AM8" s="7"/>
      <c r="AN8" s="7"/>
      <c r="AO8" s="7">
        <f t="shared" si="3"/>
        <v>-17512</v>
      </c>
      <c r="AP8" s="7">
        <f t="shared" si="3"/>
        <v>-17703</v>
      </c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>
        <v>3763</v>
      </c>
      <c r="BE8" s="7">
        <v>7192</v>
      </c>
      <c r="BF8" s="7"/>
      <c r="BG8" s="7"/>
      <c r="BH8" s="7"/>
      <c r="BI8" s="7">
        <v>3763</v>
      </c>
      <c r="BJ8" s="7">
        <v>7192</v>
      </c>
      <c r="BK8" s="7">
        <v>16663</v>
      </c>
      <c r="BL8" s="7">
        <v>1248</v>
      </c>
      <c r="BM8" s="7">
        <v>8561</v>
      </c>
      <c r="BN8" s="7">
        <v>6575</v>
      </c>
      <c r="BO8" s="7">
        <v>7001</v>
      </c>
      <c r="BP8" s="7">
        <v>3647</v>
      </c>
      <c r="BQ8" s="7">
        <v>7948</v>
      </c>
      <c r="BR8" s="7">
        <v>9858</v>
      </c>
      <c r="BS8" s="7"/>
      <c r="BT8" s="7"/>
      <c r="BU8" s="7"/>
      <c r="BV8" s="7"/>
      <c r="BW8" s="7"/>
      <c r="BX8" s="7"/>
      <c r="BY8" s="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9"/>
      <c r="DC8" s="39"/>
      <c r="DD8" s="39"/>
      <c r="DE8" s="39"/>
      <c r="DF8" s="39"/>
      <c r="DG8" s="39"/>
      <c r="DH8" s="39"/>
      <c r="DI8" s="39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</row>
    <row r="9" spans="1:139" x14ac:dyDescent="0.25">
      <c r="A9" s="25">
        <v>7</v>
      </c>
      <c r="B9" s="25" t="s">
        <v>272</v>
      </c>
      <c r="C9" s="216" t="s">
        <v>0</v>
      </c>
      <c r="D9" s="26" t="s">
        <v>159</v>
      </c>
      <c r="E9" s="27" t="s">
        <v>287</v>
      </c>
      <c r="F9" s="28">
        <v>1</v>
      </c>
      <c r="G9" s="25" t="s">
        <v>308</v>
      </c>
      <c r="H9" s="53" t="s">
        <v>5</v>
      </c>
      <c r="I9" s="54" t="s">
        <v>5</v>
      </c>
      <c r="J9" s="109" t="s">
        <v>5</v>
      </c>
      <c r="K9" s="131" t="s">
        <v>5</v>
      </c>
      <c r="L9" s="61" t="s">
        <v>5</v>
      </c>
      <c r="M9" s="127" t="s">
        <v>5</v>
      </c>
      <c r="N9" s="119" t="s">
        <v>5</v>
      </c>
      <c r="O9" s="54" t="s">
        <v>5</v>
      </c>
      <c r="P9" s="109" t="s">
        <v>5</v>
      </c>
      <c r="Q9" s="142" t="s">
        <v>5</v>
      </c>
      <c r="R9" s="64" t="s">
        <v>5</v>
      </c>
      <c r="S9" s="143" t="s">
        <v>5</v>
      </c>
      <c r="T9" s="161" t="s">
        <v>5</v>
      </c>
      <c r="U9" s="54" t="s">
        <v>5</v>
      </c>
      <c r="V9" s="157" t="s">
        <v>5</v>
      </c>
      <c r="W9" s="151" t="s">
        <v>5</v>
      </c>
      <c r="X9" s="61" t="s">
        <v>5</v>
      </c>
      <c r="Y9" s="60" t="s">
        <v>5</v>
      </c>
      <c r="Z9" s="53" t="s">
        <v>5</v>
      </c>
      <c r="AA9" s="54" t="s">
        <v>5</v>
      </c>
      <c r="AB9" s="51" t="s">
        <v>5</v>
      </c>
      <c r="AC9" s="15"/>
      <c r="AD9" s="15"/>
      <c r="AE9" s="7"/>
      <c r="AF9" s="7"/>
      <c r="AG9" s="7">
        <v>529</v>
      </c>
      <c r="AH9" s="7">
        <v>10425</v>
      </c>
      <c r="AI9" s="7">
        <v>13674</v>
      </c>
      <c r="AJ9" s="7">
        <v>0</v>
      </c>
      <c r="AK9" s="7">
        <v>0</v>
      </c>
      <c r="AL9" s="7"/>
      <c r="AM9" s="7"/>
      <c r="AN9" s="7"/>
      <c r="AO9" s="7">
        <f t="shared" si="3"/>
        <v>0</v>
      </c>
      <c r="AP9" s="7">
        <f t="shared" si="3"/>
        <v>0</v>
      </c>
      <c r="AQ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>
        <v>0</v>
      </c>
      <c r="BE9" s="7">
        <v>0</v>
      </c>
      <c r="BF9" s="7"/>
      <c r="BG9" s="7"/>
      <c r="BH9" s="7"/>
      <c r="BI9" s="7">
        <v>0</v>
      </c>
      <c r="BJ9" s="7">
        <v>0</v>
      </c>
      <c r="BK9" s="7">
        <v>2000</v>
      </c>
      <c r="BL9" s="7">
        <v>4134</v>
      </c>
      <c r="BM9" s="7">
        <v>17699</v>
      </c>
      <c r="BN9" s="7">
        <v>0</v>
      </c>
      <c r="BO9" s="7">
        <v>0</v>
      </c>
      <c r="BP9" s="7">
        <f>9009+6143</f>
        <v>15152</v>
      </c>
      <c r="BQ9" s="7">
        <f>8080+106368</f>
        <v>114448</v>
      </c>
      <c r="BR9" s="7">
        <f>14408+84991</f>
        <v>99399</v>
      </c>
      <c r="BS9" s="7"/>
      <c r="BT9" s="7"/>
      <c r="BU9" s="9"/>
      <c r="BV9" s="7"/>
      <c r="BW9" s="7"/>
      <c r="BX9" s="7"/>
      <c r="BY9" s="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40"/>
      <c r="CS9" s="40"/>
      <c r="CT9" s="38"/>
      <c r="CU9" s="38"/>
      <c r="CV9" s="38"/>
      <c r="CW9" s="40"/>
      <c r="CX9" s="40"/>
      <c r="CY9" s="38"/>
      <c r="CZ9" s="38"/>
      <c r="DA9" s="38"/>
      <c r="DB9" s="39"/>
      <c r="DC9" s="39"/>
      <c r="DD9" s="39"/>
      <c r="DE9" s="39"/>
      <c r="DF9" s="39"/>
      <c r="DG9" s="39"/>
      <c r="DH9" s="39"/>
      <c r="DI9" s="39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</row>
    <row r="10" spans="1:139" x14ac:dyDescent="0.25">
      <c r="A10" s="25">
        <v>8</v>
      </c>
      <c r="B10" s="25" t="s">
        <v>272</v>
      </c>
      <c r="C10" s="170" t="s">
        <v>208</v>
      </c>
      <c r="D10" s="26" t="s">
        <v>209</v>
      </c>
      <c r="E10" s="27" t="s">
        <v>287</v>
      </c>
      <c r="F10" s="28">
        <v>1</v>
      </c>
      <c r="G10" s="25" t="s">
        <v>305</v>
      </c>
      <c r="H10" s="49">
        <v>23</v>
      </c>
      <c r="I10" s="50">
        <v>29</v>
      </c>
      <c r="J10" s="110">
        <v>29</v>
      </c>
      <c r="K10" s="126">
        <v>160261</v>
      </c>
      <c r="L10" s="58">
        <v>181710</v>
      </c>
      <c r="M10" s="128">
        <v>359031</v>
      </c>
      <c r="N10" s="117">
        <v>110985</v>
      </c>
      <c r="O10" s="50">
        <v>139064</v>
      </c>
      <c r="P10" s="110">
        <v>127059</v>
      </c>
      <c r="Q10" s="142">
        <f t="shared" si="0"/>
        <v>49276</v>
      </c>
      <c r="R10" s="64">
        <f t="shared" si="1"/>
        <v>42646</v>
      </c>
      <c r="S10" s="143">
        <f t="shared" si="2"/>
        <v>231972</v>
      </c>
      <c r="T10" s="156">
        <v>485536</v>
      </c>
      <c r="U10" s="50">
        <v>542326</v>
      </c>
      <c r="V10" s="158">
        <v>692877</v>
      </c>
      <c r="W10" s="149">
        <v>34775</v>
      </c>
      <c r="X10" s="58">
        <v>30842</v>
      </c>
      <c r="Y10" s="59">
        <v>-23</v>
      </c>
      <c r="Z10" s="49">
        <v>31510</v>
      </c>
      <c r="AA10" s="50">
        <v>28088</v>
      </c>
      <c r="AB10" s="52">
        <v>591</v>
      </c>
      <c r="AC10" s="15"/>
      <c r="AD10" s="15"/>
      <c r="AE10" s="7"/>
      <c r="AF10" s="7"/>
      <c r="AG10" s="7">
        <v>64406</v>
      </c>
      <c r="AH10" s="7">
        <v>51432</v>
      </c>
      <c r="AI10" s="7">
        <v>25845</v>
      </c>
      <c r="AJ10" s="7">
        <v>91917</v>
      </c>
      <c r="AK10" s="7">
        <v>-20638</v>
      </c>
      <c r="AL10" s="7"/>
      <c r="AM10" s="7"/>
      <c r="AN10" s="7"/>
      <c r="AO10" s="7">
        <f t="shared" si="3"/>
        <v>-91917</v>
      </c>
      <c r="AP10" s="7">
        <f t="shared" si="3"/>
        <v>20638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>
        <v>161034</v>
      </c>
      <c r="BE10" s="7">
        <v>121609</v>
      </c>
      <c r="BF10" s="7"/>
      <c r="BG10" s="7"/>
      <c r="BH10" s="7"/>
      <c r="BI10" s="7">
        <v>9807</v>
      </c>
      <c r="BJ10" s="7">
        <v>1100</v>
      </c>
      <c r="BK10" s="7">
        <v>2363</v>
      </c>
      <c r="BL10" s="7">
        <v>14535</v>
      </c>
      <c r="BM10" s="7">
        <v>14177</v>
      </c>
      <c r="BN10" s="7">
        <v>191550</v>
      </c>
      <c r="BO10" s="7">
        <v>129922</v>
      </c>
      <c r="BP10" s="7">
        <v>122263</v>
      </c>
      <c r="BQ10" s="7">
        <v>177869</v>
      </c>
      <c r="BR10" s="7">
        <v>212271</v>
      </c>
      <c r="BS10" s="7"/>
      <c r="BT10" s="7"/>
      <c r="BU10" s="7"/>
      <c r="BV10" s="7"/>
      <c r="BW10" s="7"/>
      <c r="BX10" s="7"/>
      <c r="BY10" s="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9"/>
      <c r="DC10" s="39"/>
      <c r="DD10" s="39"/>
      <c r="DE10" s="39"/>
      <c r="DF10" s="39"/>
      <c r="DG10" s="39"/>
      <c r="DH10" s="39"/>
      <c r="DI10" s="39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</row>
    <row r="11" spans="1:139" x14ac:dyDescent="0.25">
      <c r="A11" s="25">
        <v>9</v>
      </c>
      <c r="B11" s="25" t="s">
        <v>272</v>
      </c>
      <c r="C11" s="170" t="s">
        <v>224</v>
      </c>
      <c r="D11" s="26" t="s">
        <v>225</v>
      </c>
      <c r="E11" s="27" t="s">
        <v>287</v>
      </c>
      <c r="F11" s="28">
        <v>1</v>
      </c>
      <c r="G11" s="25" t="s">
        <v>306</v>
      </c>
      <c r="H11" s="49">
        <v>169</v>
      </c>
      <c r="I11" s="50">
        <v>173</v>
      </c>
      <c r="J11" s="110">
        <v>171</v>
      </c>
      <c r="K11" s="126">
        <v>49774177</v>
      </c>
      <c r="L11" s="58">
        <v>48950563</v>
      </c>
      <c r="M11" s="128">
        <v>48423173</v>
      </c>
      <c r="N11" s="117">
        <v>2821032</v>
      </c>
      <c r="O11" s="50">
        <v>2747353</v>
      </c>
      <c r="P11" s="110">
        <v>2776681</v>
      </c>
      <c r="Q11" s="142">
        <f t="shared" si="0"/>
        <v>46953145</v>
      </c>
      <c r="R11" s="64">
        <f t="shared" si="1"/>
        <v>46203210</v>
      </c>
      <c r="S11" s="143">
        <f t="shared" si="2"/>
        <v>45646492</v>
      </c>
      <c r="T11" s="156">
        <v>6000926</v>
      </c>
      <c r="U11" s="50">
        <v>5264991</v>
      </c>
      <c r="V11" s="158">
        <v>5224657</v>
      </c>
      <c r="W11" s="149">
        <v>-143564</v>
      </c>
      <c r="X11" s="58">
        <v>-38900</v>
      </c>
      <c r="Y11" s="59">
        <v>-149247</v>
      </c>
      <c r="Z11" s="49">
        <v>49351</v>
      </c>
      <c r="AA11" s="50">
        <v>43814</v>
      </c>
      <c r="AB11" s="52">
        <v>29328</v>
      </c>
      <c r="AC11" s="15"/>
      <c r="AD11" s="15"/>
      <c r="AE11" s="7"/>
      <c r="AF11" s="7"/>
      <c r="AG11" s="7">
        <v>2145434</v>
      </c>
      <c r="AH11" s="7">
        <v>2405266</v>
      </c>
      <c r="AI11" s="7">
        <v>2604771</v>
      </c>
      <c r="AJ11" s="7">
        <v>1454076</v>
      </c>
      <c r="AK11" s="7">
        <v>1709478</v>
      </c>
      <c r="AL11" s="7"/>
      <c r="AM11" s="7"/>
      <c r="AN11" s="7"/>
      <c r="AO11" s="7">
        <f t="shared" si="3"/>
        <v>-1454076</v>
      </c>
      <c r="AP11" s="7">
        <f t="shared" si="3"/>
        <v>-1709478</v>
      </c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>
        <v>1877017</v>
      </c>
      <c r="BE11" s="7">
        <v>2636275</v>
      </c>
      <c r="BF11" s="7"/>
      <c r="BG11" s="7"/>
      <c r="BH11" s="7"/>
      <c r="BI11" s="7">
        <v>1067223</v>
      </c>
      <c r="BJ11" s="7">
        <v>1803468</v>
      </c>
      <c r="BK11" s="7">
        <v>2211612</v>
      </c>
      <c r="BL11" s="7">
        <v>2514586</v>
      </c>
      <c r="BM11" s="7">
        <v>2047024</v>
      </c>
      <c r="BN11" s="7">
        <v>1798560</v>
      </c>
      <c r="BO11" s="7">
        <v>2355128</v>
      </c>
      <c r="BP11" s="7">
        <v>2731604</v>
      </c>
      <c r="BQ11" s="7">
        <v>3050174</v>
      </c>
      <c r="BR11" s="7">
        <v>2628654</v>
      </c>
      <c r="BS11" s="7"/>
      <c r="BT11" s="7"/>
      <c r="BU11" s="7"/>
      <c r="BV11" s="7"/>
      <c r="BW11" s="7"/>
      <c r="BX11" s="7"/>
      <c r="BY11" s="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9"/>
      <c r="DC11" s="39"/>
      <c r="DD11" s="39"/>
      <c r="DE11" s="39"/>
      <c r="DF11" s="39"/>
      <c r="DG11" s="39"/>
      <c r="DH11" s="39"/>
      <c r="DI11" s="39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</row>
    <row r="12" spans="1:139" x14ac:dyDescent="0.25">
      <c r="A12" s="25">
        <v>10</v>
      </c>
      <c r="B12" s="25" t="s">
        <v>272</v>
      </c>
      <c r="C12" s="170" t="s">
        <v>123</v>
      </c>
      <c r="D12" s="26" t="s">
        <v>124</v>
      </c>
      <c r="E12" s="27" t="s">
        <v>287</v>
      </c>
      <c r="F12" s="28">
        <v>1</v>
      </c>
      <c r="G12" s="25" t="s">
        <v>310</v>
      </c>
      <c r="H12" s="49">
        <v>23</v>
      </c>
      <c r="I12" s="50">
        <v>23</v>
      </c>
      <c r="J12" s="110">
        <v>22</v>
      </c>
      <c r="K12" s="126">
        <v>225973</v>
      </c>
      <c r="L12" s="58">
        <v>239277</v>
      </c>
      <c r="M12" s="128">
        <v>233492</v>
      </c>
      <c r="N12" s="117">
        <v>214914</v>
      </c>
      <c r="O12" s="50">
        <v>227399</v>
      </c>
      <c r="P12" s="110">
        <v>221199</v>
      </c>
      <c r="Q12" s="142">
        <f t="shared" si="0"/>
        <v>11059</v>
      </c>
      <c r="R12" s="64">
        <f t="shared" si="1"/>
        <v>11878</v>
      </c>
      <c r="S12" s="143">
        <f t="shared" si="2"/>
        <v>12293</v>
      </c>
      <c r="T12" s="156">
        <f>20801+308642</f>
        <v>329443</v>
      </c>
      <c r="U12" s="50">
        <f>34191+313339</f>
        <v>347530</v>
      </c>
      <c r="V12" s="158">
        <f>32518+305580</f>
        <v>338098</v>
      </c>
      <c r="W12" s="149">
        <v>1161</v>
      </c>
      <c r="X12" s="58">
        <v>15430</v>
      </c>
      <c r="Y12" s="59">
        <v>-8508</v>
      </c>
      <c r="Z12" s="49">
        <v>1520</v>
      </c>
      <c r="AA12" s="50">
        <v>14431</v>
      </c>
      <c r="AB12" s="52">
        <v>-6200</v>
      </c>
      <c r="AC12" s="15"/>
      <c r="AD12" s="15"/>
      <c r="AE12" s="7"/>
      <c r="AF12" s="7"/>
      <c r="AG12" s="7">
        <v>48609</v>
      </c>
      <c r="AH12" s="7">
        <v>60040</v>
      </c>
      <c r="AI12" s="7">
        <v>111757</v>
      </c>
      <c r="AJ12" s="7">
        <v>0</v>
      </c>
      <c r="AK12" s="7">
        <v>0</v>
      </c>
      <c r="AL12" s="7"/>
      <c r="AM12" s="7"/>
      <c r="AN12" s="7"/>
      <c r="AO12" s="7">
        <f t="shared" ref="AO12:AP60" si="4">+AE12-AJ12</f>
        <v>0</v>
      </c>
      <c r="AP12" s="7">
        <f t="shared" si="4"/>
        <v>0</v>
      </c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>
        <v>0</v>
      </c>
      <c r="BE12" s="7">
        <v>0</v>
      </c>
      <c r="BF12" s="7"/>
      <c r="BG12" s="7"/>
      <c r="BH12" s="7"/>
      <c r="BI12" s="7">
        <v>0</v>
      </c>
      <c r="BJ12" s="7">
        <v>0</v>
      </c>
      <c r="BK12" s="7">
        <v>114250</v>
      </c>
      <c r="BL12" s="7">
        <v>149300</v>
      </c>
      <c r="BM12" s="7">
        <v>37585</v>
      </c>
      <c r="BN12" s="7">
        <v>0</v>
      </c>
      <c r="BO12" s="7">
        <v>0</v>
      </c>
      <c r="BP12" s="7">
        <v>93345</v>
      </c>
      <c r="BQ12" s="7">
        <v>139652</v>
      </c>
      <c r="BR12" s="7">
        <v>202061</v>
      </c>
      <c r="BS12" s="7"/>
      <c r="BT12" s="7"/>
      <c r="BU12" s="7"/>
      <c r="BV12" s="7"/>
      <c r="BW12" s="7"/>
      <c r="BX12" s="7"/>
      <c r="BY12" s="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40"/>
      <c r="CS12" s="40"/>
      <c r="CT12" s="38"/>
      <c r="CU12" s="38"/>
      <c r="CV12" s="38"/>
      <c r="CW12" s="40"/>
      <c r="CX12" s="40"/>
      <c r="CY12" s="38"/>
      <c r="CZ12" s="38"/>
      <c r="DA12" s="38"/>
      <c r="DB12" s="39"/>
      <c r="DC12" s="39"/>
      <c r="DD12" s="39"/>
      <c r="DE12" s="39"/>
      <c r="DF12" s="39"/>
      <c r="DG12" s="39"/>
      <c r="DH12" s="39"/>
      <c r="DI12" s="39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</row>
    <row r="13" spans="1:139" ht="15.75" thickBot="1" x14ac:dyDescent="0.3">
      <c r="A13" s="80">
        <v>11</v>
      </c>
      <c r="B13" s="80" t="s">
        <v>272</v>
      </c>
      <c r="C13" s="172" t="s">
        <v>141</v>
      </c>
      <c r="D13" s="81" t="s">
        <v>142</v>
      </c>
      <c r="E13" s="82" t="s">
        <v>287</v>
      </c>
      <c r="F13" s="83">
        <v>1</v>
      </c>
      <c r="G13" s="80" t="s">
        <v>307</v>
      </c>
      <c r="H13" s="55">
        <v>12</v>
      </c>
      <c r="I13" s="56">
        <v>13</v>
      </c>
      <c r="J13" s="111">
        <v>18</v>
      </c>
      <c r="K13" s="129">
        <v>20146</v>
      </c>
      <c r="L13" s="62">
        <v>5781</v>
      </c>
      <c r="M13" s="130">
        <v>95092</v>
      </c>
      <c r="N13" s="118">
        <v>20117</v>
      </c>
      <c r="O13" s="56">
        <v>5781</v>
      </c>
      <c r="P13" s="111">
        <v>45327</v>
      </c>
      <c r="Q13" s="144">
        <f t="shared" si="0"/>
        <v>29</v>
      </c>
      <c r="R13" s="65">
        <f t="shared" si="1"/>
        <v>0</v>
      </c>
      <c r="S13" s="145">
        <f t="shared" si="2"/>
        <v>49765</v>
      </c>
      <c r="T13" s="159">
        <v>144350</v>
      </c>
      <c r="U13" s="56">
        <v>152549</v>
      </c>
      <c r="V13" s="160">
        <v>336708</v>
      </c>
      <c r="W13" s="150">
        <v>-218</v>
      </c>
      <c r="X13" s="62">
        <v>-24849</v>
      </c>
      <c r="Y13" s="63">
        <v>38118</v>
      </c>
      <c r="Z13" s="55">
        <v>293</v>
      </c>
      <c r="AA13" s="56">
        <v>-14336</v>
      </c>
      <c r="AB13" s="57">
        <v>39546</v>
      </c>
      <c r="AC13" s="15"/>
      <c r="AD13" s="15"/>
      <c r="AE13" s="7"/>
      <c r="AF13" s="7"/>
      <c r="AG13" s="7">
        <v>133117</v>
      </c>
      <c r="AH13" s="7">
        <v>152695</v>
      </c>
      <c r="AI13" s="7">
        <v>205549</v>
      </c>
      <c r="AJ13" s="7">
        <v>-232276</v>
      </c>
      <c r="AK13" s="7">
        <v>-171053</v>
      </c>
      <c r="AL13" s="7"/>
      <c r="AM13" s="7"/>
      <c r="AN13" s="7"/>
      <c r="AO13" s="7">
        <f t="shared" si="4"/>
        <v>232276</v>
      </c>
      <c r="AP13" s="7">
        <f t="shared" si="4"/>
        <v>171053</v>
      </c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>
        <v>284347</v>
      </c>
      <c r="BE13" s="7">
        <v>257264</v>
      </c>
      <c r="BF13" s="7"/>
      <c r="BG13" s="7"/>
      <c r="BH13" s="7"/>
      <c r="BI13" s="7">
        <v>164046</v>
      </c>
      <c r="BJ13" s="7">
        <v>159457</v>
      </c>
      <c r="BK13" s="7">
        <v>206687</v>
      </c>
      <c r="BL13" s="7">
        <v>223334</v>
      </c>
      <c r="BM13" s="7">
        <v>233476</v>
      </c>
      <c r="BN13" s="7">
        <v>207350</v>
      </c>
      <c r="BO13" s="7">
        <v>195762</v>
      </c>
      <c r="BP13" s="7">
        <v>220989</v>
      </c>
      <c r="BQ13" s="7">
        <v>269540</v>
      </c>
      <c r="BR13" s="7">
        <v>289286</v>
      </c>
      <c r="BS13" s="7"/>
      <c r="BT13" s="7"/>
      <c r="BU13" s="7"/>
      <c r="BV13" s="7"/>
      <c r="BW13" s="7"/>
      <c r="BX13" s="7"/>
      <c r="BY13" s="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9"/>
      <c r="DC13" s="39"/>
      <c r="DD13" s="39"/>
      <c r="DE13" s="39"/>
      <c r="DF13" s="39"/>
      <c r="DG13" s="39"/>
      <c r="DH13" s="39"/>
      <c r="DI13" s="39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</row>
    <row r="14" spans="1:139" x14ac:dyDescent="0.25">
      <c r="A14" s="70">
        <v>12</v>
      </c>
      <c r="B14" s="70" t="s">
        <v>261</v>
      </c>
      <c r="C14" s="171" t="s">
        <v>8</v>
      </c>
      <c r="D14" s="71" t="s">
        <v>9</v>
      </c>
      <c r="E14" s="72" t="s">
        <v>287</v>
      </c>
      <c r="F14" s="73">
        <v>1</v>
      </c>
      <c r="G14" s="70" t="s">
        <v>299</v>
      </c>
      <c r="H14" s="74">
        <v>70</v>
      </c>
      <c r="I14" s="75">
        <v>75</v>
      </c>
      <c r="J14" s="108">
        <v>79</v>
      </c>
      <c r="K14" s="124">
        <v>1073246</v>
      </c>
      <c r="L14" s="77">
        <v>1284511</v>
      </c>
      <c r="M14" s="125">
        <v>463647</v>
      </c>
      <c r="N14" s="116">
        <v>-263263</v>
      </c>
      <c r="O14" s="75">
        <v>-242160</v>
      </c>
      <c r="P14" s="108">
        <v>-242036</v>
      </c>
      <c r="Q14" s="140">
        <f t="shared" si="0"/>
        <v>1336509</v>
      </c>
      <c r="R14" s="79">
        <f t="shared" si="1"/>
        <v>1526671</v>
      </c>
      <c r="S14" s="141">
        <f t="shared" si="2"/>
        <v>705683</v>
      </c>
      <c r="T14" s="154">
        <v>871984</v>
      </c>
      <c r="U14" s="75">
        <v>1068159</v>
      </c>
      <c r="V14" s="155">
        <v>1444066</v>
      </c>
      <c r="W14" s="148">
        <v>-142023</v>
      </c>
      <c r="X14" s="77">
        <v>21103</v>
      </c>
      <c r="Y14" s="78">
        <v>124</v>
      </c>
      <c r="Z14" s="74">
        <v>-142023</v>
      </c>
      <c r="AA14" s="75">
        <v>21103</v>
      </c>
      <c r="AB14" s="76">
        <v>124</v>
      </c>
      <c r="AC14" s="15">
        <v>6</v>
      </c>
      <c r="AD14" s="15">
        <v>6</v>
      </c>
      <c r="AE14" s="7"/>
      <c r="AF14" s="7"/>
      <c r="AG14" s="7">
        <v>11974566</v>
      </c>
      <c r="AH14" s="7">
        <v>11974566</v>
      </c>
      <c r="AI14" s="7">
        <v>11974566</v>
      </c>
      <c r="AJ14" s="7">
        <v>-352584</v>
      </c>
      <c r="AK14" s="7">
        <v>-372226</v>
      </c>
      <c r="AL14" s="7"/>
      <c r="AM14" s="7"/>
      <c r="AN14" s="7"/>
      <c r="AO14" s="7">
        <f t="shared" si="4"/>
        <v>352584</v>
      </c>
      <c r="AP14" s="7">
        <f t="shared" si="4"/>
        <v>372226</v>
      </c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>
        <v>0</v>
      </c>
      <c r="BE14" s="7">
        <v>0</v>
      </c>
      <c r="BF14" s="7"/>
      <c r="BG14" s="7"/>
      <c r="BH14" s="7"/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f>48+19774</f>
        <v>19822</v>
      </c>
      <c r="BO14" s="7">
        <f>48+19594</f>
        <v>19642</v>
      </c>
      <c r="BP14" s="7">
        <f>48+19594+215795</f>
        <v>235437</v>
      </c>
      <c r="BQ14" s="7">
        <f>49+19258</f>
        <v>19307</v>
      </c>
      <c r="BR14" s="7">
        <f>49+19386</f>
        <v>19435</v>
      </c>
      <c r="BS14" s="7"/>
      <c r="BT14" s="7"/>
      <c r="BU14" s="7"/>
      <c r="BV14" s="7"/>
      <c r="BW14" s="7"/>
      <c r="BX14" s="7"/>
      <c r="BY14" s="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9"/>
      <c r="DC14" s="39"/>
      <c r="DD14" s="39"/>
      <c r="DE14" s="39"/>
      <c r="DF14" s="39"/>
      <c r="DG14" s="39"/>
      <c r="DH14" s="39"/>
      <c r="DI14" s="39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</row>
    <row r="15" spans="1:139" x14ac:dyDescent="0.25">
      <c r="A15" s="25">
        <v>13</v>
      </c>
      <c r="B15" s="25" t="s">
        <v>261</v>
      </c>
      <c r="C15" s="170" t="s">
        <v>34</v>
      </c>
      <c r="D15" s="26" t="s">
        <v>35</v>
      </c>
      <c r="E15" s="27" t="s">
        <v>287</v>
      </c>
      <c r="F15" s="28">
        <v>1</v>
      </c>
      <c r="G15" s="25" t="s">
        <v>304</v>
      </c>
      <c r="H15" s="49">
        <v>9</v>
      </c>
      <c r="I15" s="50">
        <v>10</v>
      </c>
      <c r="J15" s="110">
        <v>11</v>
      </c>
      <c r="K15" s="126">
        <v>689700</v>
      </c>
      <c r="L15" s="58">
        <v>650599</v>
      </c>
      <c r="M15" s="128">
        <v>614763</v>
      </c>
      <c r="N15" s="117">
        <v>-261055</v>
      </c>
      <c r="O15" s="50">
        <v>-58154</v>
      </c>
      <c r="P15" s="110">
        <v>37392</v>
      </c>
      <c r="Q15" s="142">
        <f t="shared" si="0"/>
        <v>950755</v>
      </c>
      <c r="R15" s="64">
        <f t="shared" si="1"/>
        <v>708753</v>
      </c>
      <c r="S15" s="143">
        <f t="shared" si="2"/>
        <v>577371</v>
      </c>
      <c r="T15" s="156">
        <v>105800</v>
      </c>
      <c r="U15" s="50">
        <v>337526</v>
      </c>
      <c r="V15" s="158">
        <v>259810</v>
      </c>
      <c r="W15" s="149">
        <v>-19731</v>
      </c>
      <c r="X15" s="58">
        <v>202829</v>
      </c>
      <c r="Y15" s="59">
        <v>95617</v>
      </c>
      <c r="Z15" s="49">
        <v>-22530</v>
      </c>
      <c r="AA15" s="50">
        <v>178733</v>
      </c>
      <c r="AB15" s="52">
        <v>95546</v>
      </c>
      <c r="AC15" s="15"/>
      <c r="AD15" s="15"/>
      <c r="AE15" s="7"/>
      <c r="AF15" s="7"/>
      <c r="AG15" s="7">
        <v>45313</v>
      </c>
      <c r="AH15" s="7">
        <v>49976</v>
      </c>
      <c r="AI15" s="7">
        <v>50449</v>
      </c>
      <c r="AJ15" s="7">
        <v>-66837</v>
      </c>
      <c r="AK15" s="7">
        <v>-65069</v>
      </c>
      <c r="AL15" s="7"/>
      <c r="AM15" s="7"/>
      <c r="AN15" s="7"/>
      <c r="AO15" s="7">
        <f t="shared" si="4"/>
        <v>66837</v>
      </c>
      <c r="AP15" s="7">
        <f t="shared" si="4"/>
        <v>65069</v>
      </c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>
        <v>132541</v>
      </c>
      <c r="BE15" s="7">
        <v>106802</v>
      </c>
      <c r="BF15" s="7"/>
      <c r="BG15" s="7"/>
      <c r="BH15" s="7"/>
      <c r="BI15" s="7">
        <v>325815</v>
      </c>
      <c r="BJ15" s="7">
        <v>276709</v>
      </c>
      <c r="BK15" s="7">
        <v>271801</v>
      </c>
      <c r="BL15" s="7">
        <v>273830</v>
      </c>
      <c r="BM15" s="7">
        <v>270440</v>
      </c>
      <c r="BN15" s="7">
        <v>318111</v>
      </c>
      <c r="BO15" s="7">
        <v>274941</v>
      </c>
      <c r="BP15" s="7">
        <v>268629</v>
      </c>
      <c r="BQ15" s="7">
        <v>273724</v>
      </c>
      <c r="BR15" s="7">
        <v>315483</v>
      </c>
      <c r="BS15" s="7"/>
      <c r="BT15" s="7"/>
      <c r="BU15" s="7"/>
      <c r="BV15" s="7"/>
      <c r="BW15" s="7"/>
      <c r="BX15" s="7"/>
      <c r="BY15" s="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9"/>
      <c r="DC15" s="39"/>
      <c r="DD15" s="39"/>
      <c r="DE15" s="39"/>
      <c r="DF15" s="39"/>
      <c r="DG15" s="39"/>
      <c r="DH15" s="39"/>
      <c r="DI15" s="39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</row>
    <row r="16" spans="1:139" x14ac:dyDescent="0.25">
      <c r="A16" s="25">
        <v>14</v>
      </c>
      <c r="B16" s="25" t="s">
        <v>261</v>
      </c>
      <c r="C16" s="170" t="s">
        <v>91</v>
      </c>
      <c r="D16" s="26" t="s">
        <v>92</v>
      </c>
      <c r="E16" s="27" t="s">
        <v>287</v>
      </c>
      <c r="F16" s="28">
        <v>1</v>
      </c>
      <c r="G16" s="25" t="s">
        <v>306</v>
      </c>
      <c r="H16" s="49">
        <v>143</v>
      </c>
      <c r="I16" s="50">
        <v>140</v>
      </c>
      <c r="J16" s="110">
        <v>143</v>
      </c>
      <c r="K16" s="126">
        <v>1880809</v>
      </c>
      <c r="L16" s="58">
        <v>1735277</v>
      </c>
      <c r="M16" s="128">
        <v>1743561</v>
      </c>
      <c r="N16" s="117">
        <v>-2415712</v>
      </c>
      <c r="O16" s="50">
        <v>-2652727</v>
      </c>
      <c r="P16" s="110">
        <v>-2971437</v>
      </c>
      <c r="Q16" s="142">
        <f t="shared" si="0"/>
        <v>4296521</v>
      </c>
      <c r="R16" s="64">
        <f t="shared" si="1"/>
        <v>4388004</v>
      </c>
      <c r="S16" s="143">
        <f t="shared" si="2"/>
        <v>4714998</v>
      </c>
      <c r="T16" s="156">
        <v>1270291</v>
      </c>
      <c r="U16" s="50">
        <v>1278799</v>
      </c>
      <c r="V16" s="158">
        <v>1318819</v>
      </c>
      <c r="W16" s="149">
        <v>-9301</v>
      </c>
      <c r="X16" s="58">
        <v>-237294</v>
      </c>
      <c r="Y16" s="59">
        <v>-350294</v>
      </c>
      <c r="Z16" s="49">
        <v>-9166</v>
      </c>
      <c r="AA16" s="50">
        <v>-237015</v>
      </c>
      <c r="AB16" s="52">
        <v>-348058</v>
      </c>
      <c r="AC16" s="15"/>
      <c r="AD16" s="15"/>
      <c r="AE16" s="7"/>
      <c r="AF16" s="7"/>
      <c r="AG16" s="7">
        <v>134315</v>
      </c>
      <c r="AH16" s="7">
        <v>168531</v>
      </c>
      <c r="AI16" s="7">
        <v>237744</v>
      </c>
      <c r="AJ16" s="7">
        <v>58719</v>
      </c>
      <c r="AK16" s="7">
        <v>29129</v>
      </c>
      <c r="AL16" s="7"/>
      <c r="AM16" s="7"/>
      <c r="AN16" s="7"/>
      <c r="AO16" s="7">
        <f t="shared" si="4"/>
        <v>-58719</v>
      </c>
      <c r="AP16" s="7">
        <f t="shared" si="4"/>
        <v>-29129</v>
      </c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>
        <v>307826</v>
      </c>
      <c r="BE16" s="7">
        <v>231869</v>
      </c>
      <c r="BF16" s="7"/>
      <c r="BG16" s="7"/>
      <c r="BH16" s="7"/>
      <c r="BI16" s="7">
        <v>307246</v>
      </c>
      <c r="BJ16" s="7">
        <v>128700</v>
      </c>
      <c r="BK16" s="7">
        <v>200552</v>
      </c>
      <c r="BL16" s="7">
        <v>252891</v>
      </c>
      <c r="BM16" s="7">
        <v>283903</v>
      </c>
      <c r="BN16" s="7">
        <v>273606</v>
      </c>
      <c r="BO16" s="7">
        <v>261461</v>
      </c>
      <c r="BP16" s="7">
        <v>240865</v>
      </c>
      <c r="BQ16" s="7">
        <v>226024</v>
      </c>
      <c r="BR16" s="7">
        <v>220250</v>
      </c>
      <c r="BS16" s="7"/>
      <c r="BT16" s="7"/>
      <c r="BU16" s="7"/>
      <c r="BV16" s="7"/>
      <c r="BW16" s="7"/>
      <c r="BX16" s="7"/>
      <c r="BY16" s="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9"/>
      <c r="DC16" s="39"/>
      <c r="DD16" s="39"/>
      <c r="DE16" s="39"/>
      <c r="DF16" s="39"/>
      <c r="DG16" s="39"/>
      <c r="DH16" s="39"/>
      <c r="DI16" s="39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</row>
    <row r="17" spans="1:139" x14ac:dyDescent="0.25">
      <c r="A17" s="25">
        <v>15</v>
      </c>
      <c r="B17" s="25" t="s">
        <v>261</v>
      </c>
      <c r="C17" s="170" t="s">
        <v>125</v>
      </c>
      <c r="D17" s="26" t="s">
        <v>126</v>
      </c>
      <c r="E17" s="27" t="s">
        <v>287</v>
      </c>
      <c r="F17" s="28">
        <v>1</v>
      </c>
      <c r="G17" s="25" t="s">
        <v>310</v>
      </c>
      <c r="H17" s="49">
        <v>21</v>
      </c>
      <c r="I17" s="50">
        <v>22</v>
      </c>
      <c r="J17" s="110">
        <v>22</v>
      </c>
      <c r="K17" s="126">
        <v>35317</v>
      </c>
      <c r="L17" s="58">
        <v>42463</v>
      </c>
      <c r="M17" s="128">
        <v>24811</v>
      </c>
      <c r="N17" s="117">
        <v>-868755</v>
      </c>
      <c r="O17" s="50">
        <v>-908643</v>
      </c>
      <c r="P17" s="110">
        <v>-1013744</v>
      </c>
      <c r="Q17" s="142">
        <f t="shared" si="0"/>
        <v>904072</v>
      </c>
      <c r="R17" s="64">
        <f t="shared" si="1"/>
        <v>951106</v>
      </c>
      <c r="S17" s="143">
        <f t="shared" si="2"/>
        <v>1038555</v>
      </c>
      <c r="T17" s="156">
        <v>153097</v>
      </c>
      <c r="U17" s="50">
        <v>167629</v>
      </c>
      <c r="V17" s="158">
        <v>182577</v>
      </c>
      <c r="W17" s="149">
        <v>-64408</v>
      </c>
      <c r="X17" s="58">
        <v>-39367</v>
      </c>
      <c r="Y17" s="59">
        <v>-104217</v>
      </c>
      <c r="Z17" s="49">
        <v>-64408</v>
      </c>
      <c r="AA17" s="50">
        <v>-39888</v>
      </c>
      <c r="AB17" s="52">
        <v>-105100</v>
      </c>
      <c r="AC17" s="15"/>
      <c r="AD17" s="15"/>
      <c r="AE17" s="7"/>
      <c r="AF17" s="7"/>
      <c r="AG17" s="7">
        <v>689700</v>
      </c>
      <c r="AH17" s="7">
        <v>650599</v>
      </c>
      <c r="AI17" s="7">
        <v>614763</v>
      </c>
      <c r="AJ17" s="7">
        <v>-68944</v>
      </c>
      <c r="AK17" s="7">
        <v>-238525</v>
      </c>
      <c r="AL17" s="7"/>
      <c r="AM17" s="7"/>
      <c r="AN17" s="7"/>
      <c r="AO17" s="7">
        <f t="shared" si="4"/>
        <v>68944</v>
      </c>
      <c r="AP17" s="7">
        <f t="shared" si="4"/>
        <v>238525</v>
      </c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>
        <v>18365</v>
      </c>
      <c r="BE17" s="7">
        <v>22800</v>
      </c>
      <c r="BF17" s="7"/>
      <c r="BG17" s="7"/>
      <c r="BH17" s="7"/>
      <c r="BI17" s="7">
        <v>0</v>
      </c>
      <c r="BJ17" s="7">
        <v>0</v>
      </c>
      <c r="BK17" s="7">
        <v>65099</v>
      </c>
      <c r="BL17" s="7">
        <v>164016</v>
      </c>
      <c r="BM17" s="7">
        <v>167463</v>
      </c>
      <c r="BN17" s="7">
        <v>90342</v>
      </c>
      <c r="BO17" s="7">
        <v>192382</v>
      </c>
      <c r="BP17" s="7">
        <v>128330</v>
      </c>
      <c r="BQ17" s="7">
        <v>158793</v>
      </c>
      <c r="BR17" s="7">
        <v>164264</v>
      </c>
      <c r="BS17" s="7"/>
      <c r="BT17" s="7"/>
      <c r="BU17" s="7"/>
      <c r="BV17" s="7"/>
      <c r="BW17" s="7"/>
      <c r="BX17" s="7"/>
      <c r="BY17" s="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9"/>
      <c r="DC17" s="39"/>
      <c r="DD17" s="39"/>
      <c r="DE17" s="39"/>
      <c r="DF17" s="39"/>
      <c r="DG17" s="39"/>
      <c r="DH17" s="39"/>
      <c r="DI17" s="39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</row>
    <row r="18" spans="1:139" x14ac:dyDescent="0.25">
      <c r="A18" s="25">
        <v>16</v>
      </c>
      <c r="B18" s="25" t="s">
        <v>261</v>
      </c>
      <c r="C18" s="170" t="s">
        <v>162</v>
      </c>
      <c r="D18" s="26" t="s">
        <v>163</v>
      </c>
      <c r="E18" s="27" t="s">
        <v>287</v>
      </c>
      <c r="F18" s="28">
        <v>1</v>
      </c>
      <c r="G18" s="25" t="s">
        <v>308</v>
      </c>
      <c r="H18" s="49">
        <v>13</v>
      </c>
      <c r="I18" s="50">
        <v>12</v>
      </c>
      <c r="J18" s="110">
        <v>12</v>
      </c>
      <c r="K18" s="126">
        <v>13971</v>
      </c>
      <c r="L18" s="58">
        <v>8012</v>
      </c>
      <c r="M18" s="128">
        <v>20084</v>
      </c>
      <c r="N18" s="117">
        <v>-62884</v>
      </c>
      <c r="O18" s="50">
        <v>-89404</v>
      </c>
      <c r="P18" s="110">
        <v>-102273</v>
      </c>
      <c r="Q18" s="142">
        <f t="shared" si="0"/>
        <v>76855</v>
      </c>
      <c r="R18" s="64">
        <f t="shared" si="1"/>
        <v>97416</v>
      </c>
      <c r="S18" s="143">
        <f t="shared" si="2"/>
        <v>122357</v>
      </c>
      <c r="T18" s="156">
        <v>87671</v>
      </c>
      <c r="U18" s="50">
        <v>115424</v>
      </c>
      <c r="V18" s="158">
        <v>120178</v>
      </c>
      <c r="W18" s="149">
        <v>-22796</v>
      </c>
      <c r="X18" s="58">
        <v>-26520</v>
      </c>
      <c r="Y18" s="59">
        <v>-12869</v>
      </c>
      <c r="Z18" s="49">
        <v>-22796</v>
      </c>
      <c r="AA18" s="50">
        <v>-26520</v>
      </c>
      <c r="AB18" s="52">
        <v>-12869</v>
      </c>
      <c r="AC18" s="15"/>
      <c r="AD18" s="15"/>
      <c r="AE18" s="7"/>
      <c r="AF18" s="7"/>
      <c r="AG18" s="7">
        <v>231593</v>
      </c>
      <c r="AH18" s="7">
        <v>239330</v>
      </c>
      <c r="AI18" s="7">
        <v>240946</v>
      </c>
      <c r="AJ18" s="7">
        <v>-147469</v>
      </c>
      <c r="AK18" s="7">
        <v>-150918</v>
      </c>
      <c r="AL18" s="7"/>
      <c r="AM18" s="7"/>
      <c r="AN18" s="7"/>
      <c r="AO18" s="7">
        <f t="shared" si="4"/>
        <v>147469</v>
      </c>
      <c r="AP18" s="7">
        <f t="shared" si="4"/>
        <v>150918</v>
      </c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>
        <v>172006</v>
      </c>
      <c r="BE18" s="7">
        <v>166389</v>
      </c>
      <c r="BF18" s="7"/>
      <c r="BG18" s="7"/>
      <c r="BH18" s="7"/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f>56517+140170</f>
        <v>196687</v>
      </c>
      <c r="BO18" s="7">
        <f>29840+139125</f>
        <v>168965</v>
      </c>
      <c r="BP18" s="7">
        <f>57177+132096</f>
        <v>189273</v>
      </c>
      <c r="BQ18" s="7">
        <v>136676</v>
      </c>
      <c r="BR18" s="7">
        <v>192327</v>
      </c>
      <c r="BS18" s="7"/>
      <c r="BT18" s="7"/>
      <c r="BU18" s="7"/>
      <c r="BV18" s="7"/>
      <c r="BW18" s="7"/>
      <c r="BX18" s="7"/>
      <c r="BY18" s="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9"/>
      <c r="DC18" s="39"/>
      <c r="DD18" s="39"/>
      <c r="DE18" s="39"/>
      <c r="DF18" s="39"/>
      <c r="DG18" s="39"/>
      <c r="DH18" s="39"/>
      <c r="DI18" s="39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</row>
    <row r="19" spans="1:139" x14ac:dyDescent="0.25">
      <c r="A19" s="25">
        <v>17</v>
      </c>
      <c r="B19" s="25" t="s">
        <v>261</v>
      </c>
      <c r="C19" s="170" t="s">
        <v>196</v>
      </c>
      <c r="D19" s="26" t="s">
        <v>197</v>
      </c>
      <c r="E19" s="27" t="s">
        <v>287</v>
      </c>
      <c r="F19" s="28">
        <v>1</v>
      </c>
      <c r="G19" s="25" t="s">
        <v>305</v>
      </c>
      <c r="H19" s="49">
        <v>48</v>
      </c>
      <c r="I19" s="50">
        <v>47</v>
      </c>
      <c r="J19" s="110">
        <v>48</v>
      </c>
      <c r="K19" s="126">
        <v>96498</v>
      </c>
      <c r="L19" s="58">
        <v>97609</v>
      </c>
      <c r="M19" s="128">
        <v>135722</v>
      </c>
      <c r="N19" s="117">
        <v>-548761</v>
      </c>
      <c r="O19" s="50">
        <v>-554783</v>
      </c>
      <c r="P19" s="110">
        <v>-563772</v>
      </c>
      <c r="Q19" s="142">
        <f t="shared" si="0"/>
        <v>645259</v>
      </c>
      <c r="R19" s="64">
        <f t="shared" si="1"/>
        <v>652392</v>
      </c>
      <c r="S19" s="143">
        <f t="shared" si="2"/>
        <v>699494</v>
      </c>
      <c r="T19" s="156">
        <v>370684</v>
      </c>
      <c r="U19" s="50">
        <v>447147</v>
      </c>
      <c r="V19" s="158">
        <v>483907</v>
      </c>
      <c r="W19" s="149">
        <v>-54830</v>
      </c>
      <c r="X19" s="58">
        <v>-11955</v>
      </c>
      <c r="Y19" s="59">
        <v>-8989</v>
      </c>
      <c r="Z19" s="49">
        <v>-54378</v>
      </c>
      <c r="AA19" s="50">
        <v>-6019</v>
      </c>
      <c r="AB19" s="52">
        <v>-8989</v>
      </c>
      <c r="AC19" s="15"/>
      <c r="AD19" s="15"/>
      <c r="AE19" s="7"/>
      <c r="AF19" s="7"/>
      <c r="AG19" s="7">
        <v>2099631</v>
      </c>
      <c r="AH19" s="7">
        <v>1703253</v>
      </c>
      <c r="AI19" s="7">
        <v>2512508</v>
      </c>
      <c r="AJ19" s="7">
        <v>1018968</v>
      </c>
      <c r="AK19" s="7">
        <v>1033536</v>
      </c>
      <c r="AL19" s="7"/>
      <c r="AM19" s="7"/>
      <c r="AN19" s="7"/>
      <c r="AO19" s="7">
        <f t="shared" si="4"/>
        <v>-1018968</v>
      </c>
      <c r="AP19" s="7">
        <f t="shared" si="4"/>
        <v>-1033536</v>
      </c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>
        <v>3134083</v>
      </c>
      <c r="BE19" s="7">
        <v>2659487</v>
      </c>
      <c r="BF19" s="7"/>
      <c r="BG19" s="7"/>
      <c r="BH19" s="7"/>
      <c r="BI19" s="7">
        <v>3041738</v>
      </c>
      <c r="BJ19" s="7">
        <v>2598688</v>
      </c>
      <c r="BK19" s="7">
        <v>3174012</v>
      </c>
      <c r="BL19" s="7">
        <v>2580896</v>
      </c>
      <c r="BM19" s="7">
        <v>2792997</v>
      </c>
      <c r="BN19" s="7">
        <v>2840484</v>
      </c>
      <c r="BO19" s="7">
        <v>2613632</v>
      </c>
      <c r="BP19" s="7">
        <v>3002069</v>
      </c>
      <c r="BQ19" s="7">
        <v>3346727</v>
      </c>
      <c r="BR19" s="7">
        <v>3794563</v>
      </c>
      <c r="BS19" s="7"/>
      <c r="BT19" s="7"/>
      <c r="BU19" s="7"/>
      <c r="BV19" s="7"/>
      <c r="BW19" s="7"/>
      <c r="BX19" s="7"/>
      <c r="BY19" s="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9"/>
      <c r="DC19" s="39"/>
      <c r="DD19" s="39"/>
      <c r="DE19" s="39"/>
      <c r="DF19" s="39"/>
      <c r="DG19" s="39"/>
      <c r="DH19" s="39"/>
      <c r="DI19" s="39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</row>
    <row r="20" spans="1:139" ht="15.75" thickBot="1" x14ac:dyDescent="0.3">
      <c r="A20" s="80">
        <v>18</v>
      </c>
      <c r="B20" s="80" t="s">
        <v>261</v>
      </c>
      <c r="C20" s="172" t="s">
        <v>226</v>
      </c>
      <c r="D20" s="81" t="s">
        <v>227</v>
      </c>
      <c r="E20" s="82" t="s">
        <v>287</v>
      </c>
      <c r="F20" s="83">
        <v>1</v>
      </c>
      <c r="G20" s="80" t="s">
        <v>306</v>
      </c>
      <c r="H20" s="55">
        <v>61</v>
      </c>
      <c r="I20" s="56">
        <v>62</v>
      </c>
      <c r="J20" s="111">
        <v>61</v>
      </c>
      <c r="K20" s="129">
        <v>1911125</v>
      </c>
      <c r="L20" s="62">
        <v>2154981</v>
      </c>
      <c r="M20" s="130">
        <v>2207014</v>
      </c>
      <c r="N20" s="118">
        <v>1532753</v>
      </c>
      <c r="O20" s="56">
        <v>1747838</v>
      </c>
      <c r="P20" s="111">
        <v>1755580</v>
      </c>
      <c r="Q20" s="144">
        <f t="shared" si="0"/>
        <v>378372</v>
      </c>
      <c r="R20" s="65">
        <f t="shared" si="1"/>
        <v>407143</v>
      </c>
      <c r="S20" s="145">
        <f t="shared" si="2"/>
        <v>451434</v>
      </c>
      <c r="T20" s="159">
        <v>847754</v>
      </c>
      <c r="U20" s="56">
        <v>828391</v>
      </c>
      <c r="V20" s="160">
        <v>836860</v>
      </c>
      <c r="W20" s="150">
        <v>42013</v>
      </c>
      <c r="X20" s="62">
        <v>5006</v>
      </c>
      <c r="Y20" s="63">
        <v>1679</v>
      </c>
      <c r="Z20" s="55">
        <v>38232</v>
      </c>
      <c r="AA20" s="56">
        <v>4555</v>
      </c>
      <c r="AB20" s="57">
        <v>1528</v>
      </c>
      <c r="AC20" s="15"/>
      <c r="AD20" s="15"/>
      <c r="AE20" s="7"/>
      <c r="AF20" s="7"/>
      <c r="AG20" s="7">
        <v>2577988</v>
      </c>
      <c r="AH20" s="7">
        <v>2410029</v>
      </c>
      <c r="AI20" s="7">
        <v>2403804</v>
      </c>
      <c r="AJ20" s="7">
        <v>-190994</v>
      </c>
      <c r="AK20" s="7">
        <v>-67989</v>
      </c>
      <c r="AL20" s="7"/>
      <c r="AM20" s="7"/>
      <c r="AN20" s="7"/>
      <c r="AO20" s="7">
        <f t="shared" si="4"/>
        <v>190994</v>
      </c>
      <c r="AP20" s="7">
        <f t="shared" si="4"/>
        <v>67989</v>
      </c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>
        <v>2186670</v>
      </c>
      <c r="BE20" s="7">
        <v>2288306</v>
      </c>
      <c r="BF20" s="7"/>
      <c r="BG20" s="7"/>
      <c r="BH20" s="7"/>
      <c r="BI20" s="7">
        <v>2103113</v>
      </c>
      <c r="BJ20" s="7">
        <v>2159779</v>
      </c>
      <c r="BK20" s="7">
        <v>2257854</v>
      </c>
      <c r="BL20" s="7">
        <v>2687045</v>
      </c>
      <c r="BM20" s="7">
        <v>2892789</v>
      </c>
      <c r="BN20" s="7">
        <v>2096013</v>
      </c>
      <c r="BO20" s="7">
        <v>2141452</v>
      </c>
      <c r="BP20" s="7">
        <v>2167567</v>
      </c>
      <c r="BQ20" s="7">
        <v>2559880</v>
      </c>
      <c r="BR20" s="7">
        <v>3042712</v>
      </c>
      <c r="BS20" s="7"/>
      <c r="BT20" s="7"/>
      <c r="BU20" s="7"/>
      <c r="BV20" s="7"/>
      <c r="BW20" s="7"/>
      <c r="BX20" s="7"/>
      <c r="BY20" s="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9"/>
      <c r="DC20" s="39"/>
      <c r="DD20" s="39"/>
      <c r="DE20" s="39"/>
      <c r="DF20" s="39"/>
      <c r="DG20" s="39"/>
      <c r="DH20" s="39"/>
      <c r="DI20" s="39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</row>
    <row r="21" spans="1:139" x14ac:dyDescent="0.25">
      <c r="A21" s="70">
        <v>19</v>
      </c>
      <c r="B21" s="70" t="s">
        <v>273</v>
      </c>
      <c r="C21" s="171" t="s">
        <v>87</v>
      </c>
      <c r="D21" s="71" t="s">
        <v>88</v>
      </c>
      <c r="E21" s="72" t="s">
        <v>287</v>
      </c>
      <c r="F21" s="73">
        <v>1</v>
      </c>
      <c r="G21" s="70" t="s">
        <v>306</v>
      </c>
      <c r="H21" s="74">
        <v>148</v>
      </c>
      <c r="I21" s="75">
        <v>138</v>
      </c>
      <c r="J21" s="108">
        <v>149</v>
      </c>
      <c r="K21" s="124">
        <v>3657271</v>
      </c>
      <c r="L21" s="77">
        <v>3858653</v>
      </c>
      <c r="M21" s="125">
        <v>3760464</v>
      </c>
      <c r="N21" s="116">
        <v>-1012331</v>
      </c>
      <c r="O21" s="75">
        <v>-1159177</v>
      </c>
      <c r="P21" s="108">
        <v>-1636610</v>
      </c>
      <c r="Q21" s="140">
        <f t="shared" si="0"/>
        <v>4669602</v>
      </c>
      <c r="R21" s="79">
        <f t="shared" si="1"/>
        <v>5017830</v>
      </c>
      <c r="S21" s="141">
        <f t="shared" si="2"/>
        <v>5397074</v>
      </c>
      <c r="T21" s="154">
        <v>2108105</v>
      </c>
      <c r="U21" s="75">
        <v>2361166</v>
      </c>
      <c r="V21" s="155">
        <f>1284044+969382</f>
        <v>2253426</v>
      </c>
      <c r="W21" s="148">
        <v>-56371</v>
      </c>
      <c r="X21" s="77">
        <v>-81333</v>
      </c>
      <c r="Y21" s="78">
        <v>-349743</v>
      </c>
      <c r="Z21" s="74">
        <v>-78298</v>
      </c>
      <c r="AA21" s="75">
        <v>-97156</v>
      </c>
      <c r="AB21" s="76">
        <v>-365146</v>
      </c>
      <c r="AC21" s="15"/>
      <c r="AD21" s="15"/>
      <c r="AE21" s="7"/>
      <c r="AF21" s="7"/>
      <c r="AG21" s="7">
        <v>16728397</v>
      </c>
      <c r="AH21" s="7">
        <v>17550330</v>
      </c>
      <c r="AI21" s="7">
        <v>18429221</v>
      </c>
      <c r="AJ21" s="7">
        <v>10918629</v>
      </c>
      <c r="AK21" s="7">
        <v>11259340</v>
      </c>
      <c r="AL21" s="7"/>
      <c r="AM21" s="7"/>
      <c r="AN21" s="7"/>
      <c r="AO21" s="7">
        <f t="shared" si="4"/>
        <v>-10918629</v>
      </c>
      <c r="AP21" s="7">
        <f t="shared" si="4"/>
        <v>-11259340</v>
      </c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>
        <v>6844552</v>
      </c>
      <c r="BE21" s="7">
        <v>10374546</v>
      </c>
      <c r="BF21" s="7"/>
      <c r="BG21" s="7"/>
      <c r="BH21" s="7"/>
      <c r="BI21" s="7">
        <v>6523287</v>
      </c>
      <c r="BJ21" s="7">
        <v>6818050</v>
      </c>
      <c r="BK21" s="7">
        <v>7561633</v>
      </c>
      <c r="BL21" s="7">
        <v>7633608</v>
      </c>
      <c r="BM21" s="7">
        <v>7919066</v>
      </c>
      <c r="BN21" s="7">
        <v>6819446</v>
      </c>
      <c r="BO21" s="7">
        <v>10351058</v>
      </c>
      <c r="BP21" s="7">
        <v>8712435</v>
      </c>
      <c r="BQ21" s="7">
        <v>8276071</v>
      </c>
      <c r="BR21" s="7">
        <v>10114179</v>
      </c>
      <c r="BS21" s="7"/>
      <c r="BT21" s="7"/>
      <c r="BU21" s="7"/>
      <c r="BV21" s="7"/>
      <c r="BW21" s="7"/>
      <c r="BX21" s="7"/>
      <c r="BY21" s="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9"/>
      <c r="DC21" s="39"/>
      <c r="DD21" s="39"/>
      <c r="DE21" s="39"/>
      <c r="DF21" s="39"/>
      <c r="DG21" s="39"/>
      <c r="DH21" s="39"/>
      <c r="DI21" s="39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</row>
    <row r="22" spans="1:139" x14ac:dyDescent="0.25">
      <c r="A22" s="25">
        <v>20</v>
      </c>
      <c r="B22" s="25" t="s">
        <v>273</v>
      </c>
      <c r="C22" s="170" t="s">
        <v>164</v>
      </c>
      <c r="D22" s="26" t="s">
        <v>165</v>
      </c>
      <c r="E22" s="27" t="s">
        <v>287</v>
      </c>
      <c r="F22" s="28">
        <v>1</v>
      </c>
      <c r="G22" s="25" t="s">
        <v>308</v>
      </c>
      <c r="H22" s="49">
        <v>24</v>
      </c>
      <c r="I22" s="50">
        <v>21</v>
      </c>
      <c r="J22" s="110">
        <v>20</v>
      </c>
      <c r="K22" s="126">
        <v>111715</v>
      </c>
      <c r="L22" s="58">
        <v>124640</v>
      </c>
      <c r="M22" s="128">
        <v>130530</v>
      </c>
      <c r="N22" s="117">
        <v>-173143</v>
      </c>
      <c r="O22" s="50">
        <v>-184665</v>
      </c>
      <c r="P22" s="110">
        <v>-145730</v>
      </c>
      <c r="Q22" s="142">
        <f t="shared" si="0"/>
        <v>284858</v>
      </c>
      <c r="R22" s="64">
        <f t="shared" si="1"/>
        <v>309305</v>
      </c>
      <c r="S22" s="143">
        <f t="shared" si="2"/>
        <v>276260</v>
      </c>
      <c r="T22" s="156">
        <v>181036</v>
      </c>
      <c r="U22" s="50">
        <v>252634</v>
      </c>
      <c r="V22" s="158">
        <v>316516</v>
      </c>
      <c r="W22" s="149">
        <v>-35543</v>
      </c>
      <c r="X22" s="58">
        <v>-8034</v>
      </c>
      <c r="Y22" s="59">
        <v>43230</v>
      </c>
      <c r="Z22" s="49">
        <v>-38038</v>
      </c>
      <c r="AA22" s="50">
        <v>-11442</v>
      </c>
      <c r="AB22" s="52">
        <v>39050</v>
      </c>
      <c r="AC22" s="15"/>
      <c r="AD22" s="15"/>
      <c r="AE22" s="7"/>
      <c r="AF22" s="7"/>
      <c r="AG22" s="7">
        <v>21094234</v>
      </c>
      <c r="AH22" s="7">
        <v>18147433</v>
      </c>
      <c r="AI22" s="7">
        <v>18248186</v>
      </c>
      <c r="AJ22" s="7">
        <v>5965988</v>
      </c>
      <c r="AK22" s="7">
        <v>6585239</v>
      </c>
      <c r="AL22" s="7"/>
      <c r="AM22" s="7"/>
      <c r="AN22" s="7"/>
      <c r="AO22" s="7">
        <f t="shared" si="4"/>
        <v>-5965988</v>
      </c>
      <c r="AP22" s="7">
        <f t="shared" si="4"/>
        <v>-6585239</v>
      </c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>
        <v>4570204</v>
      </c>
      <c r="BE22" s="7">
        <v>4547267</v>
      </c>
      <c r="BF22" s="7"/>
      <c r="BG22" s="7"/>
      <c r="BH22" s="7"/>
      <c r="BI22" s="7">
        <v>4277951</v>
      </c>
      <c r="BJ22" s="7">
        <v>4265462</v>
      </c>
      <c r="BK22" s="7">
        <v>5514082</v>
      </c>
      <c r="BL22" s="7">
        <v>5907193</v>
      </c>
      <c r="BM22" s="7">
        <v>5811024</v>
      </c>
      <c r="BN22" s="7">
        <v>4170071</v>
      </c>
      <c r="BO22" s="7">
        <v>4164160</v>
      </c>
      <c r="BP22" s="7">
        <v>5298655</v>
      </c>
      <c r="BQ22" s="7">
        <v>5514941</v>
      </c>
      <c r="BR22" s="7">
        <v>5969847</v>
      </c>
      <c r="BS22" s="7"/>
      <c r="BT22" s="7"/>
      <c r="BU22" s="7"/>
      <c r="BV22" s="7"/>
      <c r="BW22" s="7"/>
      <c r="BX22" s="7"/>
      <c r="BY22" s="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9"/>
      <c r="DC22" s="39"/>
      <c r="DD22" s="39"/>
      <c r="DE22" s="39"/>
      <c r="DF22" s="39"/>
      <c r="DG22" s="39"/>
      <c r="DH22" s="39"/>
      <c r="DI22" s="39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</row>
    <row r="23" spans="1:139" ht="15.75" thickBot="1" x14ac:dyDescent="0.3">
      <c r="A23" s="25">
        <v>21</v>
      </c>
      <c r="B23" s="80" t="s">
        <v>273</v>
      </c>
      <c r="C23" s="172" t="s">
        <v>216</v>
      </c>
      <c r="D23" s="81" t="s">
        <v>217</v>
      </c>
      <c r="E23" s="82" t="s">
        <v>287</v>
      </c>
      <c r="F23" s="83">
        <v>1</v>
      </c>
      <c r="G23" s="80" t="s">
        <v>306</v>
      </c>
      <c r="H23" s="55">
        <v>64</v>
      </c>
      <c r="I23" s="56">
        <v>69</v>
      </c>
      <c r="J23" s="111">
        <v>72</v>
      </c>
      <c r="K23" s="129">
        <v>3603437</v>
      </c>
      <c r="L23" s="62">
        <v>3566629</v>
      </c>
      <c r="M23" s="130">
        <v>3364729</v>
      </c>
      <c r="N23" s="118">
        <v>2453609</v>
      </c>
      <c r="O23" s="56">
        <v>2335192</v>
      </c>
      <c r="P23" s="111">
        <v>2064216</v>
      </c>
      <c r="Q23" s="144">
        <f t="shared" si="0"/>
        <v>1149828</v>
      </c>
      <c r="R23" s="65">
        <f t="shared" si="1"/>
        <v>1231437</v>
      </c>
      <c r="S23" s="145">
        <f t="shared" si="2"/>
        <v>1300513</v>
      </c>
      <c r="T23" s="159">
        <v>1256120</v>
      </c>
      <c r="U23" s="56">
        <v>1178460</v>
      </c>
      <c r="V23" s="160">
        <v>1168125</v>
      </c>
      <c r="W23" s="150">
        <v>6652</v>
      </c>
      <c r="X23" s="62">
        <v>-122622</v>
      </c>
      <c r="Y23" s="63">
        <v>-270163</v>
      </c>
      <c r="Z23" s="55">
        <v>-8507</v>
      </c>
      <c r="AA23" s="56">
        <v>-118416</v>
      </c>
      <c r="AB23" s="57">
        <v>-270976</v>
      </c>
      <c r="AC23" s="15"/>
      <c r="AD23" s="15"/>
      <c r="AE23" s="7"/>
      <c r="AF23" s="7"/>
      <c r="AG23" s="7">
        <v>30466127</v>
      </c>
      <c r="AH23" s="7">
        <v>30600066</v>
      </c>
      <c r="AI23" s="7">
        <v>31369729</v>
      </c>
      <c r="AJ23" s="7">
        <v>-995281</v>
      </c>
      <c r="AK23" s="7">
        <v>-1349491</v>
      </c>
      <c r="AL23" s="7"/>
      <c r="AM23" s="7"/>
      <c r="AN23" s="7"/>
      <c r="AO23" s="7">
        <f t="shared" si="4"/>
        <v>995281</v>
      </c>
      <c r="AP23" s="7">
        <f t="shared" si="4"/>
        <v>1349491</v>
      </c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>
        <v>2791</v>
      </c>
      <c r="BE23" s="7">
        <v>2757</v>
      </c>
      <c r="BF23" s="7"/>
      <c r="BG23" s="7"/>
      <c r="BH23" s="7"/>
      <c r="BI23" s="7">
        <v>2773</v>
      </c>
      <c r="BJ23" s="7">
        <v>2757</v>
      </c>
      <c r="BK23" s="7">
        <v>0</v>
      </c>
      <c r="BL23" s="7">
        <v>0</v>
      </c>
      <c r="BM23" s="7">
        <v>0</v>
      </c>
      <c r="BN23" s="7">
        <v>324557</v>
      </c>
      <c r="BO23" s="7">
        <v>359395</v>
      </c>
      <c r="BP23" s="7">
        <v>866873</v>
      </c>
      <c r="BQ23" s="7">
        <v>622500</v>
      </c>
      <c r="BR23" s="7">
        <v>891431</v>
      </c>
      <c r="BS23" s="7"/>
      <c r="BT23" s="7"/>
      <c r="BU23" s="7"/>
      <c r="BV23" s="7"/>
      <c r="BW23" s="7"/>
      <c r="BX23" s="7"/>
      <c r="BY23" s="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9"/>
      <c r="DC23" s="39"/>
      <c r="DD23" s="39"/>
      <c r="DE23" s="39"/>
      <c r="DF23" s="39"/>
      <c r="DG23" s="39"/>
      <c r="DH23" s="39"/>
      <c r="DI23" s="39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</row>
    <row r="24" spans="1:139" x14ac:dyDescent="0.25">
      <c r="A24" s="70">
        <v>22</v>
      </c>
      <c r="B24" s="70" t="s">
        <v>266</v>
      </c>
      <c r="C24" s="171" t="s">
        <v>26</v>
      </c>
      <c r="D24" s="71" t="s">
        <v>27</v>
      </c>
      <c r="E24" s="72" t="s">
        <v>287</v>
      </c>
      <c r="F24" s="73">
        <v>1</v>
      </c>
      <c r="G24" s="70" t="s">
        <v>302</v>
      </c>
      <c r="H24" s="74">
        <v>14</v>
      </c>
      <c r="I24" s="75">
        <v>15</v>
      </c>
      <c r="J24" s="108">
        <v>18</v>
      </c>
      <c r="K24" s="124">
        <v>133117</v>
      </c>
      <c r="L24" s="77">
        <v>152695</v>
      </c>
      <c r="M24" s="125">
        <v>205549</v>
      </c>
      <c r="N24" s="116">
        <v>-90572</v>
      </c>
      <c r="O24" s="75">
        <v>-49938</v>
      </c>
      <c r="P24" s="108">
        <v>-744</v>
      </c>
      <c r="Q24" s="140">
        <f t="shared" si="0"/>
        <v>223689</v>
      </c>
      <c r="R24" s="79">
        <f t="shared" si="1"/>
        <v>202633</v>
      </c>
      <c r="S24" s="141">
        <f t="shared" si="2"/>
        <v>206293</v>
      </c>
      <c r="T24" s="154">
        <v>308380</v>
      </c>
      <c r="U24" s="75">
        <v>314425</v>
      </c>
      <c r="V24" s="155">
        <v>343632</v>
      </c>
      <c r="W24" s="148">
        <v>87391</v>
      </c>
      <c r="X24" s="77">
        <v>44885</v>
      </c>
      <c r="Y24" s="78">
        <v>54346</v>
      </c>
      <c r="Z24" s="74">
        <v>80481</v>
      </c>
      <c r="AA24" s="75">
        <v>40634</v>
      </c>
      <c r="AB24" s="76">
        <v>49194</v>
      </c>
      <c r="AC24" s="15">
        <v>6</v>
      </c>
      <c r="AD24" s="15">
        <v>6</v>
      </c>
      <c r="AE24" s="7"/>
      <c r="AF24" s="7"/>
      <c r="AG24" s="7">
        <v>316620</v>
      </c>
      <c r="AH24" s="7">
        <v>265531</v>
      </c>
      <c r="AI24" s="7">
        <v>290694</v>
      </c>
      <c r="AJ24" s="7">
        <v>34610</v>
      </c>
      <c r="AK24" s="7">
        <v>50254</v>
      </c>
      <c r="AL24" s="7"/>
      <c r="AM24" s="7"/>
      <c r="AN24" s="7"/>
      <c r="AO24" s="7">
        <f t="shared" si="4"/>
        <v>-34610</v>
      </c>
      <c r="AP24" s="7">
        <f t="shared" si="4"/>
        <v>-50254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>
        <v>207199</v>
      </c>
      <c r="BE24" s="7">
        <v>389554</v>
      </c>
      <c r="BF24" s="7"/>
      <c r="BG24" s="7"/>
      <c r="BH24" s="7"/>
      <c r="BI24" s="7">
        <v>207172</v>
      </c>
      <c r="BJ24" s="7">
        <v>389275</v>
      </c>
      <c r="BK24" s="7">
        <v>623128</v>
      </c>
      <c r="BL24" s="7">
        <v>534574</v>
      </c>
      <c r="BM24" s="7">
        <v>610311</v>
      </c>
      <c r="BN24" s="7">
        <v>191477</v>
      </c>
      <c r="BO24" s="7">
        <v>372234</v>
      </c>
      <c r="BP24" s="7">
        <v>470534</v>
      </c>
      <c r="BQ24" s="7">
        <v>538963</v>
      </c>
      <c r="BR24" s="7">
        <v>579413</v>
      </c>
      <c r="BS24" s="7"/>
      <c r="BT24" s="7"/>
      <c r="BU24" s="7"/>
      <c r="BV24" s="7"/>
      <c r="BW24" s="7"/>
      <c r="BX24" s="7"/>
      <c r="BY24" s="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9"/>
      <c r="DC24" s="39"/>
      <c r="DD24" s="39"/>
      <c r="DE24" s="39"/>
      <c r="DF24" s="39"/>
      <c r="DG24" s="39"/>
      <c r="DH24" s="39"/>
      <c r="DI24" s="39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</row>
    <row r="25" spans="1:139" x14ac:dyDescent="0.25">
      <c r="A25" s="25">
        <v>23</v>
      </c>
      <c r="B25" s="25" t="s">
        <v>266</v>
      </c>
      <c r="C25" s="170" t="s">
        <v>28</v>
      </c>
      <c r="D25" s="26" t="s">
        <v>29</v>
      </c>
      <c r="E25" s="27" t="s">
        <v>287</v>
      </c>
      <c r="F25" s="28">
        <v>1</v>
      </c>
      <c r="G25" s="25" t="s">
        <v>303</v>
      </c>
      <c r="H25" s="49">
        <v>1</v>
      </c>
      <c r="I25" s="50">
        <v>1</v>
      </c>
      <c r="J25" s="110">
        <v>1</v>
      </c>
      <c r="K25" s="126">
        <v>11974566</v>
      </c>
      <c r="L25" s="58">
        <v>11974566</v>
      </c>
      <c r="M25" s="128">
        <v>11974566</v>
      </c>
      <c r="N25" s="117">
        <v>-607664</v>
      </c>
      <c r="O25" s="50">
        <v>-626971</v>
      </c>
      <c r="P25" s="110">
        <v>-646407</v>
      </c>
      <c r="Q25" s="142">
        <f t="shared" si="0"/>
        <v>12582230</v>
      </c>
      <c r="R25" s="64">
        <f t="shared" si="1"/>
        <v>12601537</v>
      </c>
      <c r="S25" s="143">
        <f t="shared" si="2"/>
        <v>12620973</v>
      </c>
      <c r="T25" s="156">
        <v>0</v>
      </c>
      <c r="U25" s="50">
        <v>0</v>
      </c>
      <c r="V25" s="158">
        <v>0</v>
      </c>
      <c r="W25" s="149">
        <v>-235437</v>
      </c>
      <c r="X25" s="58">
        <v>-19307</v>
      </c>
      <c r="Y25" s="59">
        <v>-19435</v>
      </c>
      <c r="Z25" s="49">
        <v>-235437</v>
      </c>
      <c r="AA25" s="50">
        <v>-19307</v>
      </c>
      <c r="AB25" s="52">
        <v>-19435</v>
      </c>
      <c r="AC25" s="15">
        <v>6</v>
      </c>
      <c r="AD25" s="15">
        <v>6</v>
      </c>
      <c r="AE25" s="7"/>
      <c r="AF25" s="7"/>
      <c r="AG25" s="7">
        <v>1080025</v>
      </c>
      <c r="AH25" s="7">
        <v>1055433</v>
      </c>
      <c r="AI25" s="7">
        <v>1033271</v>
      </c>
      <c r="AJ25" s="7">
        <v>-884100</v>
      </c>
      <c r="AK25" s="7">
        <v>-954186</v>
      </c>
      <c r="AL25" s="7"/>
      <c r="AM25" s="7"/>
      <c r="AN25" s="7"/>
      <c r="AO25" s="7">
        <f t="shared" si="4"/>
        <v>884100</v>
      </c>
      <c r="AP25" s="7">
        <f t="shared" si="4"/>
        <v>954186</v>
      </c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>
        <v>53985</v>
      </c>
      <c r="BE25" s="7">
        <v>48505</v>
      </c>
      <c r="BF25" s="7"/>
      <c r="BG25" s="7"/>
      <c r="BH25" s="7"/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121729</v>
      </c>
      <c r="BO25" s="7">
        <v>197822</v>
      </c>
      <c r="BP25" s="7">
        <v>86546</v>
      </c>
      <c r="BQ25" s="7">
        <v>62187</v>
      </c>
      <c r="BR25" s="7">
        <v>62688</v>
      </c>
      <c r="BS25" s="7"/>
      <c r="BT25" s="7"/>
      <c r="BU25" s="7"/>
      <c r="BV25" s="7"/>
      <c r="BW25" s="7"/>
      <c r="BX25" s="7"/>
      <c r="BY25" s="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9"/>
      <c r="DC25" s="39"/>
      <c r="DD25" s="39"/>
      <c r="DE25" s="39"/>
      <c r="DF25" s="39"/>
      <c r="DG25" s="39"/>
      <c r="DH25" s="39"/>
      <c r="DI25" s="39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</row>
    <row r="26" spans="1:139" x14ac:dyDescent="0.25">
      <c r="A26" s="25">
        <v>24</v>
      </c>
      <c r="B26" s="25" t="s">
        <v>266</v>
      </c>
      <c r="C26" s="170" t="s">
        <v>67</v>
      </c>
      <c r="D26" s="26" t="s">
        <v>68</v>
      </c>
      <c r="E26" s="27" t="s">
        <v>287</v>
      </c>
      <c r="F26" s="84">
        <v>1</v>
      </c>
      <c r="G26" s="25" t="s">
        <v>310</v>
      </c>
      <c r="H26" s="53">
        <v>55</v>
      </c>
      <c r="I26" s="54">
        <v>55</v>
      </c>
      <c r="J26" s="109">
        <v>58</v>
      </c>
      <c r="K26" s="131">
        <v>618816</v>
      </c>
      <c r="L26" s="61">
        <v>637044</v>
      </c>
      <c r="M26" s="127">
        <v>575868</v>
      </c>
      <c r="N26" s="119">
        <v>282416</v>
      </c>
      <c r="O26" s="54">
        <v>381080</v>
      </c>
      <c r="P26" s="109">
        <v>312158</v>
      </c>
      <c r="Q26" s="142">
        <f t="shared" si="0"/>
        <v>336400</v>
      </c>
      <c r="R26" s="64">
        <f t="shared" si="1"/>
        <v>255964</v>
      </c>
      <c r="S26" s="143">
        <f t="shared" si="2"/>
        <v>263710</v>
      </c>
      <c r="T26" s="161">
        <v>1057826</v>
      </c>
      <c r="U26" s="54">
        <v>1148558</v>
      </c>
      <c r="V26" s="157">
        <f>74514+960270</f>
        <v>1034784</v>
      </c>
      <c r="W26" s="151">
        <v>131337</v>
      </c>
      <c r="X26" s="61">
        <v>109492</v>
      </c>
      <c r="Y26" s="60">
        <v>-69079</v>
      </c>
      <c r="Z26" s="53">
        <v>119318</v>
      </c>
      <c r="AA26" s="54">
        <v>98665</v>
      </c>
      <c r="AB26" s="51">
        <v>-68923</v>
      </c>
      <c r="AC26" s="15"/>
      <c r="AD26" s="15"/>
      <c r="AE26" s="7"/>
      <c r="AF26" s="7"/>
      <c r="AG26" s="7">
        <v>76889</v>
      </c>
      <c r="AH26" s="7">
        <v>70034</v>
      </c>
      <c r="AI26" s="7">
        <v>71902</v>
      </c>
      <c r="AJ26" s="7">
        <v>18870</v>
      </c>
      <c r="AK26" s="7">
        <v>14493</v>
      </c>
      <c r="AL26" s="7"/>
      <c r="AM26" s="7"/>
      <c r="AN26" s="7"/>
      <c r="AO26" s="7">
        <f t="shared" si="4"/>
        <v>-18870</v>
      </c>
      <c r="AP26" s="7">
        <f t="shared" si="4"/>
        <v>-14493</v>
      </c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>
        <v>77261</v>
      </c>
      <c r="BE26" s="7">
        <v>75868</v>
      </c>
      <c r="BF26" s="7"/>
      <c r="BG26" s="7"/>
      <c r="BH26" s="7"/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71911</v>
      </c>
      <c r="BO26" s="7">
        <v>74895</v>
      </c>
      <c r="BP26" s="7">
        <v>76466</v>
      </c>
      <c r="BQ26" s="7">
        <v>76899</v>
      </c>
      <c r="BR26" s="7">
        <v>92339</v>
      </c>
      <c r="BS26" s="7"/>
      <c r="BT26" s="7"/>
      <c r="BU26" s="7"/>
      <c r="BV26" s="7"/>
      <c r="BW26" s="7"/>
      <c r="BX26" s="7"/>
      <c r="BY26" s="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9"/>
      <c r="DC26" s="39"/>
      <c r="DD26" s="39"/>
      <c r="DE26" s="39"/>
      <c r="DF26" s="39"/>
      <c r="DG26" s="39"/>
      <c r="DH26" s="39"/>
      <c r="DI26" s="39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</row>
    <row r="27" spans="1:139" x14ac:dyDescent="0.25">
      <c r="A27" s="25">
        <v>25</v>
      </c>
      <c r="B27" s="25" t="s">
        <v>266</v>
      </c>
      <c r="C27" s="170" t="s">
        <v>93</v>
      </c>
      <c r="D27" s="26" t="s">
        <v>94</v>
      </c>
      <c r="E27" s="27" t="s">
        <v>287</v>
      </c>
      <c r="F27" s="28">
        <v>1</v>
      </c>
      <c r="G27" s="25" t="s">
        <v>306</v>
      </c>
      <c r="H27" s="49">
        <v>161</v>
      </c>
      <c r="I27" s="50">
        <v>171</v>
      </c>
      <c r="J27" s="110">
        <v>183</v>
      </c>
      <c r="K27" s="126">
        <v>4474674</v>
      </c>
      <c r="L27" s="58">
        <v>6423898</v>
      </c>
      <c r="M27" s="128">
        <v>7008332</v>
      </c>
      <c r="N27" s="117">
        <v>3383182</v>
      </c>
      <c r="O27" s="50">
        <v>5497089</v>
      </c>
      <c r="P27" s="110">
        <v>5549828</v>
      </c>
      <c r="Q27" s="142">
        <f t="shared" si="0"/>
        <v>1091492</v>
      </c>
      <c r="R27" s="64">
        <f t="shared" si="1"/>
        <v>926809</v>
      </c>
      <c r="S27" s="143">
        <f t="shared" si="2"/>
        <v>1458504</v>
      </c>
      <c r="T27" s="156">
        <v>5240189</v>
      </c>
      <c r="U27" s="50">
        <v>6734904</v>
      </c>
      <c r="V27" s="158">
        <f>6363555+172077</f>
        <v>6535632</v>
      </c>
      <c r="W27" s="149">
        <v>-356799</v>
      </c>
      <c r="X27" s="58">
        <v>-73411</v>
      </c>
      <c r="Y27" s="59">
        <v>-797466</v>
      </c>
      <c r="Z27" s="49">
        <v>-240622</v>
      </c>
      <c r="AA27" s="50">
        <v>16149</v>
      </c>
      <c r="AB27" s="52">
        <v>-916083</v>
      </c>
      <c r="AC27" s="15"/>
      <c r="AD27" s="15"/>
      <c r="AE27" s="7"/>
      <c r="AF27" s="7"/>
      <c r="AG27" s="7">
        <v>363099</v>
      </c>
      <c r="AH27" s="7">
        <v>521790</v>
      </c>
      <c r="AI27" s="7">
        <v>364382</v>
      </c>
      <c r="AJ27" s="7">
        <v>-319788</v>
      </c>
      <c r="AK27" s="7">
        <v>-272073</v>
      </c>
      <c r="AL27" s="7"/>
      <c r="AM27" s="7"/>
      <c r="AN27" s="7"/>
      <c r="AO27" s="7">
        <f t="shared" si="4"/>
        <v>319788</v>
      </c>
      <c r="AP27" s="7">
        <f t="shared" si="4"/>
        <v>272073</v>
      </c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>
        <v>441993</v>
      </c>
      <c r="BE27" s="7">
        <v>493227</v>
      </c>
      <c r="BF27" s="7"/>
      <c r="BG27" s="7"/>
      <c r="BH27" s="7"/>
      <c r="BI27" s="7">
        <v>414797</v>
      </c>
      <c r="BJ27" s="7">
        <v>441855</v>
      </c>
      <c r="BK27" s="7">
        <v>461257</v>
      </c>
      <c r="BL27" s="7">
        <v>456326</v>
      </c>
      <c r="BM27" s="7">
        <v>446889</v>
      </c>
      <c r="BN27" s="7">
        <v>472267</v>
      </c>
      <c r="BO27" s="7">
        <v>445512</v>
      </c>
      <c r="BP27" s="7">
        <v>437221</v>
      </c>
      <c r="BQ27" s="7">
        <v>420620</v>
      </c>
      <c r="BR27" s="7">
        <v>531022</v>
      </c>
      <c r="BS27" s="7"/>
      <c r="BT27" s="7"/>
      <c r="BU27" s="7"/>
      <c r="BV27" s="7"/>
      <c r="BW27" s="7"/>
      <c r="BX27" s="7"/>
      <c r="BY27" s="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9"/>
      <c r="DC27" s="39"/>
      <c r="DD27" s="39"/>
      <c r="DE27" s="39"/>
      <c r="DF27" s="39"/>
      <c r="DG27" s="39"/>
      <c r="DH27" s="39"/>
      <c r="DI27" s="39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</row>
    <row r="28" spans="1:139" x14ac:dyDescent="0.25">
      <c r="A28" s="25">
        <v>26</v>
      </c>
      <c r="B28" s="25" t="s">
        <v>266</v>
      </c>
      <c r="C28" s="170" t="s">
        <v>145</v>
      </c>
      <c r="D28" s="26" t="s">
        <v>146</v>
      </c>
      <c r="E28" s="27" t="s">
        <v>287</v>
      </c>
      <c r="F28" s="28">
        <v>1</v>
      </c>
      <c r="G28" s="25" t="s">
        <v>310</v>
      </c>
      <c r="H28" s="49">
        <v>30</v>
      </c>
      <c r="I28" s="50">
        <v>35</v>
      </c>
      <c r="J28" s="110">
        <v>46</v>
      </c>
      <c r="K28" s="126">
        <v>1444794</v>
      </c>
      <c r="L28" s="58">
        <v>1337052</v>
      </c>
      <c r="M28" s="128">
        <v>1263265</v>
      </c>
      <c r="N28" s="117">
        <v>1355651</v>
      </c>
      <c r="O28" s="50">
        <v>1267790</v>
      </c>
      <c r="P28" s="110">
        <v>1224344</v>
      </c>
      <c r="Q28" s="142">
        <f t="shared" si="0"/>
        <v>89143</v>
      </c>
      <c r="R28" s="64">
        <f t="shared" si="1"/>
        <v>69262</v>
      </c>
      <c r="S28" s="143">
        <f t="shared" si="2"/>
        <v>38921</v>
      </c>
      <c r="T28" s="156">
        <v>521460</v>
      </c>
      <c r="U28" s="50">
        <v>627058</v>
      </c>
      <c r="V28" s="158">
        <v>892857</v>
      </c>
      <c r="W28" s="149">
        <v>-123063</v>
      </c>
      <c r="X28" s="58">
        <v>-113545</v>
      </c>
      <c r="Y28" s="59">
        <v>-45463</v>
      </c>
      <c r="Z28" s="49">
        <v>-118770</v>
      </c>
      <c r="AA28" s="50">
        <v>-87861</v>
      </c>
      <c r="AB28" s="52">
        <v>-43446</v>
      </c>
      <c r="AC28" s="15"/>
      <c r="AD28" s="15"/>
      <c r="AE28" s="7"/>
      <c r="AF28" s="7"/>
      <c r="AG28" s="7">
        <v>0</v>
      </c>
      <c r="AH28" s="7">
        <v>0</v>
      </c>
      <c r="AI28" s="7">
        <v>47551</v>
      </c>
      <c r="AJ28" s="7">
        <v>0</v>
      </c>
      <c r="AK28" s="7">
        <v>0</v>
      </c>
      <c r="AL28" s="7"/>
      <c r="AM28" s="7"/>
      <c r="AN28" s="7"/>
      <c r="AO28" s="7">
        <f t="shared" si="4"/>
        <v>0</v>
      </c>
      <c r="AP28" s="7">
        <f t="shared" si="4"/>
        <v>0</v>
      </c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>
        <v>0</v>
      </c>
      <c r="BE28" s="7">
        <v>0</v>
      </c>
      <c r="BF28" s="7"/>
      <c r="BG28" s="7"/>
      <c r="BH28" s="7"/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3891</v>
      </c>
      <c r="BS28" s="7"/>
      <c r="BT28" s="7"/>
      <c r="BU28" s="7"/>
      <c r="BV28" s="7"/>
      <c r="BW28" s="7"/>
      <c r="BX28" s="7"/>
      <c r="BY28" s="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40"/>
      <c r="CS28" s="40"/>
      <c r="CT28" s="40"/>
      <c r="CU28" s="40"/>
      <c r="CV28" s="38"/>
      <c r="CW28" s="40"/>
      <c r="CX28" s="40"/>
      <c r="CY28" s="40"/>
      <c r="CZ28" s="40"/>
      <c r="DA28" s="38"/>
      <c r="DB28" s="39"/>
      <c r="DC28" s="39"/>
      <c r="DD28" s="39"/>
      <c r="DE28" s="39"/>
      <c r="DF28" s="39"/>
      <c r="DG28" s="39"/>
      <c r="DH28" s="39"/>
      <c r="DI28" s="39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</row>
    <row r="29" spans="1:139" x14ac:dyDescent="0.25">
      <c r="A29" s="25">
        <v>27</v>
      </c>
      <c r="B29" s="25" t="s">
        <v>266</v>
      </c>
      <c r="C29" s="170" t="s">
        <v>147</v>
      </c>
      <c r="D29" s="26" t="s">
        <v>148</v>
      </c>
      <c r="E29" s="27" t="s">
        <v>287</v>
      </c>
      <c r="F29" s="28">
        <v>1</v>
      </c>
      <c r="G29" s="25" t="s">
        <v>309</v>
      </c>
      <c r="H29" s="49">
        <v>41</v>
      </c>
      <c r="I29" s="50">
        <v>45</v>
      </c>
      <c r="J29" s="110">
        <v>52</v>
      </c>
      <c r="K29" s="126">
        <v>365467</v>
      </c>
      <c r="L29" s="58">
        <v>385488</v>
      </c>
      <c r="M29" s="128">
        <v>329680</v>
      </c>
      <c r="N29" s="117">
        <v>138632</v>
      </c>
      <c r="O29" s="50">
        <v>204076</v>
      </c>
      <c r="P29" s="110">
        <v>129937</v>
      </c>
      <c r="Q29" s="142">
        <f t="shared" si="0"/>
        <v>226835</v>
      </c>
      <c r="R29" s="64">
        <f t="shared" si="1"/>
        <v>181412</v>
      </c>
      <c r="S29" s="143">
        <f t="shared" si="2"/>
        <v>199743</v>
      </c>
      <c r="T29" s="156">
        <v>632333</v>
      </c>
      <c r="U29" s="50">
        <v>762352</v>
      </c>
      <c r="V29" s="158">
        <v>767724</v>
      </c>
      <c r="W29" s="149">
        <v>-48639</v>
      </c>
      <c r="X29" s="58">
        <v>72020</v>
      </c>
      <c r="Y29" s="59">
        <v>-44875</v>
      </c>
      <c r="Z29" s="49">
        <v>-49253</v>
      </c>
      <c r="AA29" s="50">
        <v>65444</v>
      </c>
      <c r="AB29" s="52">
        <v>-74139</v>
      </c>
      <c r="AC29" s="15"/>
      <c r="AD29" s="15"/>
      <c r="AE29" s="7"/>
      <c r="AF29" s="7"/>
      <c r="AG29" s="7">
        <v>68984</v>
      </c>
      <c r="AH29" s="7">
        <v>121152</v>
      </c>
      <c r="AI29" s="7">
        <v>43985</v>
      </c>
      <c r="AJ29" s="7">
        <v>-17313</v>
      </c>
      <c r="AK29" s="7">
        <v>-89288</v>
      </c>
      <c r="AL29" s="7"/>
      <c r="AM29" s="7"/>
      <c r="AN29" s="7"/>
      <c r="AO29" s="7">
        <f t="shared" si="4"/>
        <v>17313</v>
      </c>
      <c r="AP29" s="7">
        <f t="shared" si="4"/>
        <v>89288</v>
      </c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>
        <v>259273</v>
      </c>
      <c r="BE29" s="7">
        <v>330181</v>
      </c>
      <c r="BF29" s="7"/>
      <c r="BG29" s="7"/>
      <c r="BH29" s="7"/>
      <c r="BI29" s="7">
        <v>9348</v>
      </c>
      <c r="BJ29" s="7">
        <v>16159</v>
      </c>
      <c r="BK29" s="7">
        <v>42835</v>
      </c>
      <c r="BL29" s="7">
        <v>65348</v>
      </c>
      <c r="BM29" s="7">
        <f>48658</f>
        <v>48658</v>
      </c>
      <c r="BN29" s="7">
        <v>261822</v>
      </c>
      <c r="BO29" s="7">
        <v>402156</v>
      </c>
      <c r="BP29" s="7">
        <v>480793</v>
      </c>
      <c r="BQ29" s="7">
        <v>475409</v>
      </c>
      <c r="BR29" s="7">
        <f>62391+526046+809</f>
        <v>589246</v>
      </c>
      <c r="BS29" s="7"/>
      <c r="BT29" s="7"/>
      <c r="BU29" s="7"/>
      <c r="BV29" s="7"/>
      <c r="BW29" s="7"/>
      <c r="BX29" s="7"/>
      <c r="BY29" s="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9"/>
      <c r="DC29" s="39"/>
      <c r="DD29" s="39"/>
      <c r="DE29" s="39"/>
      <c r="DF29" s="39"/>
      <c r="DG29" s="39"/>
      <c r="DH29" s="39"/>
      <c r="DI29" s="39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</row>
    <row r="30" spans="1:139" x14ac:dyDescent="0.25">
      <c r="A30" s="25">
        <v>28</v>
      </c>
      <c r="B30" s="25" t="s">
        <v>266</v>
      </c>
      <c r="C30" s="170" t="s">
        <v>151</v>
      </c>
      <c r="D30" s="26" t="s">
        <v>152</v>
      </c>
      <c r="E30" s="27" t="s">
        <v>287</v>
      </c>
      <c r="F30" s="28">
        <v>1</v>
      </c>
      <c r="G30" s="25" t="s">
        <v>306</v>
      </c>
      <c r="H30" s="49">
        <v>28</v>
      </c>
      <c r="I30" s="50">
        <v>29</v>
      </c>
      <c r="J30" s="110">
        <v>29</v>
      </c>
      <c r="K30" s="126">
        <v>402642</v>
      </c>
      <c r="L30" s="58">
        <v>444878</v>
      </c>
      <c r="M30" s="128">
        <v>579609</v>
      </c>
      <c r="N30" s="117">
        <v>372511</v>
      </c>
      <c r="O30" s="50">
        <v>376181</v>
      </c>
      <c r="P30" s="110">
        <v>370663</v>
      </c>
      <c r="Q30" s="142">
        <f t="shared" si="0"/>
        <v>30131</v>
      </c>
      <c r="R30" s="64">
        <f t="shared" si="1"/>
        <v>68697</v>
      </c>
      <c r="S30" s="143">
        <f t="shared" si="2"/>
        <v>208946</v>
      </c>
      <c r="T30" s="156">
        <v>778038</v>
      </c>
      <c r="U30" s="50">
        <v>881061</v>
      </c>
      <c r="V30" s="158">
        <v>1313717</v>
      </c>
      <c r="W30" s="149">
        <v>7342</v>
      </c>
      <c r="X30" s="58">
        <v>-54129</v>
      </c>
      <c r="Y30" s="59">
        <v>-1925</v>
      </c>
      <c r="Z30" s="49">
        <v>6246</v>
      </c>
      <c r="AA30" s="50">
        <v>-55257</v>
      </c>
      <c r="AB30" s="52">
        <v>-5518</v>
      </c>
      <c r="AC30" s="15"/>
      <c r="AD30" s="15"/>
      <c r="AE30" s="7"/>
      <c r="AF30" s="7"/>
      <c r="AG30" s="7">
        <v>13201</v>
      </c>
      <c r="AH30" s="7">
        <v>54922</v>
      </c>
      <c r="AI30" s="7">
        <v>17388</v>
      </c>
      <c r="AJ30" s="7">
        <v>-566136</v>
      </c>
      <c r="AK30" s="7">
        <v>-528953</v>
      </c>
      <c r="AL30" s="7"/>
      <c r="AM30" s="7"/>
      <c r="AN30" s="7"/>
      <c r="AO30" s="7">
        <f t="shared" si="4"/>
        <v>566136</v>
      </c>
      <c r="AP30" s="7">
        <f t="shared" si="4"/>
        <v>528953</v>
      </c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>
        <v>112837</v>
      </c>
      <c r="BE30" s="7">
        <v>177598</v>
      </c>
      <c r="BF30" s="7"/>
      <c r="BG30" s="7"/>
      <c r="BH30" s="7"/>
      <c r="BI30" s="7">
        <v>19813</v>
      </c>
      <c r="BJ30" s="7">
        <v>13375</v>
      </c>
      <c r="BK30" s="7">
        <v>14360</v>
      </c>
      <c r="BL30" s="7">
        <v>18366</v>
      </c>
      <c r="BM30" s="7">
        <v>30246</v>
      </c>
      <c r="BN30" s="7">
        <v>171947</v>
      </c>
      <c r="BO30" s="7">
        <v>140415</v>
      </c>
      <c r="BP30" s="7">
        <v>134080</v>
      </c>
      <c r="BQ30" s="7">
        <v>150413</v>
      </c>
      <c r="BR30" s="7">
        <v>199092</v>
      </c>
      <c r="BS30" s="7"/>
      <c r="BT30" s="7"/>
      <c r="BU30" s="7"/>
      <c r="BV30" s="7"/>
      <c r="BW30" s="7"/>
      <c r="BX30" s="7"/>
      <c r="BY30" s="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9"/>
      <c r="DC30" s="39"/>
      <c r="DD30" s="39"/>
      <c r="DE30" s="39"/>
      <c r="DF30" s="39"/>
      <c r="DG30" s="39"/>
      <c r="DH30" s="39"/>
      <c r="DI30" s="39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</row>
    <row r="31" spans="1:139" x14ac:dyDescent="0.25">
      <c r="A31" s="25">
        <v>29</v>
      </c>
      <c r="B31" s="25" t="s">
        <v>266</v>
      </c>
      <c r="C31" s="170" t="s">
        <v>160</v>
      </c>
      <c r="D31" s="26" t="s">
        <v>161</v>
      </c>
      <c r="E31" s="27" t="s">
        <v>287</v>
      </c>
      <c r="F31" s="28">
        <v>1</v>
      </c>
      <c r="G31" s="25" t="s">
        <v>308</v>
      </c>
      <c r="H31" s="49">
        <v>88</v>
      </c>
      <c r="I31" s="50">
        <v>87</v>
      </c>
      <c r="J31" s="110">
        <v>89</v>
      </c>
      <c r="K31" s="126">
        <v>500857</v>
      </c>
      <c r="L31" s="58">
        <v>692885</v>
      </c>
      <c r="M31" s="128">
        <v>1285727</v>
      </c>
      <c r="N31" s="117">
        <v>6723</v>
      </c>
      <c r="O31" s="50">
        <v>333623</v>
      </c>
      <c r="P31" s="110">
        <v>812624</v>
      </c>
      <c r="Q31" s="142">
        <f t="shared" si="0"/>
        <v>494134</v>
      </c>
      <c r="R31" s="64">
        <f t="shared" si="1"/>
        <v>359262</v>
      </c>
      <c r="S31" s="143">
        <f t="shared" si="2"/>
        <v>473103</v>
      </c>
      <c r="T31" s="156">
        <v>1763720</v>
      </c>
      <c r="U31" s="50">
        <v>2296399</v>
      </c>
      <c r="V31" s="158">
        <v>2941651</v>
      </c>
      <c r="W31" s="149">
        <v>218738</v>
      </c>
      <c r="X31" s="58">
        <v>361089</v>
      </c>
      <c r="Y31" s="59">
        <v>480962</v>
      </c>
      <c r="Z31" s="49">
        <v>198692</v>
      </c>
      <c r="AA31" s="50">
        <v>326899</v>
      </c>
      <c r="AB31" s="52">
        <v>434627</v>
      </c>
      <c r="AC31" s="15"/>
      <c r="AD31" s="15"/>
      <c r="AE31" s="7"/>
      <c r="AF31" s="7"/>
      <c r="AG31" s="7">
        <v>153173</v>
      </c>
      <c r="AH31" s="7">
        <v>149977</v>
      </c>
      <c r="AI31" s="7">
        <v>155438</v>
      </c>
      <c r="AJ31" s="7">
        <v>129150</v>
      </c>
      <c r="AK31" s="7">
        <v>129150</v>
      </c>
      <c r="AL31" s="7"/>
      <c r="AM31" s="7"/>
      <c r="AN31" s="7"/>
      <c r="AO31" s="7">
        <f t="shared" si="4"/>
        <v>-129150</v>
      </c>
      <c r="AP31" s="7">
        <f t="shared" si="4"/>
        <v>-129150</v>
      </c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>
        <f>31421+7500</f>
        <v>38921</v>
      </c>
      <c r="BE31" s="7">
        <f>30972+2</f>
        <v>30974</v>
      </c>
      <c r="BF31" s="7"/>
      <c r="BG31" s="7"/>
      <c r="BH31" s="7"/>
      <c r="BI31" s="7">
        <f>31421</f>
        <v>31421</v>
      </c>
      <c r="BJ31" s="7">
        <f>30972</f>
        <v>30972</v>
      </c>
      <c r="BK31" s="7">
        <v>33326</v>
      </c>
      <c r="BL31" s="7">
        <v>0</v>
      </c>
      <c r="BM31" s="7">
        <v>0</v>
      </c>
      <c r="BN31" s="7">
        <f>15539+23382</f>
        <v>38921</v>
      </c>
      <c r="BO31" s="7">
        <f>8595+22329+50</f>
        <v>30974</v>
      </c>
      <c r="BP31" s="7">
        <f>5722+29480</f>
        <v>35202</v>
      </c>
      <c r="BQ31" s="7">
        <f>7360+36775</f>
        <v>44135</v>
      </c>
      <c r="BR31" s="7">
        <f>13642+37299</f>
        <v>50941</v>
      </c>
      <c r="BS31" s="7"/>
      <c r="BT31" s="7"/>
      <c r="BU31" s="7"/>
      <c r="BV31" s="7"/>
      <c r="BW31" s="7"/>
      <c r="BX31" s="7"/>
      <c r="BY31" s="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9"/>
      <c r="DC31" s="39"/>
      <c r="DD31" s="39"/>
      <c r="DE31" s="39"/>
      <c r="DF31" s="39"/>
      <c r="DG31" s="39"/>
      <c r="DH31" s="39"/>
      <c r="DI31" s="39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</row>
    <row r="32" spans="1:139" x14ac:dyDescent="0.25">
      <c r="A32" s="25">
        <v>30</v>
      </c>
      <c r="B32" s="25" t="s">
        <v>266</v>
      </c>
      <c r="C32" s="170" t="s">
        <v>179</v>
      </c>
      <c r="D32" s="26" t="s">
        <v>180</v>
      </c>
      <c r="E32" s="27" t="s">
        <v>287</v>
      </c>
      <c r="F32" s="28">
        <v>1</v>
      </c>
      <c r="G32" s="25" t="s">
        <v>306</v>
      </c>
      <c r="H32" s="49">
        <v>16</v>
      </c>
      <c r="I32" s="50">
        <v>19</v>
      </c>
      <c r="J32" s="110">
        <v>23</v>
      </c>
      <c r="K32" s="126">
        <v>1557778</v>
      </c>
      <c r="L32" s="58">
        <v>1549623</v>
      </c>
      <c r="M32" s="128">
        <v>1626254</v>
      </c>
      <c r="N32" s="117">
        <v>1437798</v>
      </c>
      <c r="O32" s="50">
        <v>1492717</v>
      </c>
      <c r="P32" s="110">
        <v>1567495</v>
      </c>
      <c r="Q32" s="142">
        <f t="shared" si="0"/>
        <v>119980</v>
      </c>
      <c r="R32" s="64">
        <f t="shared" si="1"/>
        <v>56906</v>
      </c>
      <c r="S32" s="143">
        <f t="shared" si="2"/>
        <v>58759</v>
      </c>
      <c r="T32" s="156">
        <v>464595</v>
      </c>
      <c r="U32" s="50">
        <v>564175</v>
      </c>
      <c r="V32" s="158">
        <v>657717</v>
      </c>
      <c r="W32" s="149">
        <v>26872</v>
      </c>
      <c r="X32" s="58">
        <v>60351</v>
      </c>
      <c r="Y32" s="59">
        <v>82594</v>
      </c>
      <c r="Z32" s="49">
        <v>33449</v>
      </c>
      <c r="AA32" s="50">
        <v>54919</v>
      </c>
      <c r="AB32" s="52">
        <v>74778</v>
      </c>
      <c r="AC32" s="15"/>
      <c r="AD32" s="15"/>
      <c r="AE32" s="7"/>
      <c r="AF32" s="7"/>
      <c r="AG32" s="7">
        <v>10065526</v>
      </c>
      <c r="AH32" s="7">
        <v>9840603</v>
      </c>
      <c r="AI32" s="7">
        <v>9573900</v>
      </c>
      <c r="AJ32" s="7">
        <v>-370026</v>
      </c>
      <c r="AK32" s="7">
        <v>-342693</v>
      </c>
      <c r="AL32" s="7"/>
      <c r="AM32" s="7"/>
      <c r="AN32" s="7"/>
      <c r="AO32" s="7">
        <f t="shared" si="4"/>
        <v>370026</v>
      </c>
      <c r="AP32" s="7">
        <f t="shared" si="4"/>
        <v>342693</v>
      </c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>
        <v>1107574</v>
      </c>
      <c r="BE32" s="7">
        <v>1077364</v>
      </c>
      <c r="BF32" s="7"/>
      <c r="BG32" s="7"/>
      <c r="BH32" s="7"/>
      <c r="BI32" s="7">
        <v>44398</v>
      </c>
      <c r="BJ32" s="7">
        <v>16705</v>
      </c>
      <c r="BK32" s="7">
        <v>12743</v>
      </c>
      <c r="BL32" s="7">
        <v>18994</v>
      </c>
      <c r="BM32" s="7">
        <v>11781</v>
      </c>
      <c r="BN32" s="7">
        <v>1122951</v>
      </c>
      <c r="BO32" s="7">
        <v>1050031</v>
      </c>
      <c r="BP32" s="7">
        <v>1103630</v>
      </c>
      <c r="BQ32" s="7">
        <v>1170383</v>
      </c>
      <c r="BR32" s="7">
        <v>1182764</v>
      </c>
      <c r="BS32" s="7"/>
      <c r="BT32" s="7"/>
      <c r="BU32" s="7"/>
      <c r="BV32" s="7"/>
      <c r="BW32" s="7"/>
      <c r="BX32" s="7"/>
      <c r="BY32" s="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9"/>
      <c r="DC32" s="39"/>
      <c r="DD32" s="39"/>
      <c r="DE32" s="39"/>
      <c r="DF32" s="39"/>
      <c r="DG32" s="39"/>
      <c r="DH32" s="39"/>
      <c r="DI32" s="39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</row>
    <row r="33" spans="1:139" ht="16.5" customHeight="1" x14ac:dyDescent="0.25">
      <c r="A33" s="25">
        <v>31</v>
      </c>
      <c r="B33" s="25" t="s">
        <v>266</v>
      </c>
      <c r="C33" s="170" t="s">
        <v>206</v>
      </c>
      <c r="D33" s="26" t="s">
        <v>207</v>
      </c>
      <c r="E33" s="27" t="s">
        <v>287</v>
      </c>
      <c r="F33" s="28">
        <v>1</v>
      </c>
      <c r="G33" s="25" t="s">
        <v>305</v>
      </c>
      <c r="H33" s="49">
        <v>39</v>
      </c>
      <c r="I33" s="50">
        <v>38</v>
      </c>
      <c r="J33" s="110">
        <v>37</v>
      </c>
      <c r="K33" s="126">
        <v>159466</v>
      </c>
      <c r="L33" s="58">
        <v>257741</v>
      </c>
      <c r="M33" s="128">
        <v>257553</v>
      </c>
      <c r="N33" s="117">
        <v>-129585</v>
      </c>
      <c r="O33" s="50">
        <v>52303</v>
      </c>
      <c r="P33" s="110">
        <v>199457</v>
      </c>
      <c r="Q33" s="142">
        <f t="shared" si="0"/>
        <v>289051</v>
      </c>
      <c r="R33" s="64">
        <f t="shared" si="1"/>
        <v>205438</v>
      </c>
      <c r="S33" s="143">
        <f t="shared" si="2"/>
        <v>58096</v>
      </c>
      <c r="T33" s="156">
        <v>650187</v>
      </c>
      <c r="U33" s="50">
        <v>810089</v>
      </c>
      <c r="V33" s="158">
        <v>803428</v>
      </c>
      <c r="W33" s="149">
        <v>51766</v>
      </c>
      <c r="X33" s="58">
        <v>188192</v>
      </c>
      <c r="Y33" s="59">
        <v>166660</v>
      </c>
      <c r="Z33" s="49">
        <v>3523</v>
      </c>
      <c r="AA33" s="50">
        <v>181888</v>
      </c>
      <c r="AB33" s="52">
        <v>147155</v>
      </c>
      <c r="AC33" s="15"/>
      <c r="AD33" s="15"/>
      <c r="AE33" s="7"/>
      <c r="AF33" s="7"/>
      <c r="AG33" s="7">
        <v>18211</v>
      </c>
      <c r="AH33" s="7">
        <v>9214</v>
      </c>
      <c r="AI33" s="7">
        <v>86921</v>
      </c>
      <c r="AJ33" s="7">
        <v>-31089</v>
      </c>
      <c r="AK33" s="7">
        <v>-5531</v>
      </c>
      <c r="AL33" s="7"/>
      <c r="AM33" s="7"/>
      <c r="AN33" s="7"/>
      <c r="AO33" s="7">
        <f t="shared" si="4"/>
        <v>31089</v>
      </c>
      <c r="AP33" s="7">
        <f t="shared" si="4"/>
        <v>5531</v>
      </c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>
        <v>254714</v>
      </c>
      <c r="BE33" s="7">
        <v>266335</v>
      </c>
      <c r="BF33" s="7"/>
      <c r="BG33" s="7"/>
      <c r="BH33" s="7"/>
      <c r="BI33" s="7">
        <v>8198</v>
      </c>
      <c r="BJ33" s="7">
        <v>8330</v>
      </c>
      <c r="BK33" s="7">
        <v>4403</v>
      </c>
      <c r="BL33" s="7">
        <v>8687</v>
      </c>
      <c r="BM33" s="7">
        <v>5256</v>
      </c>
      <c r="BN33" s="7">
        <v>253718</v>
      </c>
      <c r="BO33" s="7">
        <v>239449</v>
      </c>
      <c r="BP33" s="7">
        <v>236156</v>
      </c>
      <c r="BQ33" s="7">
        <v>224697</v>
      </c>
      <c r="BR33" s="7">
        <v>253487</v>
      </c>
      <c r="BS33" s="7"/>
      <c r="BT33" s="7"/>
      <c r="BU33" s="7"/>
      <c r="BV33" s="7"/>
      <c r="BW33" s="7"/>
      <c r="BX33" s="7"/>
      <c r="BY33" s="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9"/>
      <c r="DC33" s="39"/>
      <c r="DD33" s="39"/>
      <c r="DE33" s="39"/>
      <c r="DF33" s="39"/>
      <c r="DG33" s="39"/>
      <c r="DH33" s="39"/>
      <c r="DI33" s="39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</row>
    <row r="34" spans="1:139" x14ac:dyDescent="0.25">
      <c r="A34" s="25">
        <v>32</v>
      </c>
      <c r="B34" s="25" t="s">
        <v>266</v>
      </c>
      <c r="C34" s="170" t="s">
        <v>214</v>
      </c>
      <c r="D34" s="26" t="s">
        <v>215</v>
      </c>
      <c r="E34" s="27" t="s">
        <v>287</v>
      </c>
      <c r="F34" s="84">
        <v>1</v>
      </c>
      <c r="G34" s="25" t="s">
        <v>305</v>
      </c>
      <c r="H34" s="49">
        <v>1</v>
      </c>
      <c r="I34" s="50">
        <v>1</v>
      </c>
      <c r="J34" s="110">
        <v>1</v>
      </c>
      <c r="K34" s="126">
        <v>1107172</v>
      </c>
      <c r="L34" s="58">
        <v>1107172</v>
      </c>
      <c r="M34" s="128">
        <v>1107172</v>
      </c>
      <c r="N34" s="117">
        <v>1057937</v>
      </c>
      <c r="O34" s="50">
        <v>1044796</v>
      </c>
      <c r="P34" s="110">
        <v>1031430</v>
      </c>
      <c r="Q34" s="142">
        <f t="shared" si="0"/>
        <v>49235</v>
      </c>
      <c r="R34" s="64">
        <f t="shared" si="1"/>
        <v>62376</v>
      </c>
      <c r="S34" s="143">
        <f t="shared" si="2"/>
        <v>75742</v>
      </c>
      <c r="T34" s="156">
        <v>980</v>
      </c>
      <c r="U34" s="50">
        <v>310</v>
      </c>
      <c r="V34" s="158">
        <v>60</v>
      </c>
      <c r="W34" s="149">
        <v>-12903</v>
      </c>
      <c r="X34" s="58">
        <v>-13141</v>
      </c>
      <c r="Y34" s="59">
        <v>-13366</v>
      </c>
      <c r="Z34" s="49">
        <v>-12903</v>
      </c>
      <c r="AA34" s="50">
        <v>-13141</v>
      </c>
      <c r="AB34" s="52">
        <v>-13366</v>
      </c>
      <c r="AC34" s="15"/>
      <c r="AD34" s="15"/>
      <c r="AE34" s="6"/>
      <c r="AF34" s="6"/>
      <c r="AG34" s="6">
        <v>618816</v>
      </c>
      <c r="AH34" s="6">
        <v>637044</v>
      </c>
      <c r="AI34" s="6">
        <v>575868</v>
      </c>
      <c r="AJ34" s="6">
        <v>103541</v>
      </c>
      <c r="AK34" s="6">
        <v>163098</v>
      </c>
      <c r="AL34" s="6"/>
      <c r="AM34" s="6"/>
      <c r="AN34" s="6"/>
      <c r="AO34" s="7">
        <f t="shared" si="4"/>
        <v>-103541</v>
      </c>
      <c r="AP34" s="7">
        <f t="shared" si="4"/>
        <v>-163098</v>
      </c>
      <c r="AQ34" s="7"/>
      <c r="AR34" s="7"/>
      <c r="AS34" s="7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>
        <v>1013658</v>
      </c>
      <c r="BE34" s="6">
        <v>937922</v>
      </c>
      <c r="BF34" s="6"/>
      <c r="BG34" s="6"/>
      <c r="BH34" s="6"/>
      <c r="BI34" s="6">
        <v>138484</v>
      </c>
      <c r="BJ34" s="6">
        <v>72636</v>
      </c>
      <c r="BK34" s="6">
        <v>67862</v>
      </c>
      <c r="BL34" s="6">
        <v>83577</v>
      </c>
      <c r="BM34" s="6">
        <f>74514</f>
        <v>74514</v>
      </c>
      <c r="BN34" s="6">
        <v>883188</v>
      </c>
      <c r="BO34" s="6">
        <v>872407</v>
      </c>
      <c r="BP34" s="6">
        <v>926489</v>
      </c>
      <c r="BQ34" s="6">
        <v>1039065</v>
      </c>
      <c r="BR34" s="6">
        <f>208459+895404</f>
        <v>1103863</v>
      </c>
      <c r="BS34" s="6"/>
      <c r="BT34" s="6"/>
      <c r="BU34" s="6"/>
      <c r="BV34" s="6"/>
      <c r="BW34" s="6"/>
      <c r="BX34" s="6"/>
      <c r="BY34" s="6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9"/>
      <c r="DC34" s="39"/>
      <c r="DD34" s="39"/>
      <c r="DE34" s="39"/>
      <c r="DF34" s="39"/>
      <c r="DG34" s="39"/>
      <c r="DH34" s="39"/>
      <c r="DI34" s="39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</row>
    <row r="35" spans="1:139" ht="15.75" thickBot="1" x14ac:dyDescent="0.3">
      <c r="A35" s="80">
        <v>33</v>
      </c>
      <c r="B35" s="80" t="s">
        <v>266</v>
      </c>
      <c r="C35" s="172" t="s">
        <v>228</v>
      </c>
      <c r="D35" s="81" t="s">
        <v>229</v>
      </c>
      <c r="E35" s="82" t="s">
        <v>287</v>
      </c>
      <c r="F35" s="83">
        <v>1</v>
      </c>
      <c r="G35" s="80" t="s">
        <v>306</v>
      </c>
      <c r="H35" s="55">
        <v>226</v>
      </c>
      <c r="I35" s="56">
        <v>236</v>
      </c>
      <c r="J35" s="111">
        <v>240</v>
      </c>
      <c r="K35" s="129">
        <v>17941538</v>
      </c>
      <c r="L35" s="62">
        <v>18528883</v>
      </c>
      <c r="M35" s="130">
        <v>23198785</v>
      </c>
      <c r="N35" s="118">
        <v>14179302</v>
      </c>
      <c r="O35" s="56">
        <v>15077383</v>
      </c>
      <c r="P35" s="111">
        <v>19757786</v>
      </c>
      <c r="Q35" s="144">
        <f t="shared" ref="Q35:Q66" si="5">+K35-N35</f>
        <v>3762236</v>
      </c>
      <c r="R35" s="65">
        <f t="shared" ref="R35:R66" si="6">+L35-O35</f>
        <v>3451500</v>
      </c>
      <c r="S35" s="145">
        <f t="shared" ref="S35:S66" si="7">+M35-P35</f>
        <v>3440999</v>
      </c>
      <c r="T35" s="159">
        <v>7269321</v>
      </c>
      <c r="U35" s="56">
        <v>8194685</v>
      </c>
      <c r="V35" s="160">
        <v>8541327</v>
      </c>
      <c r="W35" s="150">
        <v>-234151</v>
      </c>
      <c r="X35" s="62">
        <v>576073</v>
      </c>
      <c r="Y35" s="63">
        <v>-336005</v>
      </c>
      <c r="Z35" s="55">
        <v>-720033</v>
      </c>
      <c r="AA35" s="56">
        <v>898081</v>
      </c>
      <c r="AB35" s="57">
        <v>-1044003</v>
      </c>
      <c r="AC35" s="15"/>
      <c r="AD35" s="15"/>
      <c r="AE35" s="7"/>
      <c r="AF35" s="7"/>
      <c r="AG35" s="7">
        <v>51760</v>
      </c>
      <c r="AH35" s="7">
        <v>43032</v>
      </c>
      <c r="AI35" s="7">
        <v>23086</v>
      </c>
      <c r="AJ35" s="7">
        <v>65141</v>
      </c>
      <c r="AK35" s="7">
        <v>68800</v>
      </c>
      <c r="AL35" s="7"/>
      <c r="AM35" s="7"/>
      <c r="AN35" s="7"/>
      <c r="AO35" s="7">
        <f t="shared" si="4"/>
        <v>-65141</v>
      </c>
      <c r="AP35" s="7">
        <f t="shared" si="4"/>
        <v>-68800</v>
      </c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>
        <v>179204</v>
      </c>
      <c r="BE35" s="7">
        <v>153786</v>
      </c>
      <c r="BF35" s="7"/>
      <c r="BG35" s="7"/>
      <c r="BH35" s="7"/>
      <c r="BI35" s="7">
        <v>46629</v>
      </c>
      <c r="BJ35" s="7">
        <v>47061</v>
      </c>
      <c r="BK35" s="7">
        <v>51062</v>
      </c>
      <c r="BL35" s="7">
        <v>61413</v>
      </c>
      <c r="BM35" s="7">
        <v>49525</v>
      </c>
      <c r="BN35" s="7">
        <v>150635</v>
      </c>
      <c r="BO35" s="7">
        <v>149767</v>
      </c>
      <c r="BP35" s="7">
        <v>175534</v>
      </c>
      <c r="BQ35" s="7">
        <v>219623</v>
      </c>
      <c r="BR35" s="7">
        <v>185561</v>
      </c>
      <c r="BS35" s="7"/>
      <c r="BT35" s="7"/>
      <c r="BU35" s="7"/>
      <c r="BV35" s="7"/>
      <c r="BW35" s="7"/>
      <c r="BX35" s="7"/>
      <c r="BY35" s="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9"/>
      <c r="DC35" s="39"/>
      <c r="DD35" s="39"/>
      <c r="DE35" s="39"/>
      <c r="DF35" s="39"/>
      <c r="DG35" s="39"/>
      <c r="DH35" s="39"/>
      <c r="DI35" s="39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</row>
    <row r="36" spans="1:139" x14ac:dyDescent="0.25">
      <c r="A36" s="70">
        <v>34</v>
      </c>
      <c r="B36" s="70" t="s">
        <v>275</v>
      </c>
      <c r="C36" s="171" t="s">
        <v>220</v>
      </c>
      <c r="D36" s="71" t="s">
        <v>221</v>
      </c>
      <c r="E36" s="72" t="s">
        <v>287</v>
      </c>
      <c r="F36" s="73">
        <v>1</v>
      </c>
      <c r="G36" s="70" t="s">
        <v>306</v>
      </c>
      <c r="H36" s="74">
        <v>63</v>
      </c>
      <c r="I36" s="75">
        <v>65</v>
      </c>
      <c r="J36" s="108">
        <v>64</v>
      </c>
      <c r="K36" s="124">
        <v>6077489</v>
      </c>
      <c r="L36" s="77">
        <v>6840723</v>
      </c>
      <c r="M36" s="125">
        <v>7072969</v>
      </c>
      <c r="N36" s="116">
        <v>-8583470</v>
      </c>
      <c r="O36" s="75">
        <v>-10120943</v>
      </c>
      <c r="P36" s="108">
        <v>-11661341</v>
      </c>
      <c r="Q36" s="140">
        <f t="shared" si="5"/>
        <v>14660959</v>
      </c>
      <c r="R36" s="79">
        <f t="shared" si="6"/>
        <v>16961666</v>
      </c>
      <c r="S36" s="141">
        <f t="shared" si="7"/>
        <v>18734310</v>
      </c>
      <c r="T36" s="154">
        <v>1553695</v>
      </c>
      <c r="U36" s="75">
        <v>1187759</v>
      </c>
      <c r="V36" s="155">
        <v>1248665</v>
      </c>
      <c r="W36" s="148">
        <v>-749756</v>
      </c>
      <c r="X36" s="77">
        <v>-1139216</v>
      </c>
      <c r="Y36" s="78">
        <v>-1289078</v>
      </c>
      <c r="Z36" s="74">
        <v>-1957026</v>
      </c>
      <c r="AA36" s="75">
        <v>-1541006</v>
      </c>
      <c r="AB36" s="76">
        <v>-1540934</v>
      </c>
      <c r="AC36" s="15"/>
      <c r="AD36" s="15"/>
      <c r="AE36" s="7"/>
      <c r="AF36" s="7"/>
      <c r="AG36" s="7">
        <v>4982580</v>
      </c>
      <c r="AH36" s="7">
        <v>5113080</v>
      </c>
      <c r="AI36" s="7">
        <v>5946585</v>
      </c>
      <c r="AJ36" s="7">
        <v>2020580</v>
      </c>
      <c r="AK36" s="7">
        <v>1983602</v>
      </c>
      <c r="AL36" s="7"/>
      <c r="AM36" s="7"/>
      <c r="AN36" s="7"/>
      <c r="AO36" s="7">
        <f t="shared" si="4"/>
        <v>-2020580</v>
      </c>
      <c r="AP36" s="7">
        <f t="shared" si="4"/>
        <v>-1983602</v>
      </c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>
        <v>4949620</v>
      </c>
      <c r="BE36" s="7">
        <v>4802769</v>
      </c>
      <c r="BF36" s="7"/>
      <c r="BG36" s="7"/>
      <c r="BH36" s="7"/>
      <c r="BI36" s="7">
        <v>3763376</v>
      </c>
      <c r="BJ36" s="7">
        <v>3860297</v>
      </c>
      <c r="BK36" s="7">
        <v>4780664</v>
      </c>
      <c r="BL36" s="7">
        <v>5042941</v>
      </c>
      <c r="BM36" s="7">
        <v>6226354</v>
      </c>
      <c r="BN36" s="7">
        <v>4834545</v>
      </c>
      <c r="BO36" s="7">
        <v>4746167</v>
      </c>
      <c r="BP36" s="7">
        <v>4995538</v>
      </c>
      <c r="BQ36" s="7">
        <v>5354324</v>
      </c>
      <c r="BR36" s="7">
        <v>6223560</v>
      </c>
      <c r="BS36" s="7"/>
      <c r="BT36" s="7"/>
      <c r="BU36" s="7"/>
      <c r="BV36" s="7"/>
      <c r="BW36" s="7"/>
      <c r="BX36" s="7"/>
      <c r="BY36" s="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9"/>
      <c r="DC36" s="39"/>
      <c r="DD36" s="39"/>
      <c r="DE36" s="39"/>
      <c r="DF36" s="39"/>
      <c r="DG36" s="39"/>
      <c r="DH36" s="39"/>
      <c r="DI36" s="39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</row>
    <row r="37" spans="1:139" x14ac:dyDescent="0.25">
      <c r="A37" s="25">
        <v>35</v>
      </c>
      <c r="B37" s="25" t="s">
        <v>275</v>
      </c>
      <c r="C37" s="170" t="s">
        <v>18</v>
      </c>
      <c r="D37" s="26" t="s">
        <v>19</v>
      </c>
      <c r="E37" s="27" t="s">
        <v>287</v>
      </c>
      <c r="F37" s="28">
        <v>1</v>
      </c>
      <c r="G37" s="25" t="s">
        <v>300</v>
      </c>
      <c r="H37" s="49">
        <v>1</v>
      </c>
      <c r="I37" s="50">
        <v>1</v>
      </c>
      <c r="J37" s="110">
        <v>6</v>
      </c>
      <c r="K37" s="126">
        <v>529</v>
      </c>
      <c r="L37" s="58">
        <v>10425</v>
      </c>
      <c r="M37" s="128">
        <v>13674</v>
      </c>
      <c r="N37" s="117">
        <v>-3152</v>
      </c>
      <c r="O37" s="50">
        <v>10532</v>
      </c>
      <c r="P37" s="110">
        <v>12333</v>
      </c>
      <c r="Q37" s="142">
        <f t="shared" si="5"/>
        <v>3681</v>
      </c>
      <c r="R37" s="64">
        <f t="shared" si="6"/>
        <v>-107</v>
      </c>
      <c r="S37" s="143">
        <f t="shared" si="7"/>
        <v>1341</v>
      </c>
      <c r="T37" s="156">
        <v>2000</v>
      </c>
      <c r="U37" s="50">
        <f>4134+110899</f>
        <v>115033</v>
      </c>
      <c r="V37" s="158">
        <f>17699+83679</f>
        <v>101378</v>
      </c>
      <c r="W37" s="149">
        <v>-13152</v>
      </c>
      <c r="X37" s="58">
        <v>585</v>
      </c>
      <c r="Y37" s="59">
        <v>1979</v>
      </c>
      <c r="Z37" s="49">
        <v>-13152</v>
      </c>
      <c r="AA37" s="50">
        <v>532</v>
      </c>
      <c r="AB37" s="52">
        <v>1801</v>
      </c>
      <c r="AC37" s="15">
        <v>6</v>
      </c>
      <c r="AD37" s="15">
        <v>6</v>
      </c>
      <c r="AE37" s="7"/>
      <c r="AF37" s="7"/>
      <c r="AG37" s="7">
        <v>236811</v>
      </c>
      <c r="AH37" s="7">
        <v>217112</v>
      </c>
      <c r="AI37" s="7">
        <v>200963</v>
      </c>
      <c r="AJ37" s="7">
        <v>180692</v>
      </c>
      <c r="AK37" s="7">
        <v>235175</v>
      </c>
      <c r="AL37" s="7"/>
      <c r="AM37" s="7"/>
      <c r="AN37" s="7"/>
      <c r="AO37" s="7">
        <f t="shared" si="4"/>
        <v>-180692</v>
      </c>
      <c r="AP37" s="7">
        <f t="shared" si="4"/>
        <v>-235175</v>
      </c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>
        <v>226896</v>
      </c>
      <c r="BE37" s="7">
        <v>161621</v>
      </c>
      <c r="BF37" s="7"/>
      <c r="BG37" s="7"/>
      <c r="BH37" s="7"/>
      <c r="BI37" s="7">
        <v>226216</v>
      </c>
      <c r="BJ37" s="7">
        <v>161621</v>
      </c>
      <c r="BK37" s="7">
        <v>186825</v>
      </c>
      <c r="BL37" s="7">
        <v>134619</v>
      </c>
      <c r="BM37" s="7">
        <v>0</v>
      </c>
      <c r="BN37" s="7">
        <v>187804</v>
      </c>
      <c r="BO37" s="7">
        <v>169525</v>
      </c>
      <c r="BP37" s="7">
        <v>224251</v>
      </c>
      <c r="BQ37" s="7">
        <v>242007</v>
      </c>
      <c r="BR37" s="7">
        <v>268504</v>
      </c>
      <c r="BS37" s="7"/>
      <c r="BT37" s="7"/>
      <c r="BU37" s="7"/>
      <c r="BV37" s="7"/>
      <c r="BW37" s="7"/>
      <c r="BX37" s="7"/>
      <c r="BY37" s="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9"/>
      <c r="DC37" s="39"/>
      <c r="DD37" s="39"/>
      <c r="DE37" s="39"/>
      <c r="DF37" s="39"/>
      <c r="DG37" s="39"/>
      <c r="DH37" s="39"/>
      <c r="DI37" s="39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</row>
    <row r="38" spans="1:139" x14ac:dyDescent="0.25">
      <c r="A38" s="25">
        <v>36</v>
      </c>
      <c r="B38" s="25" t="s">
        <v>275</v>
      </c>
      <c r="C38" s="170" t="s">
        <v>95</v>
      </c>
      <c r="D38" s="26" t="s">
        <v>96</v>
      </c>
      <c r="E38" s="27" t="s">
        <v>287</v>
      </c>
      <c r="F38" s="28">
        <v>1</v>
      </c>
      <c r="G38" s="25" t="s">
        <v>306</v>
      </c>
      <c r="H38" s="49">
        <v>77</v>
      </c>
      <c r="I38" s="50">
        <v>67</v>
      </c>
      <c r="J38" s="110">
        <v>65</v>
      </c>
      <c r="K38" s="126">
        <v>2504596</v>
      </c>
      <c r="L38" s="58">
        <v>2524879</v>
      </c>
      <c r="M38" s="128">
        <v>2997820</v>
      </c>
      <c r="N38" s="117">
        <v>-1554361</v>
      </c>
      <c r="O38" s="50">
        <v>-1605866</v>
      </c>
      <c r="P38" s="110">
        <v>-1739519</v>
      </c>
      <c r="Q38" s="142">
        <f t="shared" si="5"/>
        <v>4058957</v>
      </c>
      <c r="R38" s="64">
        <f t="shared" si="6"/>
        <v>4130745</v>
      </c>
      <c r="S38" s="143">
        <f t="shared" si="7"/>
        <v>4737339</v>
      </c>
      <c r="T38" s="156">
        <v>1602787</v>
      </c>
      <c r="U38" s="50">
        <v>1591909</v>
      </c>
      <c r="V38" s="158">
        <v>1413404</v>
      </c>
      <c r="W38" s="149">
        <v>19174</v>
      </c>
      <c r="X38" s="58">
        <v>-48316</v>
      </c>
      <c r="Y38" s="59">
        <v>-130900</v>
      </c>
      <c r="Z38" s="49">
        <v>17016</v>
      </c>
      <c r="AA38" s="50">
        <v>-51504</v>
      </c>
      <c r="AB38" s="52">
        <v>-133654</v>
      </c>
      <c r="AC38" s="15"/>
      <c r="AD38" s="15"/>
      <c r="AE38" s="7"/>
      <c r="AF38" s="7"/>
      <c r="AG38" s="7">
        <v>1330730</v>
      </c>
      <c r="AH38" s="7">
        <v>1653507</v>
      </c>
      <c r="AI38" s="7">
        <v>1650788</v>
      </c>
      <c r="AJ38" s="7">
        <v>-706278</v>
      </c>
      <c r="AK38" s="7">
        <v>-840401</v>
      </c>
      <c r="AL38" s="7"/>
      <c r="AM38" s="7"/>
      <c r="AN38" s="7"/>
      <c r="AO38" s="7">
        <f t="shared" si="4"/>
        <v>706278</v>
      </c>
      <c r="AP38" s="7">
        <f t="shared" si="4"/>
        <v>840401</v>
      </c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>
        <v>565167</v>
      </c>
      <c r="BE38" s="7">
        <v>447573</v>
      </c>
      <c r="BF38" s="7"/>
      <c r="BG38" s="7"/>
      <c r="BH38" s="7"/>
      <c r="BI38" s="7">
        <v>428233</v>
      </c>
      <c r="BJ38" s="7">
        <v>437683</v>
      </c>
      <c r="BK38" s="7">
        <v>401001</v>
      </c>
      <c r="BL38" s="7">
        <v>433952</v>
      </c>
      <c r="BM38" s="7">
        <f>489422</f>
        <v>489422</v>
      </c>
      <c r="BN38" s="7">
        <v>568453</v>
      </c>
      <c r="BO38" s="7">
        <v>581697</v>
      </c>
      <c r="BP38" s="7">
        <v>510500</v>
      </c>
      <c r="BQ38" s="7">
        <v>650630</v>
      </c>
      <c r="BR38" s="7">
        <f>177690+413158+47752</f>
        <v>638600</v>
      </c>
      <c r="BS38" s="7"/>
      <c r="BT38" s="7"/>
      <c r="BU38" s="7"/>
      <c r="BV38" s="7"/>
      <c r="BW38" s="7"/>
      <c r="BX38" s="7"/>
      <c r="BY38" s="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9"/>
      <c r="DC38" s="39"/>
      <c r="DD38" s="39"/>
      <c r="DE38" s="39"/>
      <c r="DF38" s="39"/>
      <c r="DG38" s="39"/>
      <c r="DH38" s="39"/>
      <c r="DI38" s="39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</row>
    <row r="39" spans="1:139" x14ac:dyDescent="0.25">
      <c r="A39" s="25">
        <v>37</v>
      </c>
      <c r="B39" s="25" t="s">
        <v>275</v>
      </c>
      <c r="C39" s="170" t="s">
        <v>119</v>
      </c>
      <c r="D39" s="26" t="s">
        <v>120</v>
      </c>
      <c r="E39" s="27" t="s">
        <v>287</v>
      </c>
      <c r="F39" s="28">
        <v>1</v>
      </c>
      <c r="G39" s="25" t="s">
        <v>310</v>
      </c>
      <c r="H39" s="49">
        <v>14</v>
      </c>
      <c r="I39" s="50">
        <v>14</v>
      </c>
      <c r="J39" s="110">
        <v>16</v>
      </c>
      <c r="K39" s="126">
        <v>33604</v>
      </c>
      <c r="L39" s="58">
        <v>32593</v>
      </c>
      <c r="M39" s="128">
        <v>39257</v>
      </c>
      <c r="N39" s="117">
        <v>-484163</v>
      </c>
      <c r="O39" s="50">
        <v>-481890</v>
      </c>
      <c r="P39" s="110">
        <v>-466902</v>
      </c>
      <c r="Q39" s="142">
        <f t="shared" si="5"/>
        <v>517767</v>
      </c>
      <c r="R39" s="64">
        <f t="shared" si="6"/>
        <v>514483</v>
      </c>
      <c r="S39" s="143">
        <f t="shared" si="7"/>
        <v>506159</v>
      </c>
      <c r="T39" s="156">
        <v>156478</v>
      </c>
      <c r="U39" s="50">
        <v>183463</v>
      </c>
      <c r="V39" s="158">
        <v>209252</v>
      </c>
      <c r="W39" s="149">
        <v>-37692</v>
      </c>
      <c r="X39" s="58">
        <v>5374</v>
      </c>
      <c r="Y39" s="59">
        <v>12898</v>
      </c>
      <c r="Z39" s="49">
        <v>-37416</v>
      </c>
      <c r="AA39" s="50">
        <v>4774</v>
      </c>
      <c r="AB39" s="52">
        <v>13080</v>
      </c>
      <c r="AC39" s="15"/>
      <c r="AD39" s="15"/>
      <c r="AE39" s="7"/>
      <c r="AF39" s="7"/>
      <c r="AG39" s="7">
        <v>145830</v>
      </c>
      <c r="AH39" s="7">
        <v>109103</v>
      </c>
      <c r="AI39" s="7">
        <v>101271</v>
      </c>
      <c r="AJ39" s="7">
        <v>-222042</v>
      </c>
      <c r="AK39" s="7">
        <v>-168736</v>
      </c>
      <c r="AL39" s="7"/>
      <c r="AM39" s="7"/>
      <c r="AN39" s="7"/>
      <c r="AO39" s="7">
        <f t="shared" si="4"/>
        <v>222042</v>
      </c>
      <c r="AP39" s="7">
        <f t="shared" si="4"/>
        <v>168736</v>
      </c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>
        <v>309230</v>
      </c>
      <c r="BE39" s="7">
        <v>325346</v>
      </c>
      <c r="BF39" s="7"/>
      <c r="BG39" s="7"/>
      <c r="BH39" s="7"/>
      <c r="BI39" s="7">
        <v>73674</v>
      </c>
      <c r="BJ39" s="7">
        <v>29001</v>
      </c>
      <c r="BK39" s="7">
        <v>116822</v>
      </c>
      <c r="BL39" s="7">
        <v>140511</v>
      </c>
      <c r="BM39" s="7">
        <v>47262</v>
      </c>
      <c r="BN39" s="7">
        <v>314241</v>
      </c>
      <c r="BO39" s="7">
        <v>266768</v>
      </c>
      <c r="BP39" s="7">
        <v>332678</v>
      </c>
      <c r="BQ39" s="7">
        <v>393475</v>
      </c>
      <c r="BR39" s="7">
        <v>382637</v>
      </c>
      <c r="BS39" s="7"/>
      <c r="BT39" s="7"/>
      <c r="BU39" s="7"/>
      <c r="BV39" s="7"/>
      <c r="BW39" s="7"/>
      <c r="BX39" s="7"/>
      <c r="BY39" s="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9"/>
      <c r="DC39" s="39"/>
      <c r="DD39" s="39"/>
      <c r="DE39" s="39"/>
      <c r="DF39" s="39"/>
      <c r="DG39" s="39"/>
      <c r="DH39" s="39"/>
      <c r="DI39" s="39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</row>
    <row r="40" spans="1:139" ht="15.75" thickBot="1" x14ac:dyDescent="0.3">
      <c r="A40" s="80">
        <v>38</v>
      </c>
      <c r="B40" s="80" t="s">
        <v>275</v>
      </c>
      <c r="C40" s="172" t="s">
        <v>194</v>
      </c>
      <c r="D40" s="81" t="s">
        <v>195</v>
      </c>
      <c r="E40" s="82" t="s">
        <v>287</v>
      </c>
      <c r="F40" s="83">
        <v>1</v>
      </c>
      <c r="G40" s="80" t="s">
        <v>305</v>
      </c>
      <c r="H40" s="55">
        <v>32</v>
      </c>
      <c r="I40" s="56">
        <v>31</v>
      </c>
      <c r="J40" s="111">
        <v>34</v>
      </c>
      <c r="K40" s="129">
        <v>5737842</v>
      </c>
      <c r="L40" s="62">
        <v>5773950</v>
      </c>
      <c r="M40" s="130">
        <v>5688623</v>
      </c>
      <c r="N40" s="118">
        <v>4497027</v>
      </c>
      <c r="O40" s="56">
        <v>4556881</v>
      </c>
      <c r="P40" s="111">
        <v>4457115</v>
      </c>
      <c r="Q40" s="144">
        <f t="shared" si="5"/>
        <v>1240815</v>
      </c>
      <c r="R40" s="65">
        <f t="shared" si="6"/>
        <v>1217069</v>
      </c>
      <c r="S40" s="145">
        <f t="shared" si="7"/>
        <v>1231508</v>
      </c>
      <c r="T40" s="159">
        <v>300541</v>
      </c>
      <c r="U40" s="56">
        <v>470502</v>
      </c>
      <c r="V40" s="160">
        <v>436503</v>
      </c>
      <c r="W40" s="150">
        <v>-76784</v>
      </c>
      <c r="X40" s="62">
        <v>60275</v>
      </c>
      <c r="Y40" s="63">
        <v>-50611</v>
      </c>
      <c r="Z40" s="55">
        <v>-77884</v>
      </c>
      <c r="AA40" s="56">
        <v>59854</v>
      </c>
      <c r="AB40" s="57">
        <v>-50611</v>
      </c>
      <c r="AC40" s="15"/>
      <c r="AD40" s="15"/>
      <c r="AE40" s="7"/>
      <c r="AF40" s="7"/>
      <c r="AG40" s="7">
        <v>6900502</v>
      </c>
      <c r="AH40" s="7">
        <v>7184949</v>
      </c>
      <c r="AI40" s="7">
        <v>7345360</v>
      </c>
      <c r="AJ40" s="7">
        <v>3862859</v>
      </c>
      <c r="AK40" s="7">
        <v>4101767</v>
      </c>
      <c r="AL40" s="7"/>
      <c r="AM40" s="7"/>
      <c r="AN40" s="7"/>
      <c r="AO40" s="7">
        <f t="shared" si="4"/>
        <v>-3862859</v>
      </c>
      <c r="AP40" s="7">
        <f t="shared" si="4"/>
        <v>-4101767</v>
      </c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>
        <v>2840755</v>
      </c>
      <c r="BE40" s="7">
        <v>2409657</v>
      </c>
      <c r="BF40" s="7"/>
      <c r="BG40" s="7"/>
      <c r="BH40" s="7"/>
      <c r="BI40" s="7">
        <v>2702137</v>
      </c>
      <c r="BJ40" s="7">
        <v>2305781</v>
      </c>
      <c r="BK40" s="7">
        <v>2484259</v>
      </c>
      <c r="BL40" s="7">
        <v>2717570</v>
      </c>
      <c r="BM40" s="7">
        <v>3207312</v>
      </c>
      <c r="BN40" s="7">
        <v>2015478</v>
      </c>
      <c r="BO40" s="7">
        <v>2137626</v>
      </c>
      <c r="BP40" s="7">
        <v>1997294</v>
      </c>
      <c r="BQ40" s="7">
        <v>2897889</v>
      </c>
      <c r="BR40" s="7">
        <v>3335279</v>
      </c>
      <c r="BS40" s="7"/>
      <c r="BT40" s="7"/>
      <c r="BU40" s="7"/>
      <c r="BV40" s="7"/>
      <c r="BW40" s="7"/>
      <c r="BX40" s="7"/>
      <c r="BY40" s="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9"/>
      <c r="DC40" s="39"/>
      <c r="DD40" s="39"/>
      <c r="DE40" s="39"/>
      <c r="DF40" s="39"/>
      <c r="DG40" s="39"/>
      <c r="DH40" s="39"/>
      <c r="DI40" s="39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</row>
    <row r="41" spans="1:139" x14ac:dyDescent="0.25">
      <c r="A41" s="70">
        <v>39</v>
      </c>
      <c r="B41" s="70" t="s">
        <v>269</v>
      </c>
      <c r="C41" s="171" t="s">
        <v>52</v>
      </c>
      <c r="D41" s="71" t="s">
        <v>53</v>
      </c>
      <c r="E41" s="72" t="s">
        <v>287</v>
      </c>
      <c r="F41" s="73">
        <v>1</v>
      </c>
      <c r="G41" s="70" t="s">
        <v>307</v>
      </c>
      <c r="H41" s="74">
        <v>5</v>
      </c>
      <c r="I41" s="75">
        <v>6</v>
      </c>
      <c r="J41" s="108">
        <v>6</v>
      </c>
      <c r="K41" s="124">
        <v>76889</v>
      </c>
      <c r="L41" s="77">
        <v>70034</v>
      </c>
      <c r="M41" s="125">
        <v>71902</v>
      </c>
      <c r="N41" s="116">
        <v>9867</v>
      </c>
      <c r="O41" s="75">
        <v>6890</v>
      </c>
      <c r="P41" s="108">
        <v>12438</v>
      </c>
      <c r="Q41" s="140">
        <f t="shared" si="5"/>
        <v>67022</v>
      </c>
      <c r="R41" s="79">
        <f t="shared" si="6"/>
        <v>63144</v>
      </c>
      <c r="S41" s="141">
        <f t="shared" si="7"/>
        <v>59464</v>
      </c>
      <c r="T41" s="154">
        <v>72813</v>
      </c>
      <c r="U41" s="75">
        <v>73923</v>
      </c>
      <c r="V41" s="155">
        <v>97887</v>
      </c>
      <c r="W41" s="148">
        <v>-3653</v>
      </c>
      <c r="X41" s="77">
        <v>-2976</v>
      </c>
      <c r="Y41" s="78">
        <v>5548</v>
      </c>
      <c r="Z41" s="74">
        <v>-3653</v>
      </c>
      <c r="AA41" s="75">
        <v>-2976</v>
      </c>
      <c r="AB41" s="76">
        <v>5548</v>
      </c>
      <c r="AC41" s="15"/>
      <c r="AD41" s="15"/>
      <c r="AE41" s="7"/>
      <c r="AF41" s="7"/>
      <c r="AG41" s="7">
        <v>2063502</v>
      </c>
      <c r="AH41" s="7">
        <v>2161873</v>
      </c>
      <c r="AI41" s="7">
        <v>2285530</v>
      </c>
      <c r="AJ41" s="7">
        <v>-92114</v>
      </c>
      <c r="AK41" s="7">
        <v>-49904</v>
      </c>
      <c r="AL41" s="7"/>
      <c r="AM41" s="7"/>
      <c r="AN41" s="7"/>
      <c r="AO41" s="7">
        <f t="shared" si="4"/>
        <v>92114</v>
      </c>
      <c r="AP41" s="7">
        <f t="shared" si="4"/>
        <v>49904</v>
      </c>
      <c r="AQ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>
        <f>700548+57970</f>
        <v>758518</v>
      </c>
      <c r="BE41" s="7">
        <f>714019+67792</f>
        <v>781811</v>
      </c>
      <c r="BF41" s="7"/>
      <c r="BG41" s="7"/>
      <c r="BH41" s="7"/>
      <c r="BI41" s="7">
        <f>700548</f>
        <v>700548</v>
      </c>
      <c r="BJ41" s="7">
        <f>714019</f>
        <v>714019</v>
      </c>
      <c r="BK41" s="7">
        <f>686391</f>
        <v>686391</v>
      </c>
      <c r="BL41" s="7">
        <f>868225</f>
        <v>868225</v>
      </c>
      <c r="BM41" s="7">
        <f>900888</f>
        <v>900888</v>
      </c>
      <c r="BN41" s="7">
        <f>212473+534397+2560</f>
        <v>749430</v>
      </c>
      <c r="BO41" s="7">
        <f>222396+533384+933</f>
        <v>756713</v>
      </c>
      <c r="BP41" s="7">
        <f>210447+567688+469</f>
        <v>778604</v>
      </c>
      <c r="BQ41" s="7">
        <f>262672+635985+667</f>
        <v>899324</v>
      </c>
      <c r="BR41" s="7">
        <f>224783+683671</f>
        <v>908454</v>
      </c>
      <c r="BS41" s="7"/>
      <c r="BT41" s="7"/>
      <c r="BU41" s="7"/>
      <c r="BV41" s="7"/>
      <c r="BW41" s="7"/>
      <c r="BX41" s="7"/>
      <c r="BY41" s="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9"/>
      <c r="DC41" s="39"/>
      <c r="DD41" s="39"/>
      <c r="DE41" s="39"/>
      <c r="DF41" s="39"/>
      <c r="DG41" s="39"/>
      <c r="DH41" s="39"/>
      <c r="DI41" s="39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</row>
    <row r="42" spans="1:139" x14ac:dyDescent="0.25">
      <c r="A42" s="25">
        <v>40</v>
      </c>
      <c r="B42" s="25" t="s">
        <v>269</v>
      </c>
      <c r="C42" s="170" t="s">
        <v>97</v>
      </c>
      <c r="D42" s="26" t="s">
        <v>98</v>
      </c>
      <c r="E42" s="27" t="s">
        <v>287</v>
      </c>
      <c r="F42" s="28">
        <v>1</v>
      </c>
      <c r="G42" s="25" t="s">
        <v>306</v>
      </c>
      <c r="H42" s="49">
        <v>53</v>
      </c>
      <c r="I42" s="50">
        <v>63</v>
      </c>
      <c r="J42" s="110">
        <v>51</v>
      </c>
      <c r="K42" s="126">
        <v>2080168</v>
      </c>
      <c r="L42" s="58">
        <v>1649892</v>
      </c>
      <c r="M42" s="128">
        <v>1783706</v>
      </c>
      <c r="N42" s="117">
        <v>240846</v>
      </c>
      <c r="O42" s="50">
        <v>-55222</v>
      </c>
      <c r="P42" s="110">
        <v>-33490</v>
      </c>
      <c r="Q42" s="142">
        <f t="shared" si="5"/>
        <v>1839322</v>
      </c>
      <c r="R42" s="64">
        <f t="shared" si="6"/>
        <v>1705114</v>
      </c>
      <c r="S42" s="143">
        <f t="shared" si="7"/>
        <v>1817196</v>
      </c>
      <c r="T42" s="156">
        <v>876580</v>
      </c>
      <c r="U42" s="50">
        <v>886413</v>
      </c>
      <c r="V42" s="158">
        <v>1030432</v>
      </c>
      <c r="W42" s="149">
        <v>-84089</v>
      </c>
      <c r="X42" s="58">
        <v>-259020</v>
      </c>
      <c r="Y42" s="59">
        <v>48649</v>
      </c>
      <c r="Z42" s="49">
        <v>-490907</v>
      </c>
      <c r="AA42" s="50">
        <v>-258243</v>
      </c>
      <c r="AB42" s="52">
        <v>55253</v>
      </c>
      <c r="AC42" s="15"/>
      <c r="AD42" s="15"/>
      <c r="AE42" s="7"/>
      <c r="AF42" s="7"/>
      <c r="AG42" s="7">
        <v>486291</v>
      </c>
      <c r="AH42" s="7">
        <v>1491702</v>
      </c>
      <c r="AI42" s="7">
        <v>1422514</v>
      </c>
      <c r="AJ42" s="7">
        <v>-383100</v>
      </c>
      <c r="AK42" s="7">
        <v>-1424766</v>
      </c>
      <c r="AL42" s="7"/>
      <c r="AM42" s="7"/>
      <c r="AN42" s="7"/>
      <c r="AO42" s="7">
        <f t="shared" si="4"/>
        <v>383100</v>
      </c>
      <c r="AP42" s="7">
        <f t="shared" si="4"/>
        <v>1424766</v>
      </c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>
        <v>440683</v>
      </c>
      <c r="BE42" s="7">
        <v>241444</v>
      </c>
      <c r="BF42" s="7"/>
      <c r="BG42" s="7"/>
      <c r="BH42" s="7"/>
      <c r="BI42" s="7">
        <v>131262</v>
      </c>
      <c r="BJ42" s="7">
        <v>74352</v>
      </c>
      <c r="BK42" s="7">
        <v>204782</v>
      </c>
      <c r="BL42" s="7">
        <v>190148</v>
      </c>
      <c r="BM42" s="7">
        <v>193048</v>
      </c>
      <c r="BN42" s="7">
        <v>587061</v>
      </c>
      <c r="BO42" s="7">
        <v>332197</v>
      </c>
      <c r="BP42" s="7">
        <v>388767</v>
      </c>
      <c r="BQ42" s="7">
        <v>524167</v>
      </c>
      <c r="BR42" s="7">
        <v>608531</v>
      </c>
      <c r="BS42" s="7"/>
      <c r="BT42" s="7"/>
      <c r="BU42" s="7"/>
      <c r="BV42" s="7"/>
      <c r="BW42" s="7"/>
      <c r="BX42" s="7"/>
      <c r="BY42" s="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9"/>
      <c r="DC42" s="39"/>
      <c r="DD42" s="39"/>
      <c r="DE42" s="39"/>
      <c r="DF42" s="39"/>
      <c r="DG42" s="39"/>
      <c r="DH42" s="39"/>
      <c r="DI42" s="39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</row>
    <row r="43" spans="1:139" x14ac:dyDescent="0.25">
      <c r="A43" s="25">
        <v>41</v>
      </c>
      <c r="B43" s="25" t="s">
        <v>269</v>
      </c>
      <c r="C43" s="170" t="s">
        <v>127</v>
      </c>
      <c r="D43" s="26" t="s">
        <v>128</v>
      </c>
      <c r="E43" s="27" t="s">
        <v>287</v>
      </c>
      <c r="F43" s="28">
        <v>1</v>
      </c>
      <c r="G43" s="25" t="s">
        <v>310</v>
      </c>
      <c r="H43" s="49">
        <v>10</v>
      </c>
      <c r="I43" s="50">
        <v>10</v>
      </c>
      <c r="J43" s="110">
        <v>9</v>
      </c>
      <c r="K43" s="126">
        <v>821</v>
      </c>
      <c r="L43" s="58">
        <v>15</v>
      </c>
      <c r="M43" s="128">
        <v>69</v>
      </c>
      <c r="N43" s="117">
        <v>821</v>
      </c>
      <c r="O43" s="50">
        <v>15</v>
      </c>
      <c r="P43" s="110">
        <v>69</v>
      </c>
      <c r="Q43" s="142">
        <f t="shared" si="5"/>
        <v>0</v>
      </c>
      <c r="R43" s="64">
        <f t="shared" si="6"/>
        <v>0</v>
      </c>
      <c r="S43" s="143">
        <f t="shared" si="7"/>
        <v>0</v>
      </c>
      <c r="T43" s="156">
        <v>133306</v>
      </c>
      <c r="U43" s="50">
        <v>115160</v>
      </c>
      <c r="V43" s="158">
        <v>106156</v>
      </c>
      <c r="W43" s="149">
        <v>821</v>
      </c>
      <c r="X43" s="58">
        <v>15</v>
      </c>
      <c r="Y43" s="59">
        <v>69</v>
      </c>
      <c r="Z43" s="49">
        <v>821</v>
      </c>
      <c r="AA43" s="50">
        <v>15</v>
      </c>
      <c r="AB43" s="52">
        <v>69</v>
      </c>
      <c r="AC43" s="15"/>
      <c r="AD43" s="15"/>
      <c r="AE43" s="7"/>
      <c r="AF43" s="7"/>
      <c r="AG43" s="7">
        <v>8309583</v>
      </c>
      <c r="AH43" s="7">
        <v>7997850</v>
      </c>
      <c r="AI43" s="7">
        <v>7922004</v>
      </c>
      <c r="AJ43" s="7">
        <v>1928158</v>
      </c>
      <c r="AK43" s="7">
        <v>2270728</v>
      </c>
      <c r="AL43" s="7"/>
      <c r="AM43" s="7"/>
      <c r="AN43" s="7"/>
      <c r="AO43" s="7">
        <f t="shared" si="4"/>
        <v>-1928158</v>
      </c>
      <c r="AP43" s="7">
        <f t="shared" si="4"/>
        <v>-2270728</v>
      </c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>
        <v>4775129</v>
      </c>
      <c r="BE43" s="7">
        <v>4526436</v>
      </c>
      <c r="BF43" s="7"/>
      <c r="BG43" s="7"/>
      <c r="BH43" s="7"/>
      <c r="BI43" s="7">
        <v>3371995</v>
      </c>
      <c r="BJ43" s="7">
        <v>3932829</v>
      </c>
      <c r="BK43" s="7">
        <v>4223792</v>
      </c>
      <c r="BL43" s="7">
        <v>4569013</v>
      </c>
      <c r="BM43" s="7">
        <v>4678681</v>
      </c>
      <c r="BN43" s="7">
        <v>4629382</v>
      </c>
      <c r="BO43" s="7">
        <v>4375129</v>
      </c>
      <c r="BP43" s="7">
        <v>4742507</v>
      </c>
      <c r="BQ43" s="7">
        <v>5058961</v>
      </c>
      <c r="BR43" s="7">
        <v>5143898</v>
      </c>
      <c r="BS43" s="7"/>
      <c r="BT43" s="7"/>
      <c r="BU43" s="7"/>
      <c r="BV43" s="7"/>
      <c r="BW43" s="7"/>
      <c r="BX43" s="7"/>
      <c r="BY43" s="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9"/>
      <c r="DC43" s="39"/>
      <c r="DD43" s="39"/>
      <c r="DE43" s="39"/>
      <c r="DF43" s="39"/>
      <c r="DG43" s="39"/>
      <c r="DH43" s="39"/>
      <c r="DI43" s="39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</row>
    <row r="44" spans="1:139" ht="15.75" thickBot="1" x14ac:dyDescent="0.3">
      <c r="A44" s="80">
        <v>42</v>
      </c>
      <c r="B44" s="80" t="s">
        <v>269</v>
      </c>
      <c r="C44" s="172" t="s">
        <v>230</v>
      </c>
      <c r="D44" s="81" t="s">
        <v>231</v>
      </c>
      <c r="E44" s="82" t="s">
        <v>287</v>
      </c>
      <c r="F44" s="83">
        <v>1</v>
      </c>
      <c r="G44" s="80" t="s">
        <v>306</v>
      </c>
      <c r="H44" s="55">
        <v>70</v>
      </c>
      <c r="I44" s="56">
        <v>69</v>
      </c>
      <c r="J44" s="111">
        <v>72</v>
      </c>
      <c r="K44" s="129">
        <v>2287830</v>
      </c>
      <c r="L44" s="62">
        <v>2193338</v>
      </c>
      <c r="M44" s="130">
        <v>2152962</v>
      </c>
      <c r="N44" s="118">
        <v>1314811</v>
      </c>
      <c r="O44" s="56">
        <v>1317830</v>
      </c>
      <c r="P44" s="111">
        <v>1356707</v>
      </c>
      <c r="Q44" s="144">
        <f t="shared" si="5"/>
        <v>973019</v>
      </c>
      <c r="R44" s="65">
        <f t="shared" si="6"/>
        <v>875508</v>
      </c>
      <c r="S44" s="145">
        <f t="shared" si="7"/>
        <v>796255</v>
      </c>
      <c r="T44" s="159">
        <v>1485517</v>
      </c>
      <c r="U44" s="56">
        <v>1502816</v>
      </c>
      <c r="V44" s="160">
        <v>1412646</v>
      </c>
      <c r="W44" s="150">
        <v>9040</v>
      </c>
      <c r="X44" s="62">
        <v>16496</v>
      </c>
      <c r="Y44" s="63">
        <v>63856</v>
      </c>
      <c r="Z44" s="55">
        <v>43665</v>
      </c>
      <c r="AA44" s="56">
        <v>3019</v>
      </c>
      <c r="AB44" s="57">
        <v>29299</v>
      </c>
      <c r="AC44" s="15"/>
      <c r="AD44" s="15"/>
      <c r="AE44" s="7"/>
      <c r="AF44" s="7"/>
      <c r="AG44" s="7">
        <v>3657271</v>
      </c>
      <c r="AH44" s="7">
        <v>3858653</v>
      </c>
      <c r="AI44" s="7">
        <v>3760464</v>
      </c>
      <c r="AJ44" s="7">
        <v>-845690</v>
      </c>
      <c r="AK44" s="7">
        <v>-972518</v>
      </c>
      <c r="AL44" s="7"/>
      <c r="AM44" s="7"/>
      <c r="AN44" s="7"/>
      <c r="AO44" s="7">
        <f t="shared" si="4"/>
        <v>845690</v>
      </c>
      <c r="AP44" s="7">
        <f t="shared" si="4"/>
        <v>972518</v>
      </c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>
        <v>2268906</v>
      </c>
      <c r="BE44" s="7">
        <v>2047303</v>
      </c>
      <c r="BF44" s="7"/>
      <c r="BG44" s="7"/>
      <c r="BH44" s="7"/>
      <c r="BI44" s="7">
        <v>2255562</v>
      </c>
      <c r="BJ44" s="7">
        <v>1303911</v>
      </c>
      <c r="BK44" s="7">
        <v>1353861</v>
      </c>
      <c r="BL44" s="7">
        <v>1352251</v>
      </c>
      <c r="BM44" s="7">
        <f>1284044</f>
        <v>1284044</v>
      </c>
      <c r="BN44" s="7">
        <v>2268341</v>
      </c>
      <c r="BO44" s="7">
        <v>2060459</v>
      </c>
      <c r="BP44" s="7">
        <v>2186403</v>
      </c>
      <c r="BQ44" s="7">
        <v>2458322</v>
      </c>
      <c r="BR44" s="7">
        <f>1008341+1589744+5084</f>
        <v>2603169</v>
      </c>
      <c r="BS44" s="7"/>
      <c r="BT44" s="7"/>
      <c r="BU44" s="7"/>
      <c r="BV44" s="7"/>
      <c r="BW44" s="7"/>
      <c r="BX44" s="7"/>
      <c r="BY44" s="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9"/>
      <c r="DC44" s="39"/>
      <c r="DD44" s="39"/>
      <c r="DE44" s="39"/>
      <c r="DF44" s="39"/>
      <c r="DG44" s="39"/>
      <c r="DH44" s="39"/>
      <c r="DI44" s="39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</row>
    <row r="45" spans="1:139" ht="15.75" thickBot="1" x14ac:dyDescent="0.3">
      <c r="A45" s="70">
        <v>43</v>
      </c>
      <c r="B45" s="85" t="s">
        <v>283</v>
      </c>
      <c r="C45" s="173" t="s">
        <v>73</v>
      </c>
      <c r="D45" s="86" t="s">
        <v>74</v>
      </c>
      <c r="E45" s="87" t="s">
        <v>287</v>
      </c>
      <c r="F45" s="88">
        <v>1</v>
      </c>
      <c r="G45" s="85" t="s">
        <v>306</v>
      </c>
      <c r="H45" s="89">
        <v>19</v>
      </c>
      <c r="I45" s="90">
        <v>21</v>
      </c>
      <c r="J45" s="112">
        <v>20</v>
      </c>
      <c r="K45" s="132">
        <v>236811</v>
      </c>
      <c r="L45" s="92">
        <v>217112</v>
      </c>
      <c r="M45" s="133">
        <v>200963</v>
      </c>
      <c r="N45" s="120">
        <v>198212</v>
      </c>
      <c r="O45" s="90">
        <v>170584</v>
      </c>
      <c r="P45" s="112">
        <v>146076</v>
      </c>
      <c r="Q45" s="146">
        <f t="shared" si="5"/>
        <v>38599</v>
      </c>
      <c r="R45" s="94">
        <f t="shared" si="6"/>
        <v>46528</v>
      </c>
      <c r="S45" s="147">
        <f t="shared" si="7"/>
        <v>54887</v>
      </c>
      <c r="T45" s="162">
        <v>187288</v>
      </c>
      <c r="U45" s="90">
        <v>222856</v>
      </c>
      <c r="V45" s="163">
        <v>243995</v>
      </c>
      <c r="W45" s="152">
        <v>-36963</v>
      </c>
      <c r="X45" s="92">
        <v>-19151</v>
      </c>
      <c r="Y45" s="93">
        <v>-24509</v>
      </c>
      <c r="Z45" s="89">
        <v>-36963</v>
      </c>
      <c r="AA45" s="90">
        <v>-19151</v>
      </c>
      <c r="AB45" s="91">
        <v>-24509</v>
      </c>
      <c r="AC45" s="15"/>
      <c r="AD45" s="15"/>
      <c r="AE45" s="7"/>
      <c r="AF45" s="7"/>
      <c r="AG45" s="7">
        <v>228556</v>
      </c>
      <c r="AH45" s="7">
        <v>269306</v>
      </c>
      <c r="AI45" s="7">
        <v>251367</v>
      </c>
      <c r="AJ45" s="7">
        <v>-98536</v>
      </c>
      <c r="AK45" s="7">
        <v>-104806</v>
      </c>
      <c r="AL45" s="7"/>
      <c r="AM45" s="7"/>
      <c r="AN45" s="7"/>
      <c r="AO45" s="7">
        <f t="shared" si="4"/>
        <v>98536</v>
      </c>
      <c r="AP45" s="7">
        <f t="shared" si="4"/>
        <v>104806</v>
      </c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>
        <v>480516</v>
      </c>
      <c r="BE45" s="7">
        <v>423906</v>
      </c>
      <c r="BF45" s="7"/>
      <c r="BG45" s="7"/>
      <c r="BH45" s="7"/>
      <c r="BI45" s="7">
        <v>167200</v>
      </c>
      <c r="BJ45" s="7">
        <v>181201</v>
      </c>
      <c r="BK45" s="7">
        <v>171331</v>
      </c>
      <c r="BL45" s="7">
        <v>197929</v>
      </c>
      <c r="BM45" s="7">
        <f>192572</f>
        <v>192572</v>
      </c>
      <c r="BN45" s="7">
        <v>398965</v>
      </c>
      <c r="BO45" s="7">
        <v>430176</v>
      </c>
      <c r="BP45" s="7">
        <v>443380</v>
      </c>
      <c r="BQ45" s="7">
        <v>466259</v>
      </c>
      <c r="BR45" s="7">
        <f>114255+338240+1+378</f>
        <v>452874</v>
      </c>
      <c r="BS45" s="7"/>
      <c r="BT45" s="7"/>
      <c r="BU45" s="7"/>
      <c r="BV45" s="7"/>
      <c r="BW45" s="7"/>
      <c r="BX45" s="7"/>
      <c r="BY45" s="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9"/>
      <c r="DC45" s="39"/>
      <c r="DD45" s="39"/>
      <c r="DE45" s="39"/>
      <c r="DF45" s="39"/>
      <c r="DG45" s="39"/>
      <c r="DH45" s="39"/>
      <c r="DI45" s="39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</row>
    <row r="46" spans="1:139" x14ac:dyDescent="0.25">
      <c r="A46" s="70">
        <v>44</v>
      </c>
      <c r="B46" s="70" t="s">
        <v>260</v>
      </c>
      <c r="C46" s="171" t="s">
        <v>6</v>
      </c>
      <c r="D46" s="71" t="s">
        <v>7</v>
      </c>
      <c r="E46" s="72" t="s">
        <v>287</v>
      </c>
      <c r="F46" s="73">
        <v>1</v>
      </c>
      <c r="G46" s="70" t="s">
        <v>297</v>
      </c>
      <c r="H46" s="74">
        <v>6</v>
      </c>
      <c r="I46" s="75">
        <v>6</v>
      </c>
      <c r="J46" s="108">
        <v>6</v>
      </c>
      <c r="K46" s="124">
        <v>63866</v>
      </c>
      <c r="L46" s="77">
        <v>60351</v>
      </c>
      <c r="M46" s="125">
        <v>83034</v>
      </c>
      <c r="N46" s="116">
        <v>10310</v>
      </c>
      <c r="O46" s="75">
        <v>20227</v>
      </c>
      <c r="P46" s="108">
        <v>60775</v>
      </c>
      <c r="Q46" s="140">
        <f t="shared" si="5"/>
        <v>53556</v>
      </c>
      <c r="R46" s="79">
        <f t="shared" si="6"/>
        <v>40124</v>
      </c>
      <c r="S46" s="141">
        <f t="shared" si="7"/>
        <v>22259</v>
      </c>
      <c r="T46" s="154">
        <v>117551</v>
      </c>
      <c r="U46" s="75">
        <v>110528</v>
      </c>
      <c r="V46" s="155">
        <v>145587</v>
      </c>
      <c r="W46" s="148">
        <v>6794</v>
      </c>
      <c r="X46" s="77">
        <v>11701</v>
      </c>
      <c r="Y46" s="78">
        <v>42538</v>
      </c>
      <c r="Z46" s="74">
        <v>5352</v>
      </c>
      <c r="AA46" s="75">
        <v>11719</v>
      </c>
      <c r="AB46" s="76">
        <v>40548</v>
      </c>
      <c r="AC46" s="15">
        <v>6</v>
      </c>
      <c r="AD46" s="15">
        <v>6</v>
      </c>
      <c r="AE46" s="7"/>
      <c r="AF46" s="7"/>
      <c r="AG46" s="7">
        <v>1880809</v>
      </c>
      <c r="AH46" s="7">
        <v>1735277</v>
      </c>
      <c r="AI46" s="7">
        <v>1743561</v>
      </c>
      <c r="AJ46" s="7">
        <v>-2346709</v>
      </c>
      <c r="AK46" s="7">
        <v>-2406546</v>
      </c>
      <c r="AL46" s="7"/>
      <c r="AM46" s="7"/>
      <c r="AN46" s="7"/>
      <c r="AO46" s="7">
        <f t="shared" si="4"/>
        <v>2346709</v>
      </c>
      <c r="AP46" s="7">
        <f t="shared" si="4"/>
        <v>2406546</v>
      </c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>
        <v>1242698</v>
      </c>
      <c r="BE46" s="7">
        <v>1174972</v>
      </c>
      <c r="BF46" s="7"/>
      <c r="BG46" s="7"/>
      <c r="BH46" s="7"/>
      <c r="BI46" s="7">
        <v>888349</v>
      </c>
      <c r="BJ46" s="7">
        <v>834434</v>
      </c>
      <c r="BK46" s="7">
        <v>963718</v>
      </c>
      <c r="BL46" s="7">
        <v>967735</v>
      </c>
      <c r="BM46" s="7">
        <v>952092</v>
      </c>
      <c r="BN46" s="7">
        <v>1289514</v>
      </c>
      <c r="BO46" s="7">
        <v>1234809</v>
      </c>
      <c r="BP46" s="7">
        <v>1279457</v>
      </c>
      <c r="BQ46" s="7">
        <v>1515814</v>
      </c>
      <c r="BR46" s="7">
        <v>1666877</v>
      </c>
      <c r="BS46" s="7"/>
      <c r="BT46" s="7"/>
      <c r="BU46" s="7"/>
      <c r="BV46" s="7"/>
      <c r="BW46" s="7"/>
      <c r="BX46" s="7"/>
      <c r="BY46" s="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9"/>
      <c r="DC46" s="39"/>
      <c r="DD46" s="39"/>
      <c r="DE46" s="39"/>
      <c r="DF46" s="39"/>
      <c r="DG46" s="39"/>
      <c r="DH46" s="39"/>
      <c r="DI46" s="39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</row>
    <row r="47" spans="1:139" x14ac:dyDescent="0.25">
      <c r="A47" s="25">
        <v>45</v>
      </c>
      <c r="B47" s="25" t="s">
        <v>260</v>
      </c>
      <c r="C47" s="170" t="s">
        <v>12</v>
      </c>
      <c r="D47" s="26" t="s">
        <v>13</v>
      </c>
      <c r="E47" s="27" t="s">
        <v>287</v>
      </c>
      <c r="F47" s="28">
        <v>1</v>
      </c>
      <c r="G47" s="25" t="s">
        <v>298</v>
      </c>
      <c r="H47" s="49">
        <v>28</v>
      </c>
      <c r="I47" s="50">
        <v>20</v>
      </c>
      <c r="J47" s="110">
        <v>22</v>
      </c>
      <c r="K47" s="126">
        <v>471917</v>
      </c>
      <c r="L47" s="58">
        <v>440001</v>
      </c>
      <c r="M47" s="128">
        <v>328041</v>
      </c>
      <c r="N47" s="117">
        <v>5291</v>
      </c>
      <c r="O47" s="50">
        <v>2886</v>
      </c>
      <c r="P47" s="110">
        <v>11191</v>
      </c>
      <c r="Q47" s="142">
        <f t="shared" si="5"/>
        <v>466626</v>
      </c>
      <c r="R47" s="64">
        <f t="shared" si="6"/>
        <v>437115</v>
      </c>
      <c r="S47" s="143">
        <f t="shared" si="7"/>
        <v>316850</v>
      </c>
      <c r="T47" s="156">
        <v>329188</v>
      </c>
      <c r="U47" s="50">
        <v>314131</v>
      </c>
      <c r="V47" s="158">
        <v>377879</v>
      </c>
      <c r="W47" s="149">
        <v>-29969</v>
      </c>
      <c r="X47" s="58">
        <v>-3175</v>
      </c>
      <c r="Y47" s="59">
        <v>7417</v>
      </c>
      <c r="Z47" s="49">
        <v>-29306</v>
      </c>
      <c r="AA47" s="50">
        <v>-2406</v>
      </c>
      <c r="AB47" s="52">
        <v>8304</v>
      </c>
      <c r="AC47" s="15">
        <v>6</v>
      </c>
      <c r="AD47" s="15">
        <v>6</v>
      </c>
      <c r="AE47" s="7"/>
      <c r="AF47" s="7"/>
      <c r="AG47" s="7">
        <v>4474674</v>
      </c>
      <c r="AH47" s="7">
        <v>6423898</v>
      </c>
      <c r="AI47" s="7">
        <v>7008332</v>
      </c>
      <c r="AJ47" s="7">
        <v>4965425</v>
      </c>
      <c r="AK47" s="7">
        <v>3619767</v>
      </c>
      <c r="AL47" s="7"/>
      <c r="AM47" s="7"/>
      <c r="AN47" s="7"/>
      <c r="AO47" s="7">
        <f t="shared" si="4"/>
        <v>-4965425</v>
      </c>
      <c r="AP47" s="7">
        <f t="shared" si="4"/>
        <v>-3619767</v>
      </c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>
        <v>5791228</v>
      </c>
      <c r="BE47" s="7">
        <v>3970664</v>
      </c>
      <c r="BF47" s="7"/>
      <c r="BG47" s="7"/>
      <c r="BH47" s="7"/>
      <c r="BI47" s="7">
        <v>5225275</v>
      </c>
      <c r="BJ47" s="7">
        <v>3548213</v>
      </c>
      <c r="BK47" s="7">
        <v>4788637</v>
      </c>
      <c r="BL47" s="7">
        <v>6142958</v>
      </c>
      <c r="BM47" s="7">
        <f>6363555</f>
        <v>6363555</v>
      </c>
      <c r="BN47" s="7">
        <v>5735510</v>
      </c>
      <c r="BO47" s="7">
        <v>5316323</v>
      </c>
      <c r="BP47" s="7">
        <v>5477298</v>
      </c>
      <c r="BQ47" s="7">
        <v>6707600</v>
      </c>
      <c r="BR47" s="7">
        <f>2691113+4514313+127672</f>
        <v>7333098</v>
      </c>
      <c r="BS47" s="7"/>
      <c r="BT47" s="7"/>
      <c r="BU47" s="7"/>
      <c r="BV47" s="7"/>
      <c r="BW47" s="7"/>
      <c r="BX47" s="7"/>
      <c r="BY47" s="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9"/>
      <c r="DC47" s="39"/>
      <c r="DD47" s="39"/>
      <c r="DE47" s="39"/>
      <c r="DF47" s="39"/>
      <c r="DG47" s="39"/>
      <c r="DH47" s="39"/>
      <c r="DI47" s="39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</row>
    <row r="48" spans="1:139" x14ac:dyDescent="0.25">
      <c r="A48" s="25">
        <v>46</v>
      </c>
      <c r="B48" s="25" t="s">
        <v>260</v>
      </c>
      <c r="C48" s="170" t="s">
        <v>38</v>
      </c>
      <c r="D48" s="26" t="s">
        <v>39</v>
      </c>
      <c r="E48" s="27" t="s">
        <v>287</v>
      </c>
      <c r="F48" s="28">
        <v>1</v>
      </c>
      <c r="G48" s="25" t="s">
        <v>306</v>
      </c>
      <c r="H48" s="49">
        <v>163</v>
      </c>
      <c r="I48" s="50">
        <v>166</v>
      </c>
      <c r="J48" s="110">
        <v>178</v>
      </c>
      <c r="K48" s="126">
        <v>2099631</v>
      </c>
      <c r="L48" s="58">
        <v>1703253</v>
      </c>
      <c r="M48" s="128">
        <v>2512508</v>
      </c>
      <c r="N48" s="117">
        <v>1268287</v>
      </c>
      <c r="O48" s="50">
        <v>961536</v>
      </c>
      <c r="P48" s="110">
        <v>1362282</v>
      </c>
      <c r="Q48" s="142">
        <f t="shared" si="5"/>
        <v>831344</v>
      </c>
      <c r="R48" s="64">
        <f t="shared" si="6"/>
        <v>741717</v>
      </c>
      <c r="S48" s="143">
        <f t="shared" si="7"/>
        <v>1150226</v>
      </c>
      <c r="T48" s="156">
        <v>3261111</v>
      </c>
      <c r="U48" s="50">
        <v>3439747</v>
      </c>
      <c r="V48" s="158">
        <v>3911140</v>
      </c>
      <c r="W48" s="149">
        <v>378558</v>
      </c>
      <c r="X48" s="58">
        <v>162420</v>
      </c>
      <c r="Y48" s="59">
        <v>129997</v>
      </c>
      <c r="Z48" s="49">
        <v>234751</v>
      </c>
      <c r="AA48" s="50">
        <v>84112</v>
      </c>
      <c r="AB48" s="52">
        <v>103755</v>
      </c>
      <c r="AC48" s="15"/>
      <c r="AD48" s="15"/>
      <c r="AE48" s="7"/>
      <c r="AF48" s="7"/>
      <c r="AG48" s="7">
        <v>2504596</v>
      </c>
      <c r="AH48" s="7">
        <v>2524879</v>
      </c>
      <c r="AI48" s="7">
        <v>2997820</v>
      </c>
      <c r="AJ48" s="7">
        <v>-913748</v>
      </c>
      <c r="AK48" s="7">
        <v>-1571377</v>
      </c>
      <c r="AL48" s="7"/>
      <c r="AM48" s="7"/>
      <c r="AN48" s="7"/>
      <c r="AO48" s="7">
        <f t="shared" si="4"/>
        <v>913748</v>
      </c>
      <c r="AP48" s="7">
        <f t="shared" si="4"/>
        <v>1571377</v>
      </c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>
        <v>1471467</v>
      </c>
      <c r="BE48" s="7">
        <v>1288323</v>
      </c>
      <c r="BF48" s="7"/>
      <c r="BG48" s="7"/>
      <c r="BH48" s="7"/>
      <c r="BI48" s="7">
        <v>1080065</v>
      </c>
      <c r="BJ48" s="7">
        <v>907091</v>
      </c>
      <c r="BK48" s="7">
        <v>1037718</v>
      </c>
      <c r="BL48" s="7">
        <v>1092417</v>
      </c>
      <c r="BM48" s="7">
        <v>1379153</v>
      </c>
      <c r="BN48" s="7">
        <v>1469569</v>
      </c>
      <c r="BO48" s="7">
        <v>1945951</v>
      </c>
      <c r="BP48" s="7">
        <v>1585285</v>
      </c>
      <c r="BQ48" s="7">
        <v>1643413</v>
      </c>
      <c r="BR48" s="7">
        <v>1547058</v>
      </c>
      <c r="BS48" s="7"/>
      <c r="BT48" s="7"/>
      <c r="BU48" s="7"/>
      <c r="BV48" s="7"/>
      <c r="BW48" s="7"/>
      <c r="BX48" s="7"/>
      <c r="BY48" s="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9"/>
      <c r="DC48" s="39"/>
      <c r="DD48" s="39"/>
      <c r="DE48" s="39"/>
      <c r="DF48" s="39"/>
      <c r="DG48" s="39"/>
      <c r="DH48" s="39"/>
      <c r="DI48" s="39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</row>
    <row r="49" spans="1:139" ht="30" x14ac:dyDescent="0.25">
      <c r="A49" s="25">
        <v>47</v>
      </c>
      <c r="B49" s="25" t="s">
        <v>260</v>
      </c>
      <c r="C49" s="170" t="s">
        <v>46</v>
      </c>
      <c r="D49" s="174" t="s">
        <v>47</v>
      </c>
      <c r="E49" s="27" t="s">
        <v>287</v>
      </c>
      <c r="F49" s="28">
        <v>1</v>
      </c>
      <c r="G49" s="25" t="s">
        <v>306</v>
      </c>
      <c r="H49" s="49">
        <v>2</v>
      </c>
      <c r="I49" s="50">
        <v>5</v>
      </c>
      <c r="J49" s="110">
        <v>6</v>
      </c>
      <c r="K49" s="126">
        <v>30466127</v>
      </c>
      <c r="L49" s="58">
        <v>30600066</v>
      </c>
      <c r="M49" s="128">
        <v>31369729</v>
      </c>
      <c r="N49" s="117">
        <v>-1795687</v>
      </c>
      <c r="O49" s="50">
        <v>-1820618</v>
      </c>
      <c r="P49" s="110">
        <v>-1843871</v>
      </c>
      <c r="Q49" s="142">
        <f t="shared" si="5"/>
        <v>32261814</v>
      </c>
      <c r="R49" s="64">
        <f t="shared" si="6"/>
        <v>32420684</v>
      </c>
      <c r="S49" s="143">
        <f t="shared" si="7"/>
        <v>33213600</v>
      </c>
      <c r="T49" s="156">
        <v>417898</v>
      </c>
      <c r="U49" s="50">
        <v>597889</v>
      </c>
      <c r="V49" s="158">
        <v>867775</v>
      </c>
      <c r="W49" s="149">
        <v>-444009</v>
      </c>
      <c r="X49" s="58">
        <v>-212202</v>
      </c>
      <c r="Y49" s="59">
        <v>-365145</v>
      </c>
      <c r="Z49" s="49">
        <v>-446194</v>
      </c>
      <c r="AA49" s="50">
        <v>-24931</v>
      </c>
      <c r="AB49" s="52">
        <v>-23254</v>
      </c>
      <c r="AC49" s="15"/>
      <c r="AD49" s="15"/>
      <c r="AE49" s="7"/>
      <c r="AF49" s="7"/>
      <c r="AG49" s="7">
        <v>2080168</v>
      </c>
      <c r="AH49" s="7">
        <v>1649892</v>
      </c>
      <c r="AI49" s="7">
        <v>1783706</v>
      </c>
      <c r="AJ49" s="7">
        <v>310519</v>
      </c>
      <c r="AK49" s="7">
        <v>305925</v>
      </c>
      <c r="AL49" s="7"/>
      <c r="AM49" s="7"/>
      <c r="AN49" s="7"/>
      <c r="AO49" s="7">
        <f t="shared" si="4"/>
        <v>-310519</v>
      </c>
      <c r="AP49" s="7">
        <f t="shared" si="4"/>
        <v>-305925</v>
      </c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>
        <v>902306</v>
      </c>
      <c r="BE49" s="7">
        <v>939011</v>
      </c>
      <c r="BF49" s="7"/>
      <c r="BG49" s="7"/>
      <c r="BH49" s="7"/>
      <c r="BI49" s="7">
        <v>814223</v>
      </c>
      <c r="BJ49" s="7">
        <v>934396</v>
      </c>
      <c r="BK49" s="7">
        <v>852537</v>
      </c>
      <c r="BL49" s="7">
        <v>841523</v>
      </c>
      <c r="BM49" s="7">
        <v>968092</v>
      </c>
      <c r="BN49" s="7">
        <v>899513</v>
      </c>
      <c r="BO49" s="7">
        <v>924198</v>
      </c>
      <c r="BP49" s="7">
        <v>1364832</v>
      </c>
      <c r="BQ49" s="7">
        <v>1150799</v>
      </c>
      <c r="BR49" s="7">
        <v>962979</v>
      </c>
      <c r="BS49" s="7"/>
      <c r="BT49" s="7"/>
      <c r="BU49" s="7"/>
      <c r="BV49" s="7"/>
      <c r="BW49" s="7"/>
      <c r="BX49" s="7"/>
      <c r="BY49" s="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9"/>
      <c r="DC49" s="39"/>
      <c r="DD49" s="39"/>
      <c r="DE49" s="39"/>
      <c r="DF49" s="39"/>
      <c r="DG49" s="39"/>
      <c r="DH49" s="39"/>
      <c r="DI49" s="39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</row>
    <row r="50" spans="1:139" ht="30" x14ac:dyDescent="0.25">
      <c r="A50" s="25">
        <v>48</v>
      </c>
      <c r="B50" s="25" t="s">
        <v>260</v>
      </c>
      <c r="C50" s="170" t="s">
        <v>58</v>
      </c>
      <c r="D50" s="174" t="s">
        <v>59</v>
      </c>
      <c r="E50" s="27" t="s">
        <v>287</v>
      </c>
      <c r="F50" s="28">
        <v>1</v>
      </c>
      <c r="G50" s="25" t="s">
        <v>310</v>
      </c>
      <c r="H50" s="49">
        <v>34</v>
      </c>
      <c r="I50" s="50">
        <v>36</v>
      </c>
      <c r="J50" s="110">
        <v>37</v>
      </c>
      <c r="K50" s="126">
        <v>68984</v>
      </c>
      <c r="L50" s="58">
        <v>121152</v>
      </c>
      <c r="M50" s="128">
        <v>43985</v>
      </c>
      <c r="N50" s="117">
        <v>-123790</v>
      </c>
      <c r="O50" s="50">
        <v>-11622</v>
      </c>
      <c r="P50" s="110">
        <v>-71704</v>
      </c>
      <c r="Q50" s="142">
        <f t="shared" si="5"/>
        <v>192774</v>
      </c>
      <c r="R50" s="64">
        <f t="shared" si="6"/>
        <v>132774</v>
      </c>
      <c r="S50" s="143">
        <f t="shared" si="7"/>
        <v>115689</v>
      </c>
      <c r="T50" s="156">
        <v>446583</v>
      </c>
      <c r="U50" s="50">
        <v>595845</v>
      </c>
      <c r="V50" s="158">
        <f>48658+483860</f>
        <v>532518</v>
      </c>
      <c r="W50" s="149">
        <v>-34210</v>
      </c>
      <c r="X50" s="58">
        <v>127363</v>
      </c>
      <c r="Y50" s="59">
        <v>-56728</v>
      </c>
      <c r="Z50" s="49">
        <v>-34503</v>
      </c>
      <c r="AA50" s="50">
        <v>112168</v>
      </c>
      <c r="AB50" s="52">
        <v>-60082</v>
      </c>
      <c r="AC50" s="15"/>
      <c r="AD50" s="15"/>
      <c r="AE50" s="7"/>
      <c r="AF50" s="7"/>
      <c r="AG50" s="7">
        <v>1152808</v>
      </c>
      <c r="AH50" s="7">
        <v>1049803</v>
      </c>
      <c r="AI50" s="7">
        <v>1237881</v>
      </c>
      <c r="AJ50" s="7">
        <v>-115433</v>
      </c>
      <c r="AK50" s="7">
        <v>-22831</v>
      </c>
      <c r="AL50" s="7"/>
      <c r="AM50" s="7"/>
      <c r="AN50" s="7"/>
      <c r="AO50" s="7">
        <f t="shared" si="4"/>
        <v>115433</v>
      </c>
      <c r="AP50" s="7">
        <f t="shared" si="4"/>
        <v>22831</v>
      </c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>
        <v>609607</v>
      </c>
      <c r="BE50" s="7">
        <v>605083</v>
      </c>
      <c r="BF50" s="7"/>
      <c r="BG50" s="7"/>
      <c r="BH50" s="7"/>
      <c r="BI50" s="7">
        <v>453423</v>
      </c>
      <c r="BJ50" s="7">
        <v>452891</v>
      </c>
      <c r="BK50" s="7">
        <v>617218</v>
      </c>
      <c r="BL50" s="7">
        <v>663903</v>
      </c>
      <c r="BM50" s="7">
        <v>1087391</v>
      </c>
      <c r="BN50" s="7">
        <v>454446</v>
      </c>
      <c r="BO50" s="7">
        <v>507008</v>
      </c>
      <c r="BP50" s="7">
        <v>550700</v>
      </c>
      <c r="BQ50" s="7">
        <v>696688</v>
      </c>
      <c r="BR50" s="7">
        <v>1012657</v>
      </c>
      <c r="BS50" s="7"/>
      <c r="BT50" s="7"/>
      <c r="BU50" s="7"/>
      <c r="BV50" s="7"/>
      <c r="BW50" s="7"/>
      <c r="BX50" s="7"/>
      <c r="BY50" s="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9"/>
      <c r="DC50" s="39"/>
      <c r="DD50" s="39"/>
      <c r="DE50" s="39"/>
      <c r="DF50" s="39"/>
      <c r="DG50" s="39"/>
      <c r="DH50" s="39"/>
      <c r="DI50" s="39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</row>
    <row r="51" spans="1:139" x14ac:dyDescent="0.25">
      <c r="A51" s="25">
        <v>49</v>
      </c>
      <c r="B51" s="25" t="s">
        <v>260</v>
      </c>
      <c r="C51" s="170" t="s">
        <v>115</v>
      </c>
      <c r="D51" s="26" t="s">
        <v>116</v>
      </c>
      <c r="E51" s="27" t="s">
        <v>287</v>
      </c>
      <c r="F51" s="28">
        <v>1</v>
      </c>
      <c r="G51" s="25" t="s">
        <v>306</v>
      </c>
      <c r="H51" s="49">
        <v>83</v>
      </c>
      <c r="I51" s="50">
        <v>83</v>
      </c>
      <c r="J51" s="110">
        <v>82</v>
      </c>
      <c r="K51" s="126">
        <v>846999</v>
      </c>
      <c r="L51" s="58">
        <v>650555</v>
      </c>
      <c r="M51" s="128">
        <v>874368</v>
      </c>
      <c r="N51" s="117">
        <v>414174</v>
      </c>
      <c r="O51" s="50">
        <v>421351</v>
      </c>
      <c r="P51" s="110">
        <v>425647</v>
      </c>
      <c r="Q51" s="142">
        <f t="shared" si="5"/>
        <v>432825</v>
      </c>
      <c r="R51" s="64">
        <f t="shared" si="6"/>
        <v>229204</v>
      </c>
      <c r="S51" s="143">
        <f t="shared" si="7"/>
        <v>448721</v>
      </c>
      <c r="T51" s="156">
        <v>1362179</v>
      </c>
      <c r="U51" s="50">
        <v>1245487</v>
      </c>
      <c r="V51" s="158">
        <v>1371702</v>
      </c>
      <c r="W51" s="149">
        <v>54667</v>
      </c>
      <c r="X51" s="58">
        <v>7913</v>
      </c>
      <c r="Y51" s="59">
        <v>7627</v>
      </c>
      <c r="Z51" s="49">
        <v>45900</v>
      </c>
      <c r="AA51" s="50">
        <v>7178</v>
      </c>
      <c r="AB51" s="52">
        <v>4297</v>
      </c>
      <c r="AC51" s="15"/>
      <c r="AD51" s="15"/>
      <c r="AE51" s="7"/>
      <c r="AF51" s="7"/>
      <c r="AG51" s="7">
        <v>2016027</v>
      </c>
      <c r="AH51" s="7">
        <v>1762354</v>
      </c>
      <c r="AI51" s="7">
        <v>2005702</v>
      </c>
      <c r="AJ51" s="7">
        <v>-2431360</v>
      </c>
      <c r="AK51" s="7">
        <v>-2318008</v>
      </c>
      <c r="AL51" s="7"/>
      <c r="AM51" s="7"/>
      <c r="AN51" s="7"/>
      <c r="AO51" s="7">
        <f t="shared" si="4"/>
        <v>2431360</v>
      </c>
      <c r="AP51" s="7">
        <f t="shared" si="4"/>
        <v>2318008</v>
      </c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>
        <v>2904408</v>
      </c>
      <c r="BE51" s="7">
        <v>2973434</v>
      </c>
      <c r="BF51" s="7"/>
      <c r="BG51" s="7"/>
      <c r="BH51" s="7"/>
      <c r="BI51" s="7">
        <v>2847093</v>
      </c>
      <c r="BJ51" s="7">
        <v>2788673</v>
      </c>
      <c r="BK51" s="7">
        <v>3208079</v>
      </c>
      <c r="BL51" s="7">
        <v>3190562</v>
      </c>
      <c r="BM51" s="7">
        <v>3336538</v>
      </c>
      <c r="BN51" s="7">
        <v>2853546</v>
      </c>
      <c r="BO51" s="7">
        <v>2843780</v>
      </c>
      <c r="BP51" s="7">
        <v>3283530</v>
      </c>
      <c r="BQ51" s="7">
        <v>3304951</v>
      </c>
      <c r="BR51" s="7">
        <v>3640036</v>
      </c>
      <c r="BS51" s="7"/>
      <c r="BT51" s="7"/>
      <c r="BU51" s="7"/>
      <c r="BV51" s="7"/>
      <c r="BW51" s="7"/>
      <c r="BX51" s="7"/>
      <c r="BY51" s="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9"/>
      <c r="DC51" s="39"/>
      <c r="DD51" s="39"/>
      <c r="DE51" s="39"/>
      <c r="DF51" s="39"/>
      <c r="DG51" s="39"/>
      <c r="DH51" s="39"/>
      <c r="DI51" s="39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</row>
    <row r="52" spans="1:139" x14ac:dyDescent="0.25">
      <c r="A52" s="25">
        <v>50</v>
      </c>
      <c r="B52" s="25" t="s">
        <v>260</v>
      </c>
      <c r="C52" s="170" t="s">
        <v>168</v>
      </c>
      <c r="D52" s="26" t="s">
        <v>169</v>
      </c>
      <c r="E52" s="27" t="s">
        <v>287</v>
      </c>
      <c r="F52" s="28">
        <v>1</v>
      </c>
      <c r="G52" s="25" t="s">
        <v>308</v>
      </c>
      <c r="H52" s="49">
        <v>38</v>
      </c>
      <c r="I52" s="50">
        <v>36</v>
      </c>
      <c r="J52" s="110">
        <v>40</v>
      </c>
      <c r="K52" s="126">
        <v>4878251</v>
      </c>
      <c r="L52" s="58">
        <v>4952948</v>
      </c>
      <c r="M52" s="128">
        <v>4810143</v>
      </c>
      <c r="N52" s="117">
        <v>194316</v>
      </c>
      <c r="O52" s="50">
        <v>242100</v>
      </c>
      <c r="P52" s="110">
        <v>297876</v>
      </c>
      <c r="Q52" s="142">
        <f t="shared" si="5"/>
        <v>4683935</v>
      </c>
      <c r="R52" s="64">
        <f t="shared" si="6"/>
        <v>4710848</v>
      </c>
      <c r="S52" s="143">
        <f t="shared" si="7"/>
        <v>4512267</v>
      </c>
      <c r="T52" s="156">
        <v>542313</v>
      </c>
      <c r="U52" s="50">
        <f>718811+210106</f>
        <v>928917</v>
      </c>
      <c r="V52" s="158">
        <f>907473+256246</f>
        <v>1163719</v>
      </c>
      <c r="W52" s="149">
        <v>-39759</v>
      </c>
      <c r="X52" s="58">
        <v>57617</v>
      </c>
      <c r="Y52" s="59">
        <v>74588</v>
      </c>
      <c r="Z52" s="49">
        <v>-41110</v>
      </c>
      <c r="AA52" s="50">
        <v>47787</v>
      </c>
      <c r="AB52" s="52">
        <v>55776</v>
      </c>
      <c r="AC52" s="15"/>
      <c r="AD52" s="15"/>
      <c r="AE52" s="7"/>
      <c r="AF52" s="7"/>
      <c r="AG52" s="7">
        <v>2789096</v>
      </c>
      <c r="AH52" s="7">
        <v>2727918</v>
      </c>
      <c r="AI52" s="7">
        <v>2743884</v>
      </c>
      <c r="AJ52" s="7">
        <v>1421868</v>
      </c>
      <c r="AK52" s="7">
        <v>1421390</v>
      </c>
      <c r="AL52" s="7"/>
      <c r="AM52" s="7"/>
      <c r="AN52" s="7"/>
      <c r="AO52" s="7">
        <f t="shared" si="4"/>
        <v>-1421868</v>
      </c>
      <c r="AP52" s="7">
        <f t="shared" si="4"/>
        <v>-1421390</v>
      </c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>
        <v>767017</v>
      </c>
      <c r="BE52" s="7">
        <v>752973</v>
      </c>
      <c r="BF52" s="7"/>
      <c r="BG52" s="7"/>
      <c r="BH52" s="7"/>
      <c r="BI52" s="7">
        <v>503863</v>
      </c>
      <c r="BJ52" s="7">
        <v>489304</v>
      </c>
      <c r="BK52" s="7">
        <v>485770</v>
      </c>
      <c r="BL52" s="7">
        <v>515532</v>
      </c>
      <c r="BM52" s="7">
        <v>561594</v>
      </c>
      <c r="BN52" s="7">
        <v>764722</v>
      </c>
      <c r="BO52" s="7">
        <v>752240</v>
      </c>
      <c r="BP52" s="7">
        <v>756205</v>
      </c>
      <c r="BQ52" s="7">
        <v>856135</v>
      </c>
      <c r="BR52" s="7">
        <v>870096</v>
      </c>
      <c r="BS52" s="7"/>
      <c r="BT52" s="7"/>
      <c r="BU52" s="7"/>
      <c r="BV52" s="7"/>
      <c r="BW52" s="7"/>
      <c r="BX52" s="7"/>
      <c r="BY52" s="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9"/>
      <c r="DC52" s="39"/>
      <c r="DD52" s="39"/>
      <c r="DE52" s="39"/>
      <c r="DF52" s="39"/>
      <c r="DG52" s="39"/>
      <c r="DH52" s="39"/>
      <c r="DI52" s="39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</row>
    <row r="53" spans="1:139" x14ac:dyDescent="0.25">
      <c r="A53" s="25">
        <v>51</v>
      </c>
      <c r="B53" s="25" t="s">
        <v>260</v>
      </c>
      <c r="C53" s="170" t="s">
        <v>200</v>
      </c>
      <c r="D53" s="26" t="s">
        <v>201</v>
      </c>
      <c r="E53" s="27" t="s">
        <v>287</v>
      </c>
      <c r="F53" s="28">
        <v>1</v>
      </c>
      <c r="G53" s="25" t="s">
        <v>305</v>
      </c>
      <c r="H53" s="49">
        <v>29</v>
      </c>
      <c r="I53" s="50">
        <v>30</v>
      </c>
      <c r="J53" s="110">
        <v>33</v>
      </c>
      <c r="K53" s="126">
        <v>114739</v>
      </c>
      <c r="L53" s="58">
        <v>310088</v>
      </c>
      <c r="M53" s="128">
        <v>324536</v>
      </c>
      <c r="N53" s="117">
        <v>-15500</v>
      </c>
      <c r="O53" s="50">
        <v>-64595</v>
      </c>
      <c r="P53" s="110">
        <v>-19160</v>
      </c>
      <c r="Q53" s="142">
        <f t="shared" si="5"/>
        <v>130239</v>
      </c>
      <c r="R53" s="64">
        <f t="shared" si="6"/>
        <v>374683</v>
      </c>
      <c r="S53" s="143">
        <f t="shared" si="7"/>
        <v>343696</v>
      </c>
      <c r="T53" s="156">
        <v>527679</v>
      </c>
      <c r="U53" s="50">
        <v>616047</v>
      </c>
      <c r="V53" s="158">
        <v>787348</v>
      </c>
      <c r="W53" s="149">
        <v>-24909</v>
      </c>
      <c r="X53" s="58">
        <v>29599</v>
      </c>
      <c r="Y53" s="59">
        <v>8829</v>
      </c>
      <c r="Z53" s="49">
        <v>-74352</v>
      </c>
      <c r="AA53" s="50">
        <v>26936</v>
      </c>
      <c r="AB53" s="52">
        <v>8829</v>
      </c>
      <c r="AC53" s="15"/>
      <c r="AD53" s="15"/>
      <c r="AE53" s="7"/>
      <c r="AF53" s="7"/>
      <c r="AG53" s="7">
        <v>1124628</v>
      </c>
      <c r="AH53" s="7">
        <v>1331878</v>
      </c>
      <c r="AI53" s="7">
        <v>2037511</v>
      </c>
      <c r="AJ53" s="7">
        <v>641100</v>
      </c>
      <c r="AK53" s="7">
        <v>490341</v>
      </c>
      <c r="AL53" s="7"/>
      <c r="AM53" s="7"/>
      <c r="AN53" s="7"/>
      <c r="AO53" s="7">
        <f t="shared" si="4"/>
        <v>-641100</v>
      </c>
      <c r="AP53" s="7">
        <f t="shared" si="4"/>
        <v>-490341</v>
      </c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>
        <v>2753824</v>
      </c>
      <c r="BE53" s="7">
        <v>2420766</v>
      </c>
      <c r="BF53" s="7"/>
      <c r="BG53" s="7"/>
      <c r="BH53" s="7"/>
      <c r="BI53" s="7">
        <v>1812705</v>
      </c>
      <c r="BJ53" s="7">
        <v>1572207</v>
      </c>
      <c r="BK53" s="7">
        <v>1853941</v>
      </c>
      <c r="BL53" s="7">
        <v>2133909</v>
      </c>
      <c r="BM53" s="7">
        <v>2327661</v>
      </c>
      <c r="BN53" s="7">
        <v>2744542</v>
      </c>
      <c r="BO53" s="7">
        <v>2566940</v>
      </c>
      <c r="BP53" s="7">
        <v>2647458</v>
      </c>
      <c r="BQ53" s="7">
        <v>3042308</v>
      </c>
      <c r="BR53" s="7">
        <v>3457069</v>
      </c>
      <c r="BS53" s="7"/>
      <c r="BT53" s="7"/>
      <c r="BU53" s="7"/>
      <c r="BV53" s="7"/>
      <c r="BW53" s="7"/>
      <c r="BX53" s="7"/>
      <c r="BY53" s="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9"/>
      <c r="DC53" s="39"/>
      <c r="DD53" s="39"/>
      <c r="DE53" s="39"/>
      <c r="DF53" s="39"/>
      <c r="DG53" s="39"/>
      <c r="DH53" s="39"/>
      <c r="DI53" s="39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</row>
    <row r="54" spans="1:139" x14ac:dyDescent="0.25">
      <c r="A54" s="25">
        <v>52</v>
      </c>
      <c r="B54" s="25" t="s">
        <v>260</v>
      </c>
      <c r="C54" s="170" t="s">
        <v>232</v>
      </c>
      <c r="D54" s="26" t="s">
        <v>233</v>
      </c>
      <c r="E54" s="27" t="s">
        <v>287</v>
      </c>
      <c r="F54" s="28">
        <v>1</v>
      </c>
      <c r="G54" s="25" t="s">
        <v>306</v>
      </c>
      <c r="H54" s="49">
        <v>163</v>
      </c>
      <c r="I54" s="50">
        <v>164</v>
      </c>
      <c r="J54" s="110">
        <v>168</v>
      </c>
      <c r="K54" s="126">
        <v>35828056</v>
      </c>
      <c r="L54" s="58">
        <v>35045477</v>
      </c>
      <c r="M54" s="128">
        <v>34473797</v>
      </c>
      <c r="N54" s="117">
        <v>2858982</v>
      </c>
      <c r="O54" s="50">
        <v>2935979</v>
      </c>
      <c r="P54" s="110">
        <v>3414821</v>
      </c>
      <c r="Q54" s="142">
        <f t="shared" si="5"/>
        <v>32969074</v>
      </c>
      <c r="R54" s="64">
        <f t="shared" si="6"/>
        <v>32109498</v>
      </c>
      <c r="S54" s="143">
        <f t="shared" si="7"/>
        <v>31058976</v>
      </c>
      <c r="T54" s="156">
        <v>4995676</v>
      </c>
      <c r="U54" s="50">
        <v>5339576</v>
      </c>
      <c r="V54" s="158">
        <v>5876638</v>
      </c>
      <c r="W54" s="149">
        <v>92032</v>
      </c>
      <c r="X54" s="58">
        <v>39633</v>
      </c>
      <c r="Y54" s="59">
        <v>161100</v>
      </c>
      <c r="Z54" s="49">
        <v>111952</v>
      </c>
      <c r="AA54" s="50">
        <v>76996</v>
      </c>
      <c r="AB54" s="52">
        <v>211884</v>
      </c>
      <c r="AC54" s="15"/>
      <c r="AD54" s="15"/>
      <c r="AE54" s="7"/>
      <c r="AF54" s="7"/>
      <c r="AG54" s="7">
        <v>197855</v>
      </c>
      <c r="AH54" s="7">
        <v>272887</v>
      </c>
      <c r="AI54" s="7">
        <v>345428</v>
      </c>
      <c r="AJ54" s="7">
        <v>-4975</v>
      </c>
      <c r="AK54" s="7">
        <v>2285</v>
      </c>
      <c r="AL54" s="7"/>
      <c r="AM54" s="7"/>
      <c r="AN54" s="7"/>
      <c r="AO54" s="7">
        <f t="shared" si="4"/>
        <v>4975</v>
      </c>
      <c r="AP54" s="7">
        <f t="shared" si="4"/>
        <v>-2285</v>
      </c>
      <c r="AQ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>
        <f>0+8000</f>
        <v>8000</v>
      </c>
      <c r="BE54" s="7">
        <f>106799+146368</f>
        <v>253167</v>
      </c>
      <c r="BF54" s="7"/>
      <c r="BG54" s="7"/>
      <c r="BH54" s="7"/>
      <c r="BI54" s="7">
        <v>0</v>
      </c>
      <c r="BJ54" s="7">
        <f>106799</f>
        <v>106799</v>
      </c>
      <c r="BK54" s="7">
        <f>428493</f>
        <v>428493</v>
      </c>
      <c r="BL54" s="7">
        <f>473169</f>
        <v>473169</v>
      </c>
      <c r="BM54" s="7">
        <f>535693</f>
        <v>535693</v>
      </c>
      <c r="BN54" s="7">
        <f>1665+11311</f>
        <v>12976</v>
      </c>
      <c r="BO54" s="7">
        <f>92910+162279</f>
        <v>255189</v>
      </c>
      <c r="BP54" s="7">
        <f>193488+336916+153</f>
        <v>530557</v>
      </c>
      <c r="BQ54" s="7">
        <f>109181+423554</f>
        <v>532735</v>
      </c>
      <c r="BR54" s="7">
        <f>151348+481560+707</f>
        <v>633615</v>
      </c>
      <c r="BS54" s="7"/>
      <c r="BT54" s="7"/>
      <c r="BU54" s="7"/>
      <c r="BV54" s="7"/>
      <c r="BW54" s="7"/>
      <c r="BX54" s="7"/>
      <c r="BY54" s="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9"/>
      <c r="DC54" s="39"/>
      <c r="DD54" s="39"/>
      <c r="DE54" s="39"/>
      <c r="DF54" s="39"/>
      <c r="DG54" s="39"/>
      <c r="DH54" s="39"/>
      <c r="DI54" s="39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</row>
    <row r="55" spans="1:139" ht="15.75" thickBot="1" x14ac:dyDescent="0.3">
      <c r="A55" s="80">
        <v>53</v>
      </c>
      <c r="B55" s="80" t="s">
        <v>260</v>
      </c>
      <c r="C55" s="172" t="s">
        <v>20</v>
      </c>
      <c r="D55" s="81" t="s">
        <v>21</v>
      </c>
      <c r="E55" s="82" t="s">
        <v>287</v>
      </c>
      <c r="F55" s="83">
        <v>1</v>
      </c>
      <c r="G55" s="80" t="s">
        <v>301</v>
      </c>
      <c r="H55" s="55">
        <v>11</v>
      </c>
      <c r="I55" s="56">
        <v>18</v>
      </c>
      <c r="J55" s="111">
        <v>19</v>
      </c>
      <c r="K55" s="129">
        <v>64406</v>
      </c>
      <c r="L55" s="62">
        <v>51432</v>
      </c>
      <c r="M55" s="130">
        <v>25845</v>
      </c>
      <c r="N55" s="118">
        <v>-37304</v>
      </c>
      <c r="O55" s="56">
        <v>-18879</v>
      </c>
      <c r="P55" s="111">
        <v>-1945</v>
      </c>
      <c r="Q55" s="144">
        <f t="shared" si="5"/>
        <v>101710</v>
      </c>
      <c r="R55" s="65">
        <f t="shared" si="6"/>
        <v>70311</v>
      </c>
      <c r="S55" s="145">
        <f t="shared" si="7"/>
        <v>27790</v>
      </c>
      <c r="T55" s="159">
        <v>106842</v>
      </c>
      <c r="U55" s="56">
        <v>192889</v>
      </c>
      <c r="V55" s="160">
        <v>228434</v>
      </c>
      <c r="W55" s="150">
        <v>-15421</v>
      </c>
      <c r="X55" s="62">
        <v>15555</v>
      </c>
      <c r="Y55" s="63">
        <v>16163</v>
      </c>
      <c r="Z55" s="55">
        <v>-16665</v>
      </c>
      <c r="AA55" s="56">
        <v>18466</v>
      </c>
      <c r="AB55" s="57">
        <v>17443</v>
      </c>
      <c r="AC55" s="15">
        <v>6</v>
      </c>
      <c r="AD55" s="15">
        <v>6</v>
      </c>
      <c r="AE55" s="7"/>
      <c r="AF55" s="7"/>
      <c r="AG55" s="7">
        <v>1546118</v>
      </c>
      <c r="AH55" s="7">
        <v>1538922</v>
      </c>
      <c r="AI55" s="7">
        <v>1647511</v>
      </c>
      <c r="AJ55" s="7">
        <v>413463</v>
      </c>
      <c r="AK55" s="7">
        <v>449047</v>
      </c>
      <c r="AL55" s="7"/>
      <c r="AM55" s="7"/>
      <c r="AN55" s="7"/>
      <c r="AO55" s="7">
        <f t="shared" si="4"/>
        <v>-413463</v>
      </c>
      <c r="AP55" s="7">
        <f t="shared" si="4"/>
        <v>-449047</v>
      </c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>
        <v>703271</v>
      </c>
      <c r="BE55" s="7">
        <v>605962</v>
      </c>
      <c r="BF55" s="7"/>
      <c r="BG55" s="7"/>
      <c r="BH55" s="7"/>
      <c r="BI55" s="7">
        <v>615526</v>
      </c>
      <c r="BJ55" s="7">
        <v>495101</v>
      </c>
      <c r="BK55" s="7">
        <v>602693</v>
      </c>
      <c r="BL55" s="7">
        <v>600948</v>
      </c>
      <c r="BM55" s="7">
        <f>807919</f>
        <v>807919</v>
      </c>
      <c r="BN55" s="7">
        <v>714650</v>
      </c>
      <c r="BO55" s="7">
        <v>570378</v>
      </c>
      <c r="BP55" s="7">
        <v>584835</v>
      </c>
      <c r="BQ55" s="7">
        <v>611270</v>
      </c>
      <c r="BR55" s="7">
        <f>304939+415961+141361</f>
        <v>862261</v>
      </c>
      <c r="BS55" s="7"/>
      <c r="BT55" s="7"/>
      <c r="BU55" s="7"/>
      <c r="BV55" s="7"/>
      <c r="BW55" s="7"/>
      <c r="BX55" s="7"/>
      <c r="BY55" s="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9"/>
      <c r="DC55" s="39"/>
      <c r="DD55" s="39"/>
      <c r="DE55" s="39"/>
      <c r="DF55" s="39"/>
      <c r="DG55" s="39"/>
      <c r="DH55" s="39"/>
      <c r="DI55" s="39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</row>
    <row r="56" spans="1:139" x14ac:dyDescent="0.25">
      <c r="A56" s="70">
        <v>54</v>
      </c>
      <c r="B56" s="70" t="s">
        <v>271</v>
      </c>
      <c r="C56" s="171" t="s">
        <v>99</v>
      </c>
      <c r="D56" s="71" t="s">
        <v>100</v>
      </c>
      <c r="E56" s="72" t="s">
        <v>287</v>
      </c>
      <c r="F56" s="73">
        <v>1</v>
      </c>
      <c r="G56" s="70" t="s">
        <v>306</v>
      </c>
      <c r="H56" s="74">
        <v>30</v>
      </c>
      <c r="I56" s="75">
        <v>30</v>
      </c>
      <c r="J56" s="108">
        <v>31</v>
      </c>
      <c r="K56" s="124">
        <v>1152808</v>
      </c>
      <c r="L56" s="77">
        <v>1049803</v>
      </c>
      <c r="M56" s="125">
        <v>1237881</v>
      </c>
      <c r="N56" s="116">
        <v>52616</v>
      </c>
      <c r="O56" s="75">
        <v>26333</v>
      </c>
      <c r="P56" s="108">
        <v>141268</v>
      </c>
      <c r="Q56" s="140">
        <f t="shared" si="5"/>
        <v>1100192</v>
      </c>
      <c r="R56" s="79">
        <f t="shared" si="6"/>
        <v>1023470</v>
      </c>
      <c r="S56" s="141">
        <f t="shared" si="7"/>
        <v>1096613</v>
      </c>
      <c r="T56" s="154">
        <v>626145</v>
      </c>
      <c r="U56" s="75">
        <v>679530</v>
      </c>
      <c r="V56" s="155">
        <v>1124143</v>
      </c>
      <c r="W56" s="148">
        <v>108841</v>
      </c>
      <c r="X56" s="77">
        <v>52208</v>
      </c>
      <c r="Y56" s="78">
        <v>113507</v>
      </c>
      <c r="Z56" s="74">
        <v>75445</v>
      </c>
      <c r="AA56" s="75">
        <v>-20612</v>
      </c>
      <c r="AB56" s="76">
        <v>101108</v>
      </c>
      <c r="AC56" s="15"/>
      <c r="AD56" s="15"/>
      <c r="AE56" s="7"/>
      <c r="AF56" s="7"/>
      <c r="AG56" s="7">
        <v>9193033</v>
      </c>
      <c r="AH56" s="7">
        <v>9071386</v>
      </c>
      <c r="AI56" s="7">
        <v>10383724</v>
      </c>
      <c r="AJ56" s="7">
        <v>7151434</v>
      </c>
      <c r="AK56" s="7">
        <v>6482931</v>
      </c>
      <c r="AL56" s="7"/>
      <c r="AM56" s="7"/>
      <c r="AN56" s="7"/>
      <c r="AO56" s="7">
        <f t="shared" si="4"/>
        <v>-7151434</v>
      </c>
      <c r="AP56" s="7">
        <f t="shared" si="4"/>
        <v>-6482931</v>
      </c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>
        <v>3848980</v>
      </c>
      <c r="BE56" s="7">
        <v>3181775</v>
      </c>
      <c r="BF56" s="7"/>
      <c r="BG56" s="7"/>
      <c r="BH56" s="7"/>
      <c r="BI56" s="7">
        <v>3215993</v>
      </c>
      <c r="BJ56" s="7">
        <v>2676698</v>
      </c>
      <c r="BK56" s="7">
        <v>3159979</v>
      </c>
      <c r="BL56" s="7">
        <v>3622260</v>
      </c>
      <c r="BM56" s="7">
        <v>3672767</v>
      </c>
      <c r="BN56" s="7">
        <v>3779805</v>
      </c>
      <c r="BO56" s="7">
        <v>3871576</v>
      </c>
      <c r="BP56" s="7">
        <v>3540434</v>
      </c>
      <c r="BQ56" s="7">
        <v>4077727</v>
      </c>
      <c r="BR56" s="7">
        <v>4850070</v>
      </c>
      <c r="BS56" s="7"/>
      <c r="BT56" s="7"/>
      <c r="BU56" s="7"/>
      <c r="BV56" s="7"/>
      <c r="BW56" s="7"/>
      <c r="BX56" s="7"/>
      <c r="BY56" s="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9"/>
      <c r="DC56" s="39"/>
      <c r="DD56" s="39"/>
      <c r="DE56" s="39"/>
      <c r="DF56" s="39"/>
      <c r="DG56" s="39"/>
      <c r="DH56" s="39"/>
      <c r="DI56" s="39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</row>
    <row r="57" spans="1:139" ht="15.75" thickBot="1" x14ac:dyDescent="0.3">
      <c r="A57" s="80">
        <v>55</v>
      </c>
      <c r="B57" s="80" t="s">
        <v>271</v>
      </c>
      <c r="C57" s="172" t="s">
        <v>234</v>
      </c>
      <c r="D57" s="81" t="s">
        <v>235</v>
      </c>
      <c r="E57" s="82" t="s">
        <v>287</v>
      </c>
      <c r="F57" s="83">
        <v>1</v>
      </c>
      <c r="G57" s="80" t="s">
        <v>306</v>
      </c>
      <c r="H57" s="55">
        <v>27</v>
      </c>
      <c r="I57" s="56">
        <v>27</v>
      </c>
      <c r="J57" s="111">
        <v>28</v>
      </c>
      <c r="K57" s="129">
        <v>528447</v>
      </c>
      <c r="L57" s="62">
        <v>506822</v>
      </c>
      <c r="M57" s="130">
        <v>512369</v>
      </c>
      <c r="N57" s="118">
        <v>52218</v>
      </c>
      <c r="O57" s="56">
        <v>56770</v>
      </c>
      <c r="P57" s="111">
        <v>58746</v>
      </c>
      <c r="Q57" s="144">
        <f t="shared" si="5"/>
        <v>476229</v>
      </c>
      <c r="R57" s="65">
        <f t="shared" si="6"/>
        <v>450052</v>
      </c>
      <c r="S57" s="145">
        <f t="shared" si="7"/>
        <v>453623</v>
      </c>
      <c r="T57" s="159">
        <v>349680</v>
      </c>
      <c r="U57" s="56">
        <v>390777</v>
      </c>
      <c r="V57" s="160">
        <v>478056</v>
      </c>
      <c r="W57" s="150">
        <v>8090</v>
      </c>
      <c r="X57" s="62">
        <v>5026</v>
      </c>
      <c r="Y57" s="63">
        <v>5740</v>
      </c>
      <c r="Z57" s="55">
        <v>9183</v>
      </c>
      <c r="AA57" s="56">
        <v>4553</v>
      </c>
      <c r="AB57" s="57">
        <v>1976</v>
      </c>
      <c r="AC57" s="15"/>
      <c r="AD57" s="15"/>
      <c r="AE57" s="7"/>
      <c r="AF57" s="7"/>
      <c r="AG57" s="7">
        <v>445303</v>
      </c>
      <c r="AH57" s="7">
        <v>606706</v>
      </c>
      <c r="AI57" s="7">
        <v>814789</v>
      </c>
      <c r="AJ57" s="7">
        <v>323682</v>
      </c>
      <c r="AK57" s="7">
        <v>324283</v>
      </c>
      <c r="AL57" s="7"/>
      <c r="AM57" s="7"/>
      <c r="AN57" s="7"/>
      <c r="AO57" s="7">
        <f t="shared" si="4"/>
        <v>-323682</v>
      </c>
      <c r="AP57" s="7">
        <f t="shared" si="4"/>
        <v>-324283</v>
      </c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>
        <v>416538</v>
      </c>
      <c r="BE57" s="7">
        <v>481354</v>
      </c>
      <c r="BF57" s="7"/>
      <c r="BG57" s="7"/>
      <c r="BH57" s="7"/>
      <c r="BI57" s="7">
        <v>347513</v>
      </c>
      <c r="BJ57" s="7">
        <v>359604</v>
      </c>
      <c r="BK57" s="7">
        <v>403691</v>
      </c>
      <c r="BL57" s="7">
        <v>384383</v>
      </c>
      <c r="BM57" s="7">
        <v>549403</v>
      </c>
      <c r="BN57" s="7">
        <v>414864</v>
      </c>
      <c r="BO57" s="7">
        <v>479345</v>
      </c>
      <c r="BP57" s="7">
        <v>453700</v>
      </c>
      <c r="BQ57" s="7">
        <v>429901</v>
      </c>
      <c r="BR57" s="7">
        <v>655631</v>
      </c>
      <c r="BS57" s="7"/>
      <c r="BT57" s="7"/>
      <c r="BU57" s="7"/>
      <c r="BV57" s="7"/>
      <c r="BW57" s="7"/>
      <c r="BX57" s="7"/>
      <c r="BY57" s="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9"/>
      <c r="DC57" s="39"/>
      <c r="DD57" s="39"/>
      <c r="DE57" s="39"/>
      <c r="DF57" s="39"/>
      <c r="DG57" s="39"/>
      <c r="DH57" s="39"/>
      <c r="DI57" s="39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</row>
    <row r="58" spans="1:139" x14ac:dyDescent="0.25">
      <c r="A58" s="70">
        <v>56</v>
      </c>
      <c r="B58" s="70" t="s">
        <v>277</v>
      </c>
      <c r="C58" s="171" t="s">
        <v>117</v>
      </c>
      <c r="D58" s="71" t="s">
        <v>118</v>
      </c>
      <c r="E58" s="72" t="s">
        <v>287</v>
      </c>
      <c r="F58" s="73">
        <v>1</v>
      </c>
      <c r="G58" s="70" t="s">
        <v>310</v>
      </c>
      <c r="H58" s="74">
        <v>14</v>
      </c>
      <c r="I58" s="75">
        <v>13</v>
      </c>
      <c r="J58" s="108">
        <v>13</v>
      </c>
      <c r="K58" s="124">
        <v>10400</v>
      </c>
      <c r="L58" s="77">
        <v>19795</v>
      </c>
      <c r="M58" s="125">
        <v>23285</v>
      </c>
      <c r="N58" s="116">
        <v>4943</v>
      </c>
      <c r="O58" s="75">
        <v>7707</v>
      </c>
      <c r="P58" s="108">
        <v>7950</v>
      </c>
      <c r="Q58" s="140">
        <f t="shared" si="5"/>
        <v>5457</v>
      </c>
      <c r="R58" s="79">
        <f t="shared" si="6"/>
        <v>12088</v>
      </c>
      <c r="S58" s="141">
        <f t="shared" si="7"/>
        <v>15335</v>
      </c>
      <c r="T58" s="154">
        <v>196357</v>
      </c>
      <c r="U58" s="75">
        <v>204189</v>
      </c>
      <c r="V58" s="155">
        <v>207075</v>
      </c>
      <c r="W58" s="148">
        <v>-1461</v>
      </c>
      <c r="X58" s="77">
        <v>2914</v>
      </c>
      <c r="Y58" s="78">
        <v>328</v>
      </c>
      <c r="Z58" s="74">
        <v>-1461</v>
      </c>
      <c r="AA58" s="75">
        <v>2983</v>
      </c>
      <c r="AB58" s="76">
        <v>243</v>
      </c>
      <c r="AC58" s="15"/>
      <c r="AD58" s="15"/>
      <c r="AE58" s="7"/>
      <c r="AF58" s="7"/>
      <c r="AG58" s="7">
        <v>846999</v>
      </c>
      <c r="AH58" s="7">
        <v>650555</v>
      </c>
      <c r="AI58" s="7">
        <v>874368</v>
      </c>
      <c r="AJ58" s="7">
        <v>474569</v>
      </c>
      <c r="AK58" s="7">
        <v>368274</v>
      </c>
      <c r="AL58" s="7"/>
      <c r="AM58" s="7"/>
      <c r="AN58" s="7"/>
      <c r="AO58" s="7">
        <f t="shared" si="4"/>
        <v>-474569</v>
      </c>
      <c r="AP58" s="7">
        <f t="shared" si="4"/>
        <v>-368274</v>
      </c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>
        <v>1343119</v>
      </c>
      <c r="BE58" s="7">
        <v>1222598</v>
      </c>
      <c r="BF58" s="7"/>
      <c r="BG58" s="7"/>
      <c r="BH58" s="7"/>
      <c r="BI58" s="7">
        <v>497847</v>
      </c>
      <c r="BJ58" s="7">
        <v>454124</v>
      </c>
      <c r="BK58" s="7">
        <v>568703</v>
      </c>
      <c r="BL58" s="7">
        <v>370015</v>
      </c>
      <c r="BM58" s="7">
        <v>388850</v>
      </c>
      <c r="BN58" s="7">
        <v>1230232</v>
      </c>
      <c r="BO58" s="7">
        <v>1328480</v>
      </c>
      <c r="BP58" s="7">
        <v>1307512</v>
      </c>
      <c r="BQ58" s="7">
        <v>1238806</v>
      </c>
      <c r="BR58" s="7">
        <v>1364690</v>
      </c>
      <c r="BS58" s="7"/>
      <c r="BT58" s="7"/>
      <c r="BU58" s="7"/>
      <c r="BV58" s="7"/>
      <c r="BW58" s="7"/>
      <c r="BX58" s="7"/>
      <c r="BY58" s="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9"/>
      <c r="DC58" s="39"/>
      <c r="DD58" s="39"/>
      <c r="DE58" s="39"/>
      <c r="DF58" s="39"/>
      <c r="DG58" s="39"/>
      <c r="DH58" s="39"/>
      <c r="DI58" s="39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</row>
    <row r="59" spans="1:139" x14ac:dyDescent="0.25">
      <c r="A59" s="25">
        <v>57</v>
      </c>
      <c r="B59" s="25" t="s">
        <v>277</v>
      </c>
      <c r="C59" s="170" t="s">
        <v>246</v>
      </c>
      <c r="D59" s="26" t="s">
        <v>247</v>
      </c>
      <c r="E59" s="27" t="s">
        <v>287</v>
      </c>
      <c r="F59" s="28">
        <v>1</v>
      </c>
      <c r="G59" s="25" t="s">
        <v>306</v>
      </c>
      <c r="H59" s="49">
        <v>94</v>
      </c>
      <c r="I59" s="50">
        <v>97</v>
      </c>
      <c r="J59" s="110">
        <v>100</v>
      </c>
      <c r="K59" s="126">
        <v>29044875</v>
      </c>
      <c r="L59" s="58">
        <v>28568564</v>
      </c>
      <c r="M59" s="128">
        <v>28241661</v>
      </c>
      <c r="N59" s="117">
        <v>1962074</v>
      </c>
      <c r="O59" s="50">
        <v>1564714</v>
      </c>
      <c r="P59" s="110">
        <v>1746678</v>
      </c>
      <c r="Q59" s="142">
        <f t="shared" si="5"/>
        <v>27082801</v>
      </c>
      <c r="R59" s="64">
        <f t="shared" si="6"/>
        <v>27003850</v>
      </c>
      <c r="S59" s="143">
        <f t="shared" si="7"/>
        <v>26494983</v>
      </c>
      <c r="T59" s="156">
        <v>3365185</v>
      </c>
      <c r="U59" s="50">
        <v>4228792</v>
      </c>
      <c r="V59" s="158">
        <v>4055001</v>
      </c>
      <c r="W59" s="149">
        <v>-334690</v>
      </c>
      <c r="X59" s="58">
        <v>518766</v>
      </c>
      <c r="Y59" s="59">
        <v>326219</v>
      </c>
      <c r="Z59" s="49">
        <v>-298204</v>
      </c>
      <c r="AA59" s="50">
        <v>-397360</v>
      </c>
      <c r="AB59" s="52">
        <v>49532</v>
      </c>
      <c r="AC59" s="15"/>
      <c r="AD59" s="15"/>
      <c r="AE59" s="7"/>
      <c r="AF59" s="7"/>
      <c r="AG59" s="7">
        <v>10400</v>
      </c>
      <c r="AH59" s="7">
        <v>19795</v>
      </c>
      <c r="AI59" s="7">
        <v>23285</v>
      </c>
      <c r="AJ59" s="7">
        <v>11916</v>
      </c>
      <c r="AK59" s="7">
        <v>6405</v>
      </c>
      <c r="AL59" s="7"/>
      <c r="AM59" s="7"/>
      <c r="AN59" s="7"/>
      <c r="AO59" s="7">
        <f t="shared" si="4"/>
        <v>-11916</v>
      </c>
      <c r="AP59" s="7">
        <f t="shared" si="4"/>
        <v>-6405</v>
      </c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>
        <v>177690</v>
      </c>
      <c r="BE59" s="7">
        <v>189454</v>
      </c>
      <c r="BF59" s="7"/>
      <c r="BG59" s="7"/>
      <c r="BH59" s="7"/>
      <c r="BI59" s="7">
        <v>12819</v>
      </c>
      <c r="BJ59" s="7">
        <v>9763</v>
      </c>
      <c r="BK59" s="7">
        <v>9005</v>
      </c>
      <c r="BL59" s="7">
        <v>11808</v>
      </c>
      <c r="BM59" s="7">
        <v>12009</v>
      </c>
      <c r="BN59" s="7">
        <v>177244</v>
      </c>
      <c r="BO59" s="7">
        <v>195087</v>
      </c>
      <c r="BP59" s="7">
        <v>197818</v>
      </c>
      <c r="BQ59" s="7">
        <v>201275</v>
      </c>
      <c r="BR59" s="7">
        <v>206747</v>
      </c>
      <c r="BS59" s="7"/>
      <c r="BT59" s="7"/>
      <c r="BU59" s="7"/>
      <c r="BV59" s="7"/>
      <c r="BW59" s="7"/>
      <c r="BX59" s="7"/>
      <c r="BY59" s="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9"/>
      <c r="DC59" s="39"/>
      <c r="DD59" s="39"/>
      <c r="DE59" s="39"/>
      <c r="DF59" s="39"/>
      <c r="DG59" s="39"/>
      <c r="DH59" s="39"/>
      <c r="DI59" s="39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</row>
    <row r="60" spans="1:139" ht="15.75" thickBot="1" x14ac:dyDescent="0.3">
      <c r="A60" s="80">
        <v>58</v>
      </c>
      <c r="B60" s="80" t="s">
        <v>277</v>
      </c>
      <c r="C60" s="172" t="s">
        <v>111</v>
      </c>
      <c r="D60" s="81" t="s">
        <v>112</v>
      </c>
      <c r="E60" s="82" t="s">
        <v>287</v>
      </c>
      <c r="F60" s="83">
        <v>1</v>
      </c>
      <c r="G60" s="80" t="s">
        <v>306</v>
      </c>
      <c r="H60" s="55">
        <v>148</v>
      </c>
      <c r="I60" s="56">
        <v>160</v>
      </c>
      <c r="J60" s="111">
        <v>180</v>
      </c>
      <c r="K60" s="129">
        <v>9193033</v>
      </c>
      <c r="L60" s="62">
        <v>9071386</v>
      </c>
      <c r="M60" s="130">
        <v>10383724</v>
      </c>
      <c r="N60" s="118">
        <v>6455534</v>
      </c>
      <c r="O60" s="56">
        <v>6486780</v>
      </c>
      <c r="P60" s="111">
        <v>7072447</v>
      </c>
      <c r="Q60" s="144">
        <f t="shared" si="5"/>
        <v>2737499</v>
      </c>
      <c r="R60" s="65">
        <f t="shared" si="6"/>
        <v>2584606</v>
      </c>
      <c r="S60" s="145">
        <f t="shared" si="7"/>
        <v>3311277</v>
      </c>
      <c r="T60" s="159">
        <v>3645332</v>
      </c>
      <c r="U60" s="56">
        <v>4115029</v>
      </c>
      <c r="V60" s="160">
        <v>4860951</v>
      </c>
      <c r="W60" s="150">
        <v>109782</v>
      </c>
      <c r="X60" s="62">
        <v>50931</v>
      </c>
      <c r="Y60" s="63">
        <v>-1877</v>
      </c>
      <c r="Z60" s="55">
        <v>104898</v>
      </c>
      <c r="AA60" s="56">
        <v>37302</v>
      </c>
      <c r="AB60" s="57">
        <v>8461</v>
      </c>
      <c r="AC60" s="15"/>
      <c r="AD60" s="15"/>
      <c r="AE60" s="7"/>
      <c r="AF60" s="7"/>
      <c r="AG60" s="7">
        <v>33604</v>
      </c>
      <c r="AH60" s="7">
        <v>32593</v>
      </c>
      <c r="AI60" s="7">
        <v>39257</v>
      </c>
      <c r="AJ60" s="7">
        <v>-396319</v>
      </c>
      <c r="AK60" s="7">
        <v>-449199</v>
      </c>
      <c r="AL60" s="7"/>
      <c r="AM60" s="7"/>
      <c r="AN60" s="7"/>
      <c r="AO60" s="7">
        <f t="shared" si="4"/>
        <v>396319</v>
      </c>
      <c r="AP60" s="7">
        <f t="shared" si="4"/>
        <v>449199</v>
      </c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>
        <v>146630</v>
      </c>
      <c r="BE60" s="7">
        <v>142973</v>
      </c>
      <c r="BF60" s="7"/>
      <c r="BG60" s="7"/>
      <c r="BH60" s="7"/>
      <c r="BI60" s="7">
        <v>4253</v>
      </c>
      <c r="BJ60" s="7">
        <v>4049</v>
      </c>
      <c r="BK60" s="7">
        <v>5753</v>
      </c>
      <c r="BL60" s="7">
        <v>5812</v>
      </c>
      <c r="BM60" s="7">
        <v>6828</v>
      </c>
      <c r="BN60" s="7">
        <v>177288</v>
      </c>
      <c r="BO60" s="7">
        <v>195853</v>
      </c>
      <c r="BP60" s="7">
        <v>194238</v>
      </c>
      <c r="BQ60" s="7">
        <v>178191</v>
      </c>
      <c r="BR60" s="7">
        <v>196373</v>
      </c>
      <c r="BS60" s="7"/>
      <c r="BT60" s="7"/>
      <c r="BU60" s="7"/>
      <c r="BV60" s="7"/>
      <c r="BW60" s="7"/>
      <c r="BX60" s="7"/>
      <c r="BY60" s="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9"/>
      <c r="DC60" s="39"/>
      <c r="DD60" s="39"/>
      <c r="DE60" s="39"/>
      <c r="DF60" s="39"/>
      <c r="DG60" s="39"/>
      <c r="DH60" s="39"/>
      <c r="DI60" s="39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</row>
    <row r="61" spans="1:139" ht="15.75" thickBot="1" x14ac:dyDescent="0.3">
      <c r="A61" s="85">
        <v>59</v>
      </c>
      <c r="B61" s="85" t="s">
        <v>282</v>
      </c>
      <c r="C61" s="173" t="s">
        <v>81</v>
      </c>
      <c r="D61" s="86" t="s">
        <v>82</v>
      </c>
      <c r="E61" s="87" t="s">
        <v>287</v>
      </c>
      <c r="F61" s="88">
        <v>1</v>
      </c>
      <c r="G61" s="85" t="s">
        <v>306</v>
      </c>
      <c r="H61" s="89">
        <v>62</v>
      </c>
      <c r="I61" s="90">
        <v>65</v>
      </c>
      <c r="J61" s="112">
        <v>67</v>
      </c>
      <c r="K61" s="132">
        <v>2063502</v>
      </c>
      <c r="L61" s="92">
        <v>2161873</v>
      </c>
      <c r="M61" s="133">
        <v>2285530</v>
      </c>
      <c r="N61" s="120">
        <v>-40798</v>
      </c>
      <c r="O61" s="90">
        <v>57265</v>
      </c>
      <c r="P61" s="112">
        <v>174348</v>
      </c>
      <c r="Q61" s="146">
        <f t="shared" si="5"/>
        <v>2104300</v>
      </c>
      <c r="R61" s="94">
        <f t="shared" si="6"/>
        <v>2104608</v>
      </c>
      <c r="S61" s="147">
        <f t="shared" si="7"/>
        <v>2111182</v>
      </c>
      <c r="T61" s="162">
        <f>686391+103750</f>
        <v>790141</v>
      </c>
      <c r="U61" s="90">
        <f>868225+130132</f>
        <v>998357</v>
      </c>
      <c r="V61" s="163">
        <f>900888+124650</f>
        <v>1025538</v>
      </c>
      <c r="W61" s="152">
        <v>11537</v>
      </c>
      <c r="X61" s="92">
        <v>99033</v>
      </c>
      <c r="Y61" s="93">
        <v>117084</v>
      </c>
      <c r="Z61" s="89">
        <v>9106</v>
      </c>
      <c r="AA61" s="90">
        <v>98063</v>
      </c>
      <c r="AB61" s="91">
        <v>117084</v>
      </c>
      <c r="AC61" s="15"/>
      <c r="AD61" s="15"/>
      <c r="AE61" s="7"/>
      <c r="AF61" s="7"/>
      <c r="AG61" s="7">
        <v>4433</v>
      </c>
      <c r="AH61" s="7">
        <v>4891</v>
      </c>
      <c r="AI61" s="6">
        <v>0</v>
      </c>
      <c r="AJ61" s="7">
        <v>79357</v>
      </c>
      <c r="AK61" s="7">
        <v>2100</v>
      </c>
      <c r="AL61" s="7"/>
      <c r="AM61" s="7"/>
      <c r="AN61" s="6"/>
      <c r="AO61" s="7">
        <f t="shared" ref="AO61:AP110" si="8">+AE61-AJ61</f>
        <v>-79357</v>
      </c>
      <c r="AP61" s="7">
        <f t="shared" si="8"/>
        <v>-2100</v>
      </c>
      <c r="AQ61" s="7"/>
      <c r="AR61" s="7"/>
      <c r="AS61" s="7"/>
      <c r="AT61" s="7"/>
      <c r="AU61" s="7"/>
      <c r="AV61" s="7"/>
      <c r="AW61" s="7"/>
      <c r="AX61" s="6"/>
      <c r="AY61" s="7"/>
      <c r="AZ61" s="7"/>
      <c r="BA61" s="7"/>
      <c r="BB61" s="7"/>
      <c r="BC61" s="6"/>
      <c r="BD61" s="7">
        <v>75857</v>
      </c>
      <c r="BE61" s="7">
        <v>77039</v>
      </c>
      <c r="BF61" s="7"/>
      <c r="BG61" s="7"/>
      <c r="BH61" s="6"/>
      <c r="BI61" s="7">
        <v>0</v>
      </c>
      <c r="BJ61" s="7">
        <v>0</v>
      </c>
      <c r="BK61" s="7">
        <v>0</v>
      </c>
      <c r="BL61" s="7">
        <v>0</v>
      </c>
      <c r="BM61" s="6">
        <v>0</v>
      </c>
      <c r="BN61" s="7">
        <v>78810</v>
      </c>
      <c r="BO61" s="7">
        <v>77039</v>
      </c>
      <c r="BP61" s="7">
        <v>94628</v>
      </c>
      <c r="BQ61" s="7">
        <v>108121</v>
      </c>
      <c r="BR61" s="6">
        <v>0</v>
      </c>
      <c r="BS61" s="7"/>
      <c r="BT61" s="7"/>
      <c r="BU61" s="7"/>
      <c r="BV61" s="7"/>
      <c r="BW61" s="6"/>
      <c r="BX61" s="7"/>
      <c r="BY61" s="7"/>
      <c r="BZ61" s="37"/>
      <c r="CA61" s="37"/>
      <c r="CB61" s="41"/>
      <c r="CC61" s="37"/>
      <c r="CD61" s="37"/>
      <c r="CE61" s="37"/>
      <c r="CF61" s="37"/>
      <c r="CG61" s="41"/>
      <c r="CH61" s="37"/>
      <c r="CI61" s="37"/>
      <c r="CJ61" s="37"/>
      <c r="CK61" s="37"/>
      <c r="CL61" s="41"/>
      <c r="CM61" s="37"/>
      <c r="CN61" s="37"/>
      <c r="CO61" s="37"/>
      <c r="CP61" s="37"/>
      <c r="CQ61" s="41"/>
      <c r="CR61" s="38"/>
      <c r="CS61" s="38"/>
      <c r="CT61" s="38"/>
      <c r="CU61" s="38"/>
      <c r="CV61" s="40"/>
      <c r="CW61" s="38"/>
      <c r="CX61" s="38"/>
      <c r="CY61" s="38"/>
      <c r="CZ61" s="38"/>
      <c r="DA61" s="40"/>
      <c r="DB61" s="39"/>
      <c r="DC61" s="39"/>
      <c r="DD61" s="39"/>
      <c r="DE61" s="39"/>
      <c r="DF61" s="39"/>
      <c r="DG61" s="39"/>
      <c r="DH61" s="39"/>
      <c r="DI61" s="39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</row>
    <row r="62" spans="1:139" x14ac:dyDescent="0.25">
      <c r="A62" s="70">
        <v>60</v>
      </c>
      <c r="B62" s="70" t="s">
        <v>265</v>
      </c>
      <c r="C62" s="171" t="s">
        <v>16</v>
      </c>
      <c r="D62" s="71" t="s">
        <v>17</v>
      </c>
      <c r="E62" s="72" t="s">
        <v>287</v>
      </c>
      <c r="F62" s="95">
        <v>1</v>
      </c>
      <c r="G62" s="70" t="s">
        <v>298</v>
      </c>
      <c r="H62" s="74">
        <v>1</v>
      </c>
      <c r="I62" s="75">
        <v>1</v>
      </c>
      <c r="J62" s="108">
        <v>1</v>
      </c>
      <c r="K62" s="124">
        <v>34631</v>
      </c>
      <c r="L62" s="77">
        <v>24967</v>
      </c>
      <c r="M62" s="125">
        <v>23670</v>
      </c>
      <c r="N62" s="116">
        <v>29624</v>
      </c>
      <c r="O62" s="75">
        <v>24967</v>
      </c>
      <c r="P62" s="108">
        <v>23670</v>
      </c>
      <c r="Q62" s="140">
        <f t="shared" si="5"/>
        <v>5007</v>
      </c>
      <c r="R62" s="79">
        <f t="shared" si="6"/>
        <v>0</v>
      </c>
      <c r="S62" s="141">
        <f t="shared" si="7"/>
        <v>0</v>
      </c>
      <c r="T62" s="154">
        <v>16663</v>
      </c>
      <c r="U62" s="75">
        <v>3323</v>
      </c>
      <c r="V62" s="155">
        <v>8561</v>
      </c>
      <c r="W62" s="148">
        <v>13016</v>
      </c>
      <c r="X62" s="77">
        <v>-4625</v>
      </c>
      <c r="Y62" s="78">
        <v>-1297</v>
      </c>
      <c r="Z62" s="74">
        <v>11922</v>
      </c>
      <c r="AA62" s="75">
        <v>-4625</v>
      </c>
      <c r="AB62" s="76">
        <v>-1297</v>
      </c>
      <c r="AC62" s="15">
        <v>6</v>
      </c>
      <c r="AD62" s="15">
        <v>6</v>
      </c>
      <c r="AE62" s="7"/>
      <c r="AF62" s="7"/>
      <c r="AG62" s="7">
        <v>225973</v>
      </c>
      <c r="AH62" s="7">
        <v>239277</v>
      </c>
      <c r="AI62" s="7">
        <v>233492</v>
      </c>
      <c r="AJ62" s="7">
        <v>212621</v>
      </c>
      <c r="AK62" s="7">
        <v>213394</v>
      </c>
      <c r="AL62" s="7"/>
      <c r="AM62" s="7"/>
      <c r="AN62" s="7"/>
      <c r="AO62" s="7">
        <f t="shared" si="8"/>
        <v>-212621</v>
      </c>
      <c r="AP62" s="7">
        <f t="shared" si="8"/>
        <v>-213394</v>
      </c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>
        <f>344795+9469</f>
        <v>354264</v>
      </c>
      <c r="BE62" s="7">
        <f>318067+3712</f>
        <v>321779</v>
      </c>
      <c r="BF62" s="7"/>
      <c r="BG62" s="7"/>
      <c r="BH62" s="7"/>
      <c r="BI62" s="7">
        <f>344795</f>
        <v>344795</v>
      </c>
      <c r="BJ62" s="7">
        <f>318067</f>
        <v>318067</v>
      </c>
      <c r="BK62" s="7">
        <f>20801</f>
        <v>20801</v>
      </c>
      <c r="BL62" s="7">
        <f>34191</f>
        <v>34191</v>
      </c>
      <c r="BM62" s="7">
        <f>32518</f>
        <v>32518</v>
      </c>
      <c r="BN62" s="7">
        <f>46554+303178</f>
        <v>349732</v>
      </c>
      <c r="BO62" s="7">
        <f>34862+280984+3528</f>
        <v>319374</v>
      </c>
      <c r="BP62" s="7">
        <f>31322+290523+6437</f>
        <v>328282</v>
      </c>
      <c r="BQ62" s="7">
        <f>32314+295761+4025</f>
        <v>332100</v>
      </c>
      <c r="BR62" s="7">
        <f>35575+308867+2164</f>
        <v>346606</v>
      </c>
      <c r="BS62" s="7"/>
      <c r="BT62" s="7"/>
      <c r="BU62" s="7"/>
      <c r="BV62" s="7"/>
      <c r="BW62" s="7"/>
      <c r="BX62" s="7"/>
      <c r="BY62" s="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9"/>
      <c r="DC62" s="39"/>
      <c r="DD62" s="39"/>
      <c r="DE62" s="39"/>
      <c r="DF62" s="39"/>
      <c r="DG62" s="39"/>
      <c r="DH62" s="39"/>
      <c r="DI62" s="39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</row>
    <row r="63" spans="1:139" x14ac:dyDescent="0.25">
      <c r="A63" s="25">
        <v>61</v>
      </c>
      <c r="B63" s="25" t="s">
        <v>265</v>
      </c>
      <c r="C63" s="170" t="s">
        <v>30</v>
      </c>
      <c r="D63" s="26" t="s">
        <v>31</v>
      </c>
      <c r="E63" s="27" t="s">
        <v>287</v>
      </c>
      <c r="F63" s="28">
        <v>1</v>
      </c>
      <c r="G63" s="25" t="s">
        <v>297</v>
      </c>
      <c r="H63" s="49">
        <v>24</v>
      </c>
      <c r="I63" s="50">
        <v>25</v>
      </c>
      <c r="J63" s="110">
        <v>21</v>
      </c>
      <c r="K63" s="126">
        <v>45313</v>
      </c>
      <c r="L63" s="58">
        <v>49976</v>
      </c>
      <c r="M63" s="128">
        <v>50449</v>
      </c>
      <c r="N63" s="117">
        <v>-61897</v>
      </c>
      <c r="O63" s="50">
        <v>-61791</v>
      </c>
      <c r="P63" s="110">
        <v>-106835</v>
      </c>
      <c r="Q63" s="142">
        <f t="shared" si="5"/>
        <v>107210</v>
      </c>
      <c r="R63" s="64">
        <f t="shared" si="6"/>
        <v>111767</v>
      </c>
      <c r="S63" s="143">
        <f t="shared" si="7"/>
        <v>157284</v>
      </c>
      <c r="T63" s="156">
        <v>107210</v>
      </c>
      <c r="U63" s="50">
        <v>111767</v>
      </c>
      <c r="V63" s="158">
        <v>49172</v>
      </c>
      <c r="W63" s="149">
        <v>3172</v>
      </c>
      <c r="X63" s="58">
        <v>106</v>
      </c>
      <c r="Y63" s="59">
        <v>-45043</v>
      </c>
      <c r="Z63" s="49">
        <v>3172</v>
      </c>
      <c r="AA63" s="50">
        <v>106</v>
      </c>
      <c r="AB63" s="52">
        <v>-45043</v>
      </c>
      <c r="AC63" s="15"/>
      <c r="AD63" s="15"/>
      <c r="AE63" s="7"/>
      <c r="AF63" s="7"/>
      <c r="AG63" s="7">
        <v>35317</v>
      </c>
      <c r="AH63" s="7">
        <v>42463</v>
      </c>
      <c r="AI63" s="7">
        <v>24811</v>
      </c>
      <c r="AJ63" s="7">
        <v>-762673</v>
      </c>
      <c r="AK63" s="7">
        <v>-804348</v>
      </c>
      <c r="AL63" s="7"/>
      <c r="AM63" s="7"/>
      <c r="AN63" s="7"/>
      <c r="AO63" s="7">
        <f t="shared" si="8"/>
        <v>762673</v>
      </c>
      <c r="AP63" s="7">
        <f t="shared" si="8"/>
        <v>804348</v>
      </c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>
        <v>143637</v>
      </c>
      <c r="BE63" s="7">
        <v>150531</v>
      </c>
      <c r="BF63" s="7"/>
      <c r="BG63" s="7"/>
      <c r="BH63" s="7"/>
      <c r="BI63" s="7">
        <v>9524</v>
      </c>
      <c r="BJ63" s="7">
        <v>7219</v>
      </c>
      <c r="BK63" s="7">
        <v>9785</v>
      </c>
      <c r="BL63" s="7">
        <v>7478</v>
      </c>
      <c r="BM63" s="7">
        <v>7222</v>
      </c>
      <c r="BN63" s="7">
        <v>204247</v>
      </c>
      <c r="BO63" s="7">
        <v>192206</v>
      </c>
      <c r="BP63" s="7">
        <v>217505</v>
      </c>
      <c r="BQ63" s="7">
        <v>207517</v>
      </c>
      <c r="BR63" s="7">
        <v>287677</v>
      </c>
      <c r="BS63" s="7"/>
      <c r="BT63" s="7"/>
      <c r="BU63" s="7"/>
      <c r="BV63" s="7"/>
      <c r="BW63" s="7"/>
      <c r="BX63" s="7"/>
      <c r="BY63" s="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9"/>
      <c r="DC63" s="39"/>
      <c r="DD63" s="39"/>
      <c r="DE63" s="39"/>
      <c r="DF63" s="39"/>
      <c r="DG63" s="39"/>
      <c r="DH63" s="39"/>
      <c r="DI63" s="39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</row>
    <row r="64" spans="1:139" x14ac:dyDescent="0.25">
      <c r="A64" s="25">
        <v>62</v>
      </c>
      <c r="B64" s="25" t="s">
        <v>265</v>
      </c>
      <c r="C64" s="170" t="s">
        <v>62</v>
      </c>
      <c r="D64" s="26" t="s">
        <v>63</v>
      </c>
      <c r="E64" s="27" t="s">
        <v>294</v>
      </c>
      <c r="F64" s="84">
        <v>1</v>
      </c>
      <c r="G64" s="25" t="s">
        <v>307</v>
      </c>
      <c r="H64" s="49">
        <v>6</v>
      </c>
      <c r="I64" s="50">
        <v>5</v>
      </c>
      <c r="J64" s="110">
        <v>6</v>
      </c>
      <c r="K64" s="126">
        <v>153173</v>
      </c>
      <c r="L64" s="58">
        <v>149977</v>
      </c>
      <c r="M64" s="128">
        <v>155438</v>
      </c>
      <c r="N64" s="117">
        <v>129150</v>
      </c>
      <c r="O64" s="50">
        <v>129150</v>
      </c>
      <c r="P64" s="110">
        <v>129150</v>
      </c>
      <c r="Q64" s="142">
        <f t="shared" si="5"/>
        <v>24023</v>
      </c>
      <c r="R64" s="64">
        <f t="shared" si="6"/>
        <v>20827</v>
      </c>
      <c r="S64" s="143">
        <f t="shared" si="7"/>
        <v>26288</v>
      </c>
      <c r="T64" s="156">
        <f>33326+1876</f>
        <v>35202</v>
      </c>
      <c r="U64" s="50">
        <v>44135</v>
      </c>
      <c r="V64" s="158">
        <v>58000</v>
      </c>
      <c r="W64" s="149">
        <v>0</v>
      </c>
      <c r="X64" s="58">
        <v>0</v>
      </c>
      <c r="Y64" s="59">
        <v>7059</v>
      </c>
      <c r="Z64" s="49">
        <v>0</v>
      </c>
      <c r="AA64" s="50">
        <v>0</v>
      </c>
      <c r="AB64" s="52">
        <v>0</v>
      </c>
      <c r="AC64" s="15"/>
      <c r="AD64" s="15"/>
      <c r="AE64" s="7"/>
      <c r="AF64" s="7"/>
      <c r="AG64" s="7">
        <v>821</v>
      </c>
      <c r="AH64" s="7">
        <v>15</v>
      </c>
      <c r="AI64" s="7">
        <v>69</v>
      </c>
      <c r="AJ64" s="7">
        <v>578</v>
      </c>
      <c r="AK64" s="7">
        <v>139</v>
      </c>
      <c r="AL64" s="7"/>
      <c r="AM64" s="7"/>
      <c r="AN64" s="7"/>
      <c r="AO64" s="7">
        <f t="shared" si="8"/>
        <v>-578</v>
      </c>
      <c r="AP64" s="7">
        <f t="shared" si="8"/>
        <v>-139</v>
      </c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>
        <v>110747</v>
      </c>
      <c r="BE64" s="7">
        <v>113810</v>
      </c>
      <c r="BF64" s="7"/>
      <c r="BG64" s="7"/>
      <c r="BH64" s="7"/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110169</v>
      </c>
      <c r="BO64" s="7">
        <v>113671</v>
      </c>
      <c r="BP64" s="7">
        <v>132485</v>
      </c>
      <c r="BQ64" s="7">
        <f>87222+27923</f>
        <v>115145</v>
      </c>
      <c r="BR64" s="7">
        <f>88690+17397</f>
        <v>106087</v>
      </c>
      <c r="BS64" s="7"/>
      <c r="BT64" s="7"/>
      <c r="BU64" s="7"/>
      <c r="BV64" s="7"/>
      <c r="BW64" s="7"/>
      <c r="BX64" s="7"/>
      <c r="BY64" s="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9"/>
      <c r="DC64" s="39"/>
      <c r="DD64" s="39"/>
      <c r="DE64" s="39"/>
      <c r="DF64" s="39"/>
      <c r="DG64" s="39"/>
      <c r="DH64" s="39"/>
      <c r="DI64" s="39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</row>
    <row r="65" spans="1:139" x14ac:dyDescent="0.25">
      <c r="A65" s="25">
        <v>63</v>
      </c>
      <c r="B65" s="25" t="s">
        <v>265</v>
      </c>
      <c r="C65" s="170" t="s">
        <v>101</v>
      </c>
      <c r="D65" s="26" t="s">
        <v>102</v>
      </c>
      <c r="E65" s="27" t="s">
        <v>287</v>
      </c>
      <c r="F65" s="28">
        <v>1</v>
      </c>
      <c r="G65" s="25" t="s">
        <v>306</v>
      </c>
      <c r="H65" s="49">
        <v>173</v>
      </c>
      <c r="I65" s="50">
        <v>167</v>
      </c>
      <c r="J65" s="110">
        <v>160</v>
      </c>
      <c r="K65" s="126">
        <v>2016027</v>
      </c>
      <c r="L65" s="58">
        <v>1762354</v>
      </c>
      <c r="M65" s="128">
        <v>2005702</v>
      </c>
      <c r="N65" s="117">
        <v>-2292234</v>
      </c>
      <c r="O65" s="50">
        <v>-2371088</v>
      </c>
      <c r="P65" s="110">
        <v>-2317907</v>
      </c>
      <c r="Q65" s="142">
        <f t="shared" si="5"/>
        <v>4308261</v>
      </c>
      <c r="R65" s="64">
        <f t="shared" si="6"/>
        <v>4133442</v>
      </c>
      <c r="S65" s="143">
        <f t="shared" si="7"/>
        <v>4323609</v>
      </c>
      <c r="T65" s="156">
        <v>3326810</v>
      </c>
      <c r="U65" s="50">
        <v>3225722</v>
      </c>
      <c r="V65" s="158">
        <v>3702794</v>
      </c>
      <c r="W65" s="149">
        <v>138740</v>
      </c>
      <c r="X65" s="58">
        <v>-12172</v>
      </c>
      <c r="Y65" s="59">
        <v>120800</v>
      </c>
      <c r="Z65" s="49">
        <v>25774</v>
      </c>
      <c r="AA65" s="50">
        <v>-78854</v>
      </c>
      <c r="AB65" s="52">
        <v>53181</v>
      </c>
      <c r="AC65" s="15"/>
      <c r="AD65" s="15"/>
      <c r="AE65" s="7"/>
      <c r="AF65" s="7"/>
      <c r="AG65" s="7">
        <v>1189522</v>
      </c>
      <c r="AH65" s="7">
        <v>1232778</v>
      </c>
      <c r="AI65" s="7">
        <v>1307310</v>
      </c>
      <c r="AJ65" s="7">
        <v>-1995181</v>
      </c>
      <c r="AK65" s="7">
        <v>-1936942</v>
      </c>
      <c r="AL65" s="7"/>
      <c r="AM65" s="7"/>
      <c r="AN65" s="7"/>
      <c r="AO65" s="7">
        <f t="shared" si="8"/>
        <v>1995181</v>
      </c>
      <c r="AP65" s="7">
        <f t="shared" si="8"/>
        <v>1936942</v>
      </c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>
        <v>758800</v>
      </c>
      <c r="BE65" s="7">
        <v>825861</v>
      </c>
      <c r="BF65" s="7"/>
      <c r="BG65" s="7"/>
      <c r="BH65" s="7"/>
      <c r="BI65" s="7">
        <v>132269</v>
      </c>
      <c r="BJ65" s="7">
        <v>130961</v>
      </c>
      <c r="BK65" s="7">
        <v>114903</v>
      </c>
      <c r="BL65" s="7">
        <v>252295</v>
      </c>
      <c r="BM65" s="7">
        <v>388729</v>
      </c>
      <c r="BN65" s="7">
        <v>740302</v>
      </c>
      <c r="BO65" s="7">
        <v>767622</v>
      </c>
      <c r="BP65" s="7">
        <v>842526</v>
      </c>
      <c r="BQ65" s="7">
        <v>918081</v>
      </c>
      <c r="BR65" s="7">
        <v>1114321</v>
      </c>
      <c r="BS65" s="7"/>
      <c r="BT65" s="7"/>
      <c r="BU65" s="7"/>
      <c r="BV65" s="7"/>
      <c r="BW65" s="7"/>
      <c r="BX65" s="7"/>
      <c r="BY65" s="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9"/>
      <c r="DC65" s="39"/>
      <c r="DD65" s="39"/>
      <c r="DE65" s="39"/>
      <c r="DF65" s="39"/>
      <c r="DG65" s="39"/>
      <c r="DH65" s="39"/>
      <c r="DI65" s="39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</row>
    <row r="66" spans="1:139" x14ac:dyDescent="0.25">
      <c r="A66" s="25">
        <v>64</v>
      </c>
      <c r="B66" s="25" t="s">
        <v>265</v>
      </c>
      <c r="C66" s="170" t="s">
        <v>129</v>
      </c>
      <c r="D66" s="26" t="s">
        <v>130</v>
      </c>
      <c r="E66" s="27" t="s">
        <v>287</v>
      </c>
      <c r="F66" s="28">
        <v>1</v>
      </c>
      <c r="G66" s="25" t="s">
        <v>310</v>
      </c>
      <c r="H66" s="49">
        <v>69</v>
      </c>
      <c r="I66" s="50">
        <v>64</v>
      </c>
      <c r="J66" s="110">
        <v>64</v>
      </c>
      <c r="K66" s="126">
        <v>1189522</v>
      </c>
      <c r="L66" s="58">
        <v>1232778</v>
      </c>
      <c r="M66" s="128">
        <v>1307310</v>
      </c>
      <c r="N66" s="117">
        <v>668562</v>
      </c>
      <c r="O66" s="50">
        <v>841733</v>
      </c>
      <c r="P66" s="110">
        <v>934267</v>
      </c>
      <c r="Q66" s="142">
        <f t="shared" si="5"/>
        <v>520960</v>
      </c>
      <c r="R66" s="64">
        <f t="shared" si="6"/>
        <v>391045</v>
      </c>
      <c r="S66" s="143">
        <f t="shared" si="7"/>
        <v>373043</v>
      </c>
      <c r="T66" s="156">
        <v>942054</v>
      </c>
      <c r="U66" s="50">
        <v>1105982</v>
      </c>
      <c r="V66" s="158">
        <v>1219599</v>
      </c>
      <c r="W66" s="149">
        <v>101104</v>
      </c>
      <c r="X66" s="58">
        <v>188774</v>
      </c>
      <c r="Y66" s="59">
        <v>105277</v>
      </c>
      <c r="Z66" s="49">
        <v>91979</v>
      </c>
      <c r="AA66" s="50">
        <v>173171</v>
      </c>
      <c r="AB66" s="52">
        <v>92534</v>
      </c>
      <c r="AC66" s="15"/>
      <c r="AD66" s="15"/>
      <c r="AE66" s="7"/>
      <c r="AF66" s="7"/>
      <c r="AG66" s="7">
        <v>49247</v>
      </c>
      <c r="AH66" s="7">
        <v>30315</v>
      </c>
      <c r="AI66" s="7">
        <v>38947</v>
      </c>
      <c r="AJ66" s="7">
        <v>-884747</v>
      </c>
      <c r="AK66" s="7">
        <v>-923054</v>
      </c>
      <c r="AL66" s="7"/>
      <c r="AM66" s="7"/>
      <c r="AN66" s="7"/>
      <c r="AO66" s="7">
        <f t="shared" si="8"/>
        <v>884747</v>
      </c>
      <c r="AP66" s="7">
        <f t="shared" si="8"/>
        <v>923054</v>
      </c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>
        <v>402421</v>
      </c>
      <c r="BE66" s="7">
        <v>322248</v>
      </c>
      <c r="BF66" s="7"/>
      <c r="BG66" s="7"/>
      <c r="BH66" s="7"/>
      <c r="BI66" s="7">
        <v>293648</v>
      </c>
      <c r="BJ66" s="7">
        <v>299547</v>
      </c>
      <c r="BK66" s="7">
        <v>272667</v>
      </c>
      <c r="BL66" s="7">
        <v>451420</v>
      </c>
      <c r="BM66" s="7">
        <v>460422</v>
      </c>
      <c r="BN66" s="7">
        <v>411790</v>
      </c>
      <c r="BO66" s="7">
        <v>360554</v>
      </c>
      <c r="BP66" s="7">
        <v>387953</v>
      </c>
      <c r="BQ66" s="7">
        <v>366817</v>
      </c>
      <c r="BR66" s="7">
        <v>409065</v>
      </c>
      <c r="BS66" s="7"/>
      <c r="BT66" s="7"/>
      <c r="BU66" s="7"/>
      <c r="BV66" s="7"/>
      <c r="BW66" s="7"/>
      <c r="BX66" s="7"/>
      <c r="BY66" s="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9"/>
      <c r="DC66" s="39"/>
      <c r="DD66" s="39"/>
      <c r="DE66" s="39"/>
      <c r="DF66" s="39"/>
      <c r="DG66" s="39"/>
      <c r="DH66" s="39"/>
      <c r="DI66" s="39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</row>
    <row r="67" spans="1:139" x14ac:dyDescent="0.25">
      <c r="A67" s="25">
        <v>65</v>
      </c>
      <c r="B67" s="25" t="s">
        <v>265</v>
      </c>
      <c r="C67" s="170" t="s">
        <v>170</v>
      </c>
      <c r="D67" s="26" t="s">
        <v>171</v>
      </c>
      <c r="E67" s="27" t="s">
        <v>287</v>
      </c>
      <c r="F67" s="28">
        <v>1</v>
      </c>
      <c r="G67" s="25" t="s">
        <v>308</v>
      </c>
      <c r="H67" s="49">
        <v>14</v>
      </c>
      <c r="I67" s="50">
        <v>24</v>
      </c>
      <c r="J67" s="110">
        <v>26</v>
      </c>
      <c r="K67" s="126">
        <v>8335</v>
      </c>
      <c r="L67" s="58">
        <v>27589</v>
      </c>
      <c r="M67" s="128">
        <v>143594</v>
      </c>
      <c r="N67" s="117">
        <v>-43431</v>
      </c>
      <c r="O67" s="50">
        <v>12320</v>
      </c>
      <c r="P67" s="110">
        <v>32020</v>
      </c>
      <c r="Q67" s="142">
        <f t="shared" ref="Q67:Q98" si="9">+K67-N67</f>
        <v>51766</v>
      </c>
      <c r="R67" s="64">
        <f t="shared" ref="R67:R98" si="10">+L67-O67</f>
        <v>15269</v>
      </c>
      <c r="S67" s="143">
        <f t="shared" ref="S67:S98" si="11">+M67-P67</f>
        <v>111574</v>
      </c>
      <c r="T67" s="156">
        <v>174400</v>
      </c>
      <c r="U67" s="50">
        <v>246609</v>
      </c>
      <c r="V67" s="158">
        <v>254382</v>
      </c>
      <c r="W67" s="149">
        <v>-3816</v>
      </c>
      <c r="X67" s="58">
        <v>57795</v>
      </c>
      <c r="Y67" s="59">
        <v>21667</v>
      </c>
      <c r="Z67" s="49">
        <v>-3816</v>
      </c>
      <c r="AA67" s="50">
        <v>55751</v>
      </c>
      <c r="AB67" s="52">
        <v>19700</v>
      </c>
      <c r="AC67" s="15"/>
      <c r="AD67" s="15"/>
      <c r="AE67" s="7"/>
      <c r="AF67" s="7"/>
      <c r="AG67" s="7">
        <v>986599</v>
      </c>
      <c r="AH67" s="7">
        <v>931686</v>
      </c>
      <c r="AI67" s="7">
        <v>870544</v>
      </c>
      <c r="AJ67" s="7">
        <v>0</v>
      </c>
      <c r="AK67" s="7">
        <v>56498</v>
      </c>
      <c r="AL67" s="7"/>
      <c r="AM67" s="7"/>
      <c r="AN67" s="7"/>
      <c r="AO67" s="7">
        <f t="shared" si="8"/>
        <v>0</v>
      </c>
      <c r="AP67" s="7">
        <f t="shared" si="8"/>
        <v>-56498</v>
      </c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>
        <v>0</v>
      </c>
      <c r="BE67" s="7">
        <v>71440</v>
      </c>
      <c r="BF67" s="7"/>
      <c r="BG67" s="7"/>
      <c r="BH67" s="7"/>
      <c r="BI67" s="7">
        <v>0</v>
      </c>
      <c r="BJ67" s="7">
        <v>0</v>
      </c>
      <c r="BK67" s="7">
        <v>67225</v>
      </c>
      <c r="BL67" s="7">
        <v>167379</v>
      </c>
      <c r="BM67" s="7">
        <v>63292</v>
      </c>
      <c r="BN67" s="7">
        <v>0</v>
      </c>
      <c r="BO67" s="7">
        <v>15942</v>
      </c>
      <c r="BP67" s="7">
        <v>1079961</v>
      </c>
      <c r="BQ67" s="7">
        <v>2046816</v>
      </c>
      <c r="BR67" s="7">
        <v>1821523</v>
      </c>
      <c r="BS67" s="7"/>
      <c r="BT67" s="7"/>
      <c r="BU67" s="7"/>
      <c r="BV67" s="7"/>
      <c r="BW67" s="7"/>
      <c r="BX67" s="7"/>
      <c r="BY67" s="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40"/>
      <c r="CS67" s="38"/>
      <c r="CT67" s="38"/>
      <c r="CU67" s="38"/>
      <c r="CV67" s="38"/>
      <c r="CW67" s="40"/>
      <c r="CX67" s="38"/>
      <c r="CY67" s="38"/>
      <c r="CZ67" s="38"/>
      <c r="DA67" s="38"/>
      <c r="DB67" s="39"/>
      <c r="DC67" s="39"/>
      <c r="DD67" s="39"/>
      <c r="DE67" s="39"/>
      <c r="DF67" s="39"/>
      <c r="DG67" s="39"/>
      <c r="DH67" s="39"/>
      <c r="DI67" s="39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</row>
    <row r="68" spans="1:139" x14ac:dyDescent="0.25">
      <c r="A68" s="25">
        <v>66</v>
      </c>
      <c r="B68" s="25" t="s">
        <v>265</v>
      </c>
      <c r="C68" s="170" t="s">
        <v>210</v>
      </c>
      <c r="D68" s="26" t="s">
        <v>211</v>
      </c>
      <c r="E68" s="27" t="s">
        <v>288</v>
      </c>
      <c r="F68" s="28">
        <v>0.55289999999999995</v>
      </c>
      <c r="G68" s="25" t="s">
        <v>308</v>
      </c>
      <c r="H68" s="49">
        <v>19</v>
      </c>
      <c r="I68" s="50">
        <v>19</v>
      </c>
      <c r="J68" s="110">
        <v>20</v>
      </c>
      <c r="K68" s="126">
        <v>2376705</v>
      </c>
      <c r="L68" s="58">
        <v>2362364</v>
      </c>
      <c r="M68" s="128">
        <v>2376342</v>
      </c>
      <c r="N68" s="117">
        <v>2070466</v>
      </c>
      <c r="O68" s="50">
        <v>2053988</v>
      </c>
      <c r="P68" s="110">
        <v>2063838</v>
      </c>
      <c r="Q68" s="142">
        <f t="shared" si="9"/>
        <v>306239</v>
      </c>
      <c r="R68" s="64">
        <f t="shared" si="10"/>
        <v>308376</v>
      </c>
      <c r="S68" s="143">
        <f t="shared" si="11"/>
        <v>312504</v>
      </c>
      <c r="T68" s="156">
        <v>311085</v>
      </c>
      <c r="U68" s="50">
        <v>351799</v>
      </c>
      <c r="V68" s="158">
        <v>389804</v>
      </c>
      <c r="W68" s="149">
        <v>-62506</v>
      </c>
      <c r="X68" s="58">
        <v>-16481</v>
      </c>
      <c r="Y68" s="59">
        <v>10326</v>
      </c>
      <c r="Z68" s="49">
        <v>-62810</v>
      </c>
      <c r="AA68" s="50">
        <v>-16478</v>
      </c>
      <c r="AB68" s="52">
        <v>10330</v>
      </c>
      <c r="AC68" s="15"/>
      <c r="AD68" s="15"/>
      <c r="AE68" s="7"/>
      <c r="AF68" s="7"/>
      <c r="AG68" s="7">
        <v>34123</v>
      </c>
      <c r="AH68" s="7">
        <v>17142</v>
      </c>
      <c r="AI68" s="7">
        <v>17473</v>
      </c>
      <c r="AJ68" s="7">
        <v>-350059</v>
      </c>
      <c r="AK68" s="7">
        <v>-440002</v>
      </c>
      <c r="AL68" s="7"/>
      <c r="AM68" s="7"/>
      <c r="AN68" s="7"/>
      <c r="AO68" s="7">
        <f t="shared" si="8"/>
        <v>350059</v>
      </c>
      <c r="AP68" s="7">
        <f t="shared" si="8"/>
        <v>440002</v>
      </c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>
        <v>251523</v>
      </c>
      <c r="BE68" s="7">
        <v>186284</v>
      </c>
      <c r="BF68" s="7"/>
      <c r="BG68" s="7"/>
      <c r="BH68" s="7"/>
      <c r="BI68" s="7">
        <v>2400</v>
      </c>
      <c r="BJ68" s="7">
        <v>11175</v>
      </c>
      <c r="BK68" s="7">
        <v>5735</v>
      </c>
      <c r="BL68" s="7">
        <v>6712</v>
      </c>
      <c r="BM68" s="7">
        <f>9856</f>
        <v>9856</v>
      </c>
      <c r="BN68" s="7">
        <v>259377</v>
      </c>
      <c r="BO68" s="7">
        <v>294452</v>
      </c>
      <c r="BP68" s="7">
        <v>333389</v>
      </c>
      <c r="BQ68" s="7">
        <v>273207</v>
      </c>
      <c r="BR68" s="7">
        <f>53667+288175</f>
        <v>341842</v>
      </c>
      <c r="BS68" s="7"/>
      <c r="BT68" s="7"/>
      <c r="BU68" s="7"/>
      <c r="BV68" s="7"/>
      <c r="BW68" s="7"/>
      <c r="BX68" s="7"/>
      <c r="BY68" s="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9"/>
      <c r="DC68" s="39"/>
      <c r="DD68" s="39"/>
      <c r="DE68" s="39"/>
      <c r="DF68" s="39"/>
      <c r="DG68" s="39"/>
      <c r="DH68" s="39"/>
      <c r="DI68" s="39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</row>
    <row r="69" spans="1:139" x14ac:dyDescent="0.25">
      <c r="A69" s="25">
        <v>67</v>
      </c>
      <c r="B69" s="25" t="s">
        <v>265</v>
      </c>
      <c r="C69" s="170" t="s">
        <v>236</v>
      </c>
      <c r="D69" s="26" t="s">
        <v>237</v>
      </c>
      <c r="E69" s="27" t="s">
        <v>287</v>
      </c>
      <c r="F69" s="28">
        <v>1</v>
      </c>
      <c r="G69" s="25" t="s">
        <v>306</v>
      </c>
      <c r="H69" s="49">
        <v>196</v>
      </c>
      <c r="I69" s="50">
        <v>195</v>
      </c>
      <c r="J69" s="110">
        <v>187</v>
      </c>
      <c r="K69" s="126">
        <v>64068896</v>
      </c>
      <c r="L69" s="58">
        <v>62869370</v>
      </c>
      <c r="M69" s="128">
        <v>62326540</v>
      </c>
      <c r="N69" s="117">
        <v>9435771</v>
      </c>
      <c r="O69" s="50">
        <v>8956329</v>
      </c>
      <c r="P69" s="110">
        <v>9623788</v>
      </c>
      <c r="Q69" s="142">
        <f t="shared" si="9"/>
        <v>54633125</v>
      </c>
      <c r="R69" s="64">
        <f t="shared" si="10"/>
        <v>53913041</v>
      </c>
      <c r="S69" s="143">
        <f t="shared" si="11"/>
        <v>52702752</v>
      </c>
      <c r="T69" s="156">
        <v>4090861</v>
      </c>
      <c r="U69" s="50">
        <v>3952796</v>
      </c>
      <c r="V69" s="158">
        <v>5088973</v>
      </c>
      <c r="W69" s="149">
        <v>-403662</v>
      </c>
      <c r="X69" s="58">
        <v>-453600</v>
      </c>
      <c r="Y69" s="59">
        <v>453674</v>
      </c>
      <c r="Z69" s="49">
        <v>-162577</v>
      </c>
      <c r="AA69" s="50">
        <v>-251822</v>
      </c>
      <c r="AB69" s="52">
        <v>598976</v>
      </c>
      <c r="AC69" s="15"/>
      <c r="AD69" s="15"/>
      <c r="AE69" s="7"/>
      <c r="AF69" s="7"/>
      <c r="AG69" s="7">
        <v>7448</v>
      </c>
      <c r="AH69" s="7">
        <v>10797</v>
      </c>
      <c r="AI69" s="7">
        <v>12041</v>
      </c>
      <c r="AJ69" s="7">
        <v>-274109</v>
      </c>
      <c r="AK69" s="7">
        <v>-317168</v>
      </c>
      <c r="AL69" s="7"/>
      <c r="AM69" s="7"/>
      <c r="AN69" s="7"/>
      <c r="AO69" s="7">
        <f t="shared" si="8"/>
        <v>274109</v>
      </c>
      <c r="AP69" s="7">
        <f t="shared" si="8"/>
        <v>317168</v>
      </c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>
        <v>93536</v>
      </c>
      <c r="BE69" s="7">
        <v>91478</v>
      </c>
      <c r="BF69" s="7"/>
      <c r="BG69" s="7"/>
      <c r="BH69" s="7"/>
      <c r="BI69" s="7">
        <v>635</v>
      </c>
      <c r="BJ69" s="7">
        <v>41</v>
      </c>
      <c r="BK69" s="7">
        <v>87</v>
      </c>
      <c r="BL69" s="7">
        <v>0</v>
      </c>
      <c r="BM69" s="7">
        <v>0</v>
      </c>
      <c r="BN69" s="7">
        <v>128597</v>
      </c>
      <c r="BO69" s="7">
        <v>134537</v>
      </c>
      <c r="BP69" s="7">
        <v>130551</v>
      </c>
      <c r="BQ69" s="7">
        <v>143640</v>
      </c>
      <c r="BR69" s="7">
        <v>140357</v>
      </c>
      <c r="BS69" s="7"/>
      <c r="BT69" s="7"/>
      <c r="BU69" s="7"/>
      <c r="BV69" s="7"/>
      <c r="BW69" s="7"/>
      <c r="BX69" s="7"/>
      <c r="BY69" s="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9"/>
      <c r="DC69" s="39"/>
      <c r="DD69" s="39"/>
      <c r="DE69" s="39"/>
      <c r="DF69" s="39"/>
      <c r="DG69" s="39"/>
      <c r="DH69" s="39"/>
      <c r="DI69" s="39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</row>
    <row r="70" spans="1:139" ht="15.75" thickBot="1" x14ac:dyDescent="0.3">
      <c r="A70" s="80">
        <v>68</v>
      </c>
      <c r="B70" s="80" t="s">
        <v>265</v>
      </c>
      <c r="C70" s="172" t="s">
        <v>64</v>
      </c>
      <c r="D70" s="81" t="s">
        <v>65</v>
      </c>
      <c r="E70" s="82" t="s">
        <v>294</v>
      </c>
      <c r="F70" s="96">
        <v>1</v>
      </c>
      <c r="G70" s="80" t="s">
        <v>305</v>
      </c>
      <c r="H70" s="55">
        <v>81</v>
      </c>
      <c r="I70" s="56">
        <v>81</v>
      </c>
      <c r="J70" s="111">
        <v>83</v>
      </c>
      <c r="K70" s="129">
        <v>10065526</v>
      </c>
      <c r="L70" s="62">
        <v>9840603</v>
      </c>
      <c r="M70" s="130">
        <v>9573900</v>
      </c>
      <c r="N70" s="118">
        <v>-306757</v>
      </c>
      <c r="O70" s="56">
        <v>-276968</v>
      </c>
      <c r="P70" s="111">
        <v>-304243</v>
      </c>
      <c r="Q70" s="144">
        <f t="shared" si="9"/>
        <v>10372283</v>
      </c>
      <c r="R70" s="65">
        <f t="shared" si="10"/>
        <v>10117571</v>
      </c>
      <c r="S70" s="145">
        <f t="shared" si="11"/>
        <v>9878143</v>
      </c>
      <c r="T70" s="159">
        <v>1139566</v>
      </c>
      <c r="U70" s="56">
        <v>1200172</v>
      </c>
      <c r="V70" s="160">
        <v>1155489</v>
      </c>
      <c r="W70" s="150">
        <v>39245</v>
      </c>
      <c r="X70" s="62">
        <v>31676</v>
      </c>
      <c r="Y70" s="63">
        <v>-25732</v>
      </c>
      <c r="Z70" s="55">
        <v>35936</v>
      </c>
      <c r="AA70" s="56">
        <v>29789</v>
      </c>
      <c r="AB70" s="57">
        <v>-27275</v>
      </c>
      <c r="AC70" s="15"/>
      <c r="AD70" s="15"/>
      <c r="AE70" s="7"/>
      <c r="AF70" s="7"/>
      <c r="AG70" s="7">
        <v>289494</v>
      </c>
      <c r="AH70" s="7">
        <v>267658</v>
      </c>
      <c r="AI70" s="7">
        <v>418805</v>
      </c>
      <c r="AJ70" s="7">
        <v>-833049</v>
      </c>
      <c r="AK70" s="7">
        <v>-714458</v>
      </c>
      <c r="AL70" s="7"/>
      <c r="AM70" s="7"/>
      <c r="AN70" s="7"/>
      <c r="AO70" s="7">
        <f t="shared" si="8"/>
        <v>833049</v>
      </c>
      <c r="AP70" s="7">
        <f t="shared" si="8"/>
        <v>714458</v>
      </c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>
        <v>481149</v>
      </c>
      <c r="BE70" s="7">
        <v>604772</v>
      </c>
      <c r="BF70" s="7"/>
      <c r="BG70" s="7"/>
      <c r="BH70" s="7"/>
      <c r="BI70" s="7">
        <v>7814</v>
      </c>
      <c r="BJ70" s="7">
        <v>28231</v>
      </c>
      <c r="BK70" s="7">
        <v>1371</v>
      </c>
      <c r="BL70" s="7">
        <v>2569</v>
      </c>
      <c r="BM70" s="7">
        <f>5904</f>
        <v>5904</v>
      </c>
      <c r="BN70" s="7">
        <v>523565</v>
      </c>
      <c r="BO70" s="7">
        <v>493831</v>
      </c>
      <c r="BP70" s="7">
        <v>489941</v>
      </c>
      <c r="BQ70" s="7">
        <v>608989</v>
      </c>
      <c r="BR70" s="7">
        <f>272113+477476+2539</f>
        <v>752128</v>
      </c>
      <c r="BS70" s="7"/>
      <c r="BT70" s="7"/>
      <c r="BU70" s="7"/>
      <c r="BV70" s="7"/>
      <c r="BW70" s="7"/>
      <c r="BX70" s="7"/>
      <c r="BY70" s="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9"/>
      <c r="DC70" s="39"/>
      <c r="DD70" s="39"/>
      <c r="DE70" s="39"/>
      <c r="DF70" s="39"/>
      <c r="DG70" s="39"/>
      <c r="DH70" s="39"/>
      <c r="DI70" s="39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</row>
    <row r="71" spans="1:139" ht="15.75" thickBot="1" x14ac:dyDescent="0.3">
      <c r="A71" s="85">
        <v>69</v>
      </c>
      <c r="B71" s="85" t="s">
        <v>284</v>
      </c>
      <c r="C71" s="173" t="s">
        <v>69</v>
      </c>
      <c r="D71" s="86" t="s">
        <v>70</v>
      </c>
      <c r="E71" s="87" t="s">
        <v>287</v>
      </c>
      <c r="F71" s="88">
        <v>1</v>
      </c>
      <c r="G71" s="85" t="s">
        <v>306</v>
      </c>
      <c r="H71" s="89">
        <v>15</v>
      </c>
      <c r="I71" s="90">
        <v>16</v>
      </c>
      <c r="J71" s="112">
        <v>15</v>
      </c>
      <c r="K71" s="132">
        <v>51760</v>
      </c>
      <c r="L71" s="92">
        <v>43032</v>
      </c>
      <c r="M71" s="133">
        <v>23086</v>
      </c>
      <c r="N71" s="120">
        <v>34761</v>
      </c>
      <c r="O71" s="90">
        <v>2436</v>
      </c>
      <c r="P71" s="112">
        <v>-2604</v>
      </c>
      <c r="Q71" s="146">
        <f t="shared" si="9"/>
        <v>16999</v>
      </c>
      <c r="R71" s="94">
        <f t="shared" si="10"/>
        <v>40596</v>
      </c>
      <c r="S71" s="147">
        <f t="shared" si="11"/>
        <v>25690</v>
      </c>
      <c r="T71" s="162">
        <v>141506</v>
      </c>
      <c r="U71" s="90">
        <v>189239</v>
      </c>
      <c r="V71" s="163">
        <v>180523</v>
      </c>
      <c r="W71" s="152">
        <v>-34028</v>
      </c>
      <c r="X71" s="92">
        <v>-30317</v>
      </c>
      <c r="Y71" s="93">
        <v>-5038</v>
      </c>
      <c r="Z71" s="89">
        <v>-34028</v>
      </c>
      <c r="AA71" s="90">
        <v>-30384</v>
      </c>
      <c r="AB71" s="91">
        <v>-5038</v>
      </c>
      <c r="AC71" s="15"/>
      <c r="AD71" s="15"/>
      <c r="AE71" s="7"/>
      <c r="AF71" s="7"/>
      <c r="AG71" s="7">
        <v>20146</v>
      </c>
      <c r="AH71" s="7">
        <v>5781</v>
      </c>
      <c r="AI71" s="7">
        <v>95092</v>
      </c>
      <c r="AJ71" s="7">
        <v>19065</v>
      </c>
      <c r="AK71" s="7">
        <v>19824</v>
      </c>
      <c r="AL71" s="7"/>
      <c r="AM71" s="7"/>
      <c r="AN71" s="7"/>
      <c r="AO71" s="7">
        <f t="shared" si="8"/>
        <v>-19065</v>
      </c>
      <c r="AP71" s="7">
        <f t="shared" si="8"/>
        <v>-19824</v>
      </c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>
        <v>136052</v>
      </c>
      <c r="BE71" s="7">
        <v>123907</v>
      </c>
      <c r="BF71" s="7"/>
      <c r="BG71" s="7"/>
      <c r="BH71" s="7"/>
      <c r="BI71" s="7">
        <v>400</v>
      </c>
      <c r="BJ71" s="7">
        <v>0</v>
      </c>
      <c r="BK71" s="7">
        <v>0</v>
      </c>
      <c r="BL71" s="7">
        <v>0</v>
      </c>
      <c r="BM71" s="7">
        <v>0</v>
      </c>
      <c r="BN71" s="7">
        <v>134072</v>
      </c>
      <c r="BO71" s="7">
        <v>123148</v>
      </c>
      <c r="BP71" s="7">
        <v>144057</v>
      </c>
      <c r="BQ71" s="7">
        <v>166885</v>
      </c>
      <c r="BR71" s="7">
        <f>83292+215298</f>
        <v>298590</v>
      </c>
      <c r="BS71" s="7"/>
      <c r="BT71" s="7"/>
      <c r="BU71" s="7"/>
      <c r="BV71" s="7"/>
      <c r="BW71" s="7"/>
      <c r="BX71" s="7"/>
      <c r="BY71" s="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9"/>
      <c r="DC71" s="39"/>
      <c r="DD71" s="39"/>
      <c r="DE71" s="39"/>
      <c r="DF71" s="39"/>
      <c r="DG71" s="39"/>
      <c r="DH71" s="39"/>
      <c r="DI71" s="39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</row>
    <row r="72" spans="1:139" ht="15.75" thickBot="1" x14ac:dyDescent="0.3">
      <c r="A72" s="85">
        <v>70</v>
      </c>
      <c r="B72" s="85" t="s">
        <v>285</v>
      </c>
      <c r="C72" s="173" t="s">
        <v>75</v>
      </c>
      <c r="D72" s="86" t="s">
        <v>76</v>
      </c>
      <c r="E72" s="87" t="s">
        <v>287</v>
      </c>
      <c r="F72" s="88">
        <v>1</v>
      </c>
      <c r="G72" s="85" t="s">
        <v>306</v>
      </c>
      <c r="H72" s="89">
        <v>46</v>
      </c>
      <c r="I72" s="90">
        <v>44</v>
      </c>
      <c r="J72" s="112">
        <v>48</v>
      </c>
      <c r="K72" s="132">
        <v>1330730</v>
      </c>
      <c r="L72" s="92">
        <v>1653507</v>
      </c>
      <c r="M72" s="133">
        <v>1650788</v>
      </c>
      <c r="N72" s="120">
        <v>-809428</v>
      </c>
      <c r="O72" s="90">
        <v>-526658</v>
      </c>
      <c r="P72" s="112">
        <v>-540613</v>
      </c>
      <c r="Q72" s="146">
        <f t="shared" si="9"/>
        <v>2140158</v>
      </c>
      <c r="R72" s="94">
        <f t="shared" si="10"/>
        <v>2180165</v>
      </c>
      <c r="S72" s="147">
        <f t="shared" si="11"/>
        <v>2191401</v>
      </c>
      <c r="T72" s="162">
        <v>541472</v>
      </c>
      <c r="U72" s="90">
        <v>559696</v>
      </c>
      <c r="V72" s="163">
        <f>489422+138844</f>
        <v>628266</v>
      </c>
      <c r="W72" s="152">
        <v>32097</v>
      </c>
      <c r="X72" s="92">
        <v>-89555</v>
      </c>
      <c r="Y72" s="93">
        <v>-10334</v>
      </c>
      <c r="Z72" s="89">
        <v>30972</v>
      </c>
      <c r="AA72" s="90">
        <v>-90934</v>
      </c>
      <c r="AB72" s="91">
        <v>-13955</v>
      </c>
      <c r="AC72" s="15"/>
      <c r="AD72" s="15"/>
      <c r="AE72" s="7"/>
      <c r="AF72" s="7"/>
      <c r="AG72" s="7">
        <v>8045500</v>
      </c>
      <c r="AH72" s="7">
        <v>9252300</v>
      </c>
      <c r="AI72" s="7">
        <v>11437843</v>
      </c>
      <c r="AJ72" s="7">
        <v>7109964</v>
      </c>
      <c r="AK72" s="7">
        <v>4366791</v>
      </c>
      <c r="AL72" s="7"/>
      <c r="AM72" s="7"/>
      <c r="AN72" s="7"/>
      <c r="AO72" s="7">
        <f t="shared" si="8"/>
        <v>-7109964</v>
      </c>
      <c r="AP72" s="7">
        <f t="shared" si="8"/>
        <v>-4366791</v>
      </c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>
        <v>3873310</v>
      </c>
      <c r="BE72" s="7">
        <v>224839</v>
      </c>
      <c r="BF72" s="7"/>
      <c r="BG72" s="7"/>
      <c r="BH72" s="7"/>
      <c r="BI72" s="7">
        <v>3373530</v>
      </c>
      <c r="BJ72" s="7">
        <v>188814</v>
      </c>
      <c r="BK72" s="7">
        <v>480989</v>
      </c>
      <c r="BL72" s="7">
        <v>3711052</v>
      </c>
      <c r="BM72" s="7">
        <v>4545759</v>
      </c>
      <c r="BN72" s="7">
        <v>2661638</v>
      </c>
      <c r="BO72" s="7">
        <v>2373911</v>
      </c>
      <c r="BP72" s="7">
        <v>2053255</v>
      </c>
      <c r="BQ72" s="7">
        <v>2716264</v>
      </c>
      <c r="BR72" s="7">
        <v>2989721</v>
      </c>
      <c r="BS72" s="7"/>
      <c r="BT72" s="7"/>
      <c r="BU72" s="7"/>
      <c r="BV72" s="7"/>
      <c r="BW72" s="7"/>
      <c r="BX72" s="7"/>
      <c r="BY72" s="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9"/>
      <c r="DC72" s="39"/>
      <c r="DD72" s="39"/>
      <c r="DE72" s="39"/>
      <c r="DF72" s="39"/>
      <c r="DG72" s="39"/>
      <c r="DH72" s="39"/>
      <c r="DI72" s="39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</row>
    <row r="73" spans="1:139" x14ac:dyDescent="0.25">
      <c r="A73" s="70">
        <v>71</v>
      </c>
      <c r="B73" s="70" t="s">
        <v>281</v>
      </c>
      <c r="C73" s="171" t="s">
        <v>113</v>
      </c>
      <c r="D73" s="71" t="s">
        <v>114</v>
      </c>
      <c r="E73" s="72" t="s">
        <v>287</v>
      </c>
      <c r="F73" s="73">
        <v>1</v>
      </c>
      <c r="G73" s="70" t="s">
        <v>306</v>
      </c>
      <c r="H73" s="74">
        <v>25</v>
      </c>
      <c r="I73" s="75">
        <v>26</v>
      </c>
      <c r="J73" s="108">
        <v>33</v>
      </c>
      <c r="K73" s="124">
        <v>445303</v>
      </c>
      <c r="L73" s="77">
        <v>606706</v>
      </c>
      <c r="M73" s="125">
        <v>814789</v>
      </c>
      <c r="N73" s="116">
        <v>333456</v>
      </c>
      <c r="O73" s="75">
        <v>334068</v>
      </c>
      <c r="P73" s="108">
        <v>342820</v>
      </c>
      <c r="Q73" s="140">
        <f t="shared" si="9"/>
        <v>111847</v>
      </c>
      <c r="R73" s="79">
        <f t="shared" si="10"/>
        <v>272638</v>
      </c>
      <c r="S73" s="141">
        <f t="shared" si="11"/>
        <v>471969</v>
      </c>
      <c r="T73" s="154">
        <v>465870</v>
      </c>
      <c r="U73" s="75">
        <v>431787</v>
      </c>
      <c r="V73" s="155">
        <v>664675</v>
      </c>
      <c r="W73" s="148">
        <v>13232</v>
      </c>
      <c r="X73" s="77">
        <v>2574</v>
      </c>
      <c r="Y73" s="78">
        <v>9029</v>
      </c>
      <c r="Z73" s="74">
        <v>9173</v>
      </c>
      <c r="AA73" s="75">
        <v>611</v>
      </c>
      <c r="AB73" s="76">
        <v>8752</v>
      </c>
      <c r="AC73" s="15"/>
      <c r="AD73" s="15"/>
      <c r="AE73" s="7"/>
      <c r="AF73" s="7"/>
      <c r="AG73" s="7">
        <v>1444794</v>
      </c>
      <c r="AH73" s="7">
        <v>1337052</v>
      </c>
      <c r="AI73" s="7">
        <v>1263265</v>
      </c>
      <c r="AJ73" s="7">
        <v>1647661</v>
      </c>
      <c r="AK73" s="7">
        <v>1474422</v>
      </c>
      <c r="AL73" s="7"/>
      <c r="AM73" s="7"/>
      <c r="AN73" s="7"/>
      <c r="AO73" s="7">
        <f t="shared" si="8"/>
        <v>-1647661</v>
      </c>
      <c r="AP73" s="7">
        <f t="shared" si="8"/>
        <v>-1474422</v>
      </c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>
        <v>983689</v>
      </c>
      <c r="BE73" s="7">
        <v>466561</v>
      </c>
      <c r="BF73" s="7"/>
      <c r="BG73" s="7"/>
      <c r="BH73" s="7"/>
      <c r="BI73" s="7">
        <v>933849</v>
      </c>
      <c r="BJ73" s="7">
        <v>439567</v>
      </c>
      <c r="BK73" s="7">
        <v>501413</v>
      </c>
      <c r="BL73" s="7">
        <v>595595</v>
      </c>
      <c r="BM73" s="7">
        <v>0</v>
      </c>
      <c r="BN73" s="7">
        <v>842931</v>
      </c>
      <c r="BO73" s="7">
        <v>638883</v>
      </c>
      <c r="BP73" s="7">
        <v>640313</v>
      </c>
      <c r="BQ73" s="7">
        <v>740488</v>
      </c>
      <c r="BR73" s="7">
        <v>937938</v>
      </c>
      <c r="BS73" s="7"/>
      <c r="BT73" s="7"/>
      <c r="BU73" s="7"/>
      <c r="BV73" s="7"/>
      <c r="BW73" s="7"/>
      <c r="BX73" s="7"/>
      <c r="BY73" s="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9"/>
      <c r="DC73" s="39"/>
      <c r="DD73" s="39"/>
      <c r="DE73" s="39"/>
      <c r="DF73" s="39"/>
      <c r="DG73" s="39"/>
      <c r="DH73" s="39"/>
      <c r="DI73" s="39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</row>
    <row r="74" spans="1:139" ht="15.75" thickBot="1" x14ac:dyDescent="0.3">
      <c r="A74" s="25">
        <v>72</v>
      </c>
      <c r="B74" s="80" t="s">
        <v>281</v>
      </c>
      <c r="C74" s="172" t="s">
        <v>157</v>
      </c>
      <c r="D74" s="81" t="s">
        <v>158</v>
      </c>
      <c r="E74" s="82" t="s">
        <v>287</v>
      </c>
      <c r="F74" s="83">
        <v>1</v>
      </c>
      <c r="G74" s="80" t="s">
        <v>301</v>
      </c>
      <c r="H74" s="55">
        <v>9</v>
      </c>
      <c r="I74" s="56">
        <v>9</v>
      </c>
      <c r="J74" s="111">
        <v>11</v>
      </c>
      <c r="K74" s="129">
        <v>42487</v>
      </c>
      <c r="L74" s="62">
        <v>84874</v>
      </c>
      <c r="M74" s="130">
        <v>76368</v>
      </c>
      <c r="N74" s="118">
        <v>-3306</v>
      </c>
      <c r="O74" s="56">
        <v>53794</v>
      </c>
      <c r="P74" s="111">
        <v>67412</v>
      </c>
      <c r="Q74" s="144">
        <f t="shared" si="9"/>
        <v>45793</v>
      </c>
      <c r="R74" s="65">
        <f t="shared" si="10"/>
        <v>31080</v>
      </c>
      <c r="S74" s="145">
        <f t="shared" si="11"/>
        <v>8956</v>
      </c>
      <c r="T74" s="159">
        <v>174760</v>
      </c>
      <c r="U74" s="56">
        <v>242384</v>
      </c>
      <c r="V74" s="160">
        <v>226021</v>
      </c>
      <c r="W74" s="150">
        <v>19711</v>
      </c>
      <c r="X74" s="62">
        <v>65274</v>
      </c>
      <c r="Y74" s="63">
        <v>17648</v>
      </c>
      <c r="Z74" s="55">
        <v>15854</v>
      </c>
      <c r="AA74" s="56">
        <v>57098</v>
      </c>
      <c r="AB74" s="57">
        <v>13518</v>
      </c>
      <c r="AC74" s="15"/>
      <c r="AD74" s="15"/>
      <c r="AE74" s="7"/>
      <c r="AF74" s="7"/>
      <c r="AG74" s="7">
        <v>365467</v>
      </c>
      <c r="AH74" s="7">
        <v>385488</v>
      </c>
      <c r="AI74" s="7">
        <v>329680</v>
      </c>
      <c r="AJ74" s="7">
        <v>150211</v>
      </c>
      <c r="AK74" s="7">
        <v>188137</v>
      </c>
      <c r="AL74" s="7"/>
      <c r="AM74" s="7"/>
      <c r="AN74" s="7"/>
      <c r="AO74" s="7">
        <f t="shared" si="8"/>
        <v>-150211</v>
      </c>
      <c r="AP74" s="7">
        <f t="shared" si="8"/>
        <v>-188137</v>
      </c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>
        <v>564204</v>
      </c>
      <c r="BE74" s="7">
        <v>573024</v>
      </c>
      <c r="BF74" s="7"/>
      <c r="BG74" s="7"/>
      <c r="BH74" s="7"/>
      <c r="BI74" s="7">
        <v>120433</v>
      </c>
      <c r="BJ74" s="7">
        <v>86014</v>
      </c>
      <c r="BK74" s="7">
        <v>102283</v>
      </c>
      <c r="BL74" s="7">
        <v>118389</v>
      </c>
      <c r="BM74" s="7">
        <v>107696</v>
      </c>
      <c r="BN74" s="7">
        <v>561958</v>
      </c>
      <c r="BO74" s="7">
        <v>530592</v>
      </c>
      <c r="BP74" s="7">
        <v>681586</v>
      </c>
      <c r="BQ74" s="7">
        <v>694036</v>
      </c>
      <c r="BR74" s="7">
        <v>841863</v>
      </c>
      <c r="BS74" s="7"/>
      <c r="BT74" s="7"/>
      <c r="BU74" s="7"/>
      <c r="BV74" s="7"/>
      <c r="BW74" s="7"/>
      <c r="BX74" s="7"/>
      <c r="BY74" s="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9"/>
      <c r="DC74" s="39"/>
      <c r="DD74" s="39"/>
      <c r="DE74" s="39"/>
      <c r="DF74" s="39"/>
      <c r="DG74" s="39"/>
      <c r="DH74" s="39"/>
      <c r="DI74" s="39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</row>
    <row r="75" spans="1:139" x14ac:dyDescent="0.25">
      <c r="A75" s="70">
        <v>73</v>
      </c>
      <c r="B75" s="70" t="s">
        <v>268</v>
      </c>
      <c r="C75" s="171" t="s">
        <v>36</v>
      </c>
      <c r="D75" s="71" t="s">
        <v>37</v>
      </c>
      <c r="E75" s="72" t="s">
        <v>287</v>
      </c>
      <c r="F75" s="73">
        <v>1</v>
      </c>
      <c r="G75" s="70" t="s">
        <v>305</v>
      </c>
      <c r="H75" s="97">
        <v>13</v>
      </c>
      <c r="I75" s="98">
        <v>11</v>
      </c>
      <c r="J75" s="113">
        <v>14</v>
      </c>
      <c r="K75" s="134">
        <v>231593</v>
      </c>
      <c r="L75" s="100">
        <v>239330</v>
      </c>
      <c r="M75" s="135">
        <v>240946</v>
      </c>
      <c r="N75" s="121">
        <v>-100959</v>
      </c>
      <c r="O75" s="98">
        <v>-16364</v>
      </c>
      <c r="P75" s="113">
        <v>36617</v>
      </c>
      <c r="Q75" s="134">
        <f t="shared" si="9"/>
        <v>332552</v>
      </c>
      <c r="R75" s="100">
        <f t="shared" si="10"/>
        <v>255694</v>
      </c>
      <c r="S75" s="135">
        <f t="shared" si="11"/>
        <v>204329</v>
      </c>
      <c r="T75" s="164">
        <v>241434</v>
      </c>
      <c r="U75" s="98">
        <v>224549</v>
      </c>
      <c r="V75" s="165">
        <v>247551</v>
      </c>
      <c r="W75" s="153">
        <v>52161</v>
      </c>
      <c r="X75" s="100">
        <v>87873</v>
      </c>
      <c r="Y75" s="101">
        <v>55272</v>
      </c>
      <c r="Z75" s="97">
        <f>52161+0</f>
        <v>52161</v>
      </c>
      <c r="AA75" s="98">
        <v>83935</v>
      </c>
      <c r="AB75" s="99">
        <v>52981</v>
      </c>
      <c r="AC75" s="15"/>
      <c r="AD75" s="15"/>
      <c r="AE75" s="7"/>
      <c r="AF75" s="7"/>
      <c r="AG75" s="7">
        <v>9215440</v>
      </c>
      <c r="AH75" s="7">
        <v>9498627</v>
      </c>
      <c r="AI75" s="7">
        <v>9599063</v>
      </c>
      <c r="AJ75" s="7">
        <v>4642267</v>
      </c>
      <c r="AK75" s="7">
        <v>4683871</v>
      </c>
      <c r="AL75" s="7"/>
      <c r="AM75" s="7"/>
      <c r="AN75" s="7"/>
      <c r="AO75" s="7">
        <f t="shared" si="8"/>
        <v>-4642267</v>
      </c>
      <c r="AP75" s="7">
        <f t="shared" si="8"/>
        <v>-4683871</v>
      </c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>
        <v>1376693</v>
      </c>
      <c r="BE75" s="7">
        <v>1017680</v>
      </c>
      <c r="BF75" s="7"/>
      <c r="BG75" s="7"/>
      <c r="BH75" s="7"/>
      <c r="BI75" s="7">
        <v>1281010</v>
      </c>
      <c r="BJ75" s="7">
        <v>991192</v>
      </c>
      <c r="BK75" s="7">
        <v>0</v>
      </c>
      <c r="BL75" s="7">
        <v>1368515</v>
      </c>
      <c r="BM75" s="7">
        <v>1496305</v>
      </c>
      <c r="BN75" s="7">
        <v>555738</v>
      </c>
      <c r="BO75" s="7">
        <v>946667</v>
      </c>
      <c r="BP75" s="7">
        <v>996622</v>
      </c>
      <c r="BQ75" s="7">
        <v>1098784</v>
      </c>
      <c r="BR75" s="7">
        <v>1350675</v>
      </c>
      <c r="BS75" s="7"/>
      <c r="BT75" s="7"/>
      <c r="BU75" s="7"/>
      <c r="BV75" s="7"/>
      <c r="BW75" s="7"/>
      <c r="BX75" s="7"/>
      <c r="BY75" s="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9"/>
      <c r="DC75" s="39"/>
      <c r="DD75" s="39"/>
      <c r="DE75" s="39"/>
      <c r="DF75" s="39"/>
      <c r="DG75" s="39"/>
      <c r="DH75" s="39"/>
      <c r="DI75" s="39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</row>
    <row r="76" spans="1:139" x14ac:dyDescent="0.25">
      <c r="A76" s="25">
        <v>74</v>
      </c>
      <c r="B76" s="25" t="s">
        <v>268</v>
      </c>
      <c r="C76" s="170" t="s">
        <v>83</v>
      </c>
      <c r="D76" s="26" t="s">
        <v>84</v>
      </c>
      <c r="E76" s="27" t="s">
        <v>287</v>
      </c>
      <c r="F76" s="28">
        <v>1</v>
      </c>
      <c r="G76" s="25" t="s">
        <v>306</v>
      </c>
      <c r="H76" s="53">
        <v>30</v>
      </c>
      <c r="I76" s="54">
        <v>34</v>
      </c>
      <c r="J76" s="109">
        <v>32</v>
      </c>
      <c r="K76" s="131">
        <v>486291</v>
      </c>
      <c r="L76" s="61">
        <v>1491702</v>
      </c>
      <c r="M76" s="127">
        <v>1422514</v>
      </c>
      <c r="N76" s="119">
        <v>-1364310</v>
      </c>
      <c r="O76" s="54">
        <v>-264941</v>
      </c>
      <c r="P76" s="109">
        <v>-254822</v>
      </c>
      <c r="Q76" s="131">
        <f t="shared" si="9"/>
        <v>1850601</v>
      </c>
      <c r="R76" s="61">
        <f t="shared" si="10"/>
        <v>1756643</v>
      </c>
      <c r="S76" s="127">
        <f t="shared" si="11"/>
        <v>1677336</v>
      </c>
      <c r="T76" s="161">
        <v>364834</v>
      </c>
      <c r="U76" s="54">
        <v>505288</v>
      </c>
      <c r="V76" s="157">
        <v>540056</v>
      </c>
      <c r="W76" s="131">
        <v>-23933</v>
      </c>
      <c r="X76" s="61">
        <v>-18879</v>
      </c>
      <c r="Y76" s="127">
        <v>-68475</v>
      </c>
      <c r="Z76" s="119">
        <v>-23933</v>
      </c>
      <c r="AA76" s="54">
        <v>-18879</v>
      </c>
      <c r="AB76" s="51">
        <v>-68475</v>
      </c>
      <c r="AC76" s="15"/>
      <c r="AD76" s="15"/>
      <c r="AE76" s="7"/>
      <c r="AF76" s="7"/>
      <c r="AG76" s="7">
        <v>402642</v>
      </c>
      <c r="AH76" s="7">
        <v>444878</v>
      </c>
      <c r="AI76" s="7">
        <v>579609</v>
      </c>
      <c r="AJ76" s="7">
        <v>0</v>
      </c>
      <c r="AK76" s="7">
        <v>366265</v>
      </c>
      <c r="AL76" s="7"/>
      <c r="AM76" s="7"/>
      <c r="AN76" s="7"/>
      <c r="AO76" s="7">
        <f t="shared" si="8"/>
        <v>0</v>
      </c>
      <c r="AP76" s="7">
        <f t="shared" si="8"/>
        <v>-366265</v>
      </c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>
        <v>0</v>
      </c>
      <c r="BE76" s="7">
        <f>710280+180</f>
        <v>710460</v>
      </c>
      <c r="BF76" s="7"/>
      <c r="BG76" s="7"/>
      <c r="BH76" s="7"/>
      <c r="BI76" s="7">
        <v>0</v>
      </c>
      <c r="BJ76" s="7">
        <f>710280</f>
        <v>710280</v>
      </c>
      <c r="BK76" s="7">
        <v>775701</v>
      </c>
      <c r="BL76" s="7">
        <v>878505</v>
      </c>
      <c r="BM76" s="7">
        <v>1294301</v>
      </c>
      <c r="BN76" s="7">
        <v>0</v>
      </c>
      <c r="BO76" s="7">
        <f>120006+194119</f>
        <v>314125</v>
      </c>
      <c r="BP76" s="7">
        <v>770684</v>
      </c>
      <c r="BQ76" s="7">
        <v>935842</v>
      </c>
      <c r="BR76" s="7">
        <v>1319593</v>
      </c>
      <c r="BS76" s="7"/>
      <c r="BT76" s="7"/>
      <c r="BU76" s="7"/>
      <c r="BV76" s="7"/>
      <c r="BW76" s="7"/>
      <c r="BX76" s="7"/>
      <c r="BY76" s="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40"/>
      <c r="CS76" s="38"/>
      <c r="CT76" s="38"/>
      <c r="CU76" s="38"/>
      <c r="CV76" s="38"/>
      <c r="CW76" s="40"/>
      <c r="CX76" s="38"/>
      <c r="CY76" s="38"/>
      <c r="CZ76" s="38"/>
      <c r="DA76" s="38"/>
      <c r="DB76" s="39"/>
      <c r="DC76" s="39"/>
      <c r="DD76" s="39"/>
      <c r="DE76" s="39"/>
      <c r="DF76" s="39"/>
      <c r="DG76" s="39"/>
      <c r="DH76" s="39"/>
      <c r="DI76" s="39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</row>
    <row r="77" spans="1:139" x14ac:dyDescent="0.25">
      <c r="A77" s="25">
        <v>75</v>
      </c>
      <c r="B77" s="25" t="s">
        <v>268</v>
      </c>
      <c r="C77" s="170" t="s">
        <v>131</v>
      </c>
      <c r="D77" s="26" t="s">
        <v>132</v>
      </c>
      <c r="E77" s="27" t="s">
        <v>287</v>
      </c>
      <c r="F77" s="28">
        <v>1</v>
      </c>
      <c r="G77" s="25" t="s">
        <v>310</v>
      </c>
      <c r="H77" s="53">
        <v>32</v>
      </c>
      <c r="I77" s="54">
        <v>33</v>
      </c>
      <c r="J77" s="109">
        <v>33</v>
      </c>
      <c r="K77" s="131">
        <v>49247</v>
      </c>
      <c r="L77" s="61">
        <v>30315</v>
      </c>
      <c r="M77" s="127">
        <v>38947</v>
      </c>
      <c r="N77" s="119">
        <v>-952524</v>
      </c>
      <c r="O77" s="54">
        <v>-810955</v>
      </c>
      <c r="P77" s="109">
        <v>-737562</v>
      </c>
      <c r="Q77" s="131">
        <f t="shared" si="9"/>
        <v>1001771</v>
      </c>
      <c r="R77" s="61">
        <f t="shared" si="10"/>
        <v>841270</v>
      </c>
      <c r="S77" s="127">
        <f t="shared" si="11"/>
        <v>776509</v>
      </c>
      <c r="T77" s="161">
        <v>358483</v>
      </c>
      <c r="U77" s="54">
        <v>508386</v>
      </c>
      <c r="V77" s="157">
        <v>482457</v>
      </c>
      <c r="W77" s="131">
        <v>-29360</v>
      </c>
      <c r="X77" s="61">
        <v>141519</v>
      </c>
      <c r="Y77" s="127">
        <v>73392</v>
      </c>
      <c r="Z77" s="119">
        <v>-29470</v>
      </c>
      <c r="AA77" s="54">
        <v>141569</v>
      </c>
      <c r="AB77" s="51">
        <v>73392</v>
      </c>
      <c r="AC77" s="15"/>
      <c r="AD77" s="15"/>
      <c r="AE77" s="7"/>
      <c r="AF77" s="7"/>
      <c r="AG77" s="7">
        <v>16661</v>
      </c>
      <c r="AH77" s="7">
        <v>14341</v>
      </c>
      <c r="AI77" s="7">
        <v>13182</v>
      </c>
      <c r="AJ77" s="7">
        <v>2875</v>
      </c>
      <c r="AK77" s="7">
        <v>1486</v>
      </c>
      <c r="AL77" s="7"/>
      <c r="AM77" s="7"/>
      <c r="AN77" s="7"/>
      <c r="AO77" s="7">
        <f t="shared" si="8"/>
        <v>-2875</v>
      </c>
      <c r="AP77" s="7">
        <f t="shared" si="8"/>
        <v>-1486</v>
      </c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>
        <v>55401</v>
      </c>
      <c r="BE77" s="7">
        <v>55888</v>
      </c>
      <c r="BF77" s="7"/>
      <c r="BG77" s="7"/>
      <c r="BH77" s="7"/>
      <c r="BI77" s="7">
        <v>26256</v>
      </c>
      <c r="BJ77" s="7">
        <v>4050</v>
      </c>
      <c r="BK77" s="7">
        <v>18631</v>
      </c>
      <c r="BL77" s="7">
        <v>24311</v>
      </c>
      <c r="BM77" s="7">
        <v>23815</v>
      </c>
      <c r="BN77" s="7">
        <v>52565</v>
      </c>
      <c r="BO77" s="7">
        <v>57264</v>
      </c>
      <c r="BP77" s="7">
        <v>58021</v>
      </c>
      <c r="BQ77" s="7">
        <v>113019</v>
      </c>
      <c r="BR77" s="7">
        <v>95459</v>
      </c>
      <c r="BS77" s="7"/>
      <c r="BT77" s="7"/>
      <c r="BU77" s="7"/>
      <c r="BV77" s="7"/>
      <c r="BW77" s="7"/>
      <c r="BX77" s="7"/>
      <c r="BY77" s="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9"/>
      <c r="DC77" s="39"/>
      <c r="DD77" s="39"/>
      <c r="DE77" s="39"/>
      <c r="DF77" s="39"/>
      <c r="DG77" s="39"/>
      <c r="DH77" s="39"/>
      <c r="DI77" s="39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</row>
    <row r="78" spans="1:139" x14ac:dyDescent="0.25">
      <c r="A78" s="25">
        <v>76</v>
      </c>
      <c r="B78" s="25" t="s">
        <v>268</v>
      </c>
      <c r="C78" s="170" t="s">
        <v>139</v>
      </c>
      <c r="D78" s="26" t="s">
        <v>140</v>
      </c>
      <c r="E78" s="27" t="s">
        <v>287</v>
      </c>
      <c r="F78" s="28">
        <v>1</v>
      </c>
      <c r="G78" s="25" t="s">
        <v>308</v>
      </c>
      <c r="H78" s="53">
        <v>32</v>
      </c>
      <c r="I78" s="54">
        <v>32</v>
      </c>
      <c r="J78" s="109">
        <v>33</v>
      </c>
      <c r="K78" s="131">
        <v>289494</v>
      </c>
      <c r="L78" s="61">
        <v>267658</v>
      </c>
      <c r="M78" s="127">
        <v>418805</v>
      </c>
      <c r="N78" s="119">
        <v>-565119</v>
      </c>
      <c r="O78" s="54">
        <v>-462349</v>
      </c>
      <c r="P78" s="109">
        <v>-239281</v>
      </c>
      <c r="Q78" s="131">
        <f t="shared" si="9"/>
        <v>854613</v>
      </c>
      <c r="R78" s="61">
        <f t="shared" si="10"/>
        <v>730007</v>
      </c>
      <c r="S78" s="127">
        <f t="shared" si="11"/>
        <v>658086</v>
      </c>
      <c r="T78" s="161">
        <v>639279</v>
      </c>
      <c r="U78" s="54">
        <v>711760</v>
      </c>
      <c r="V78" s="157">
        <f>5904+969292</f>
        <v>975196</v>
      </c>
      <c r="W78" s="131">
        <v>149338</v>
      </c>
      <c r="X78" s="61">
        <v>102771</v>
      </c>
      <c r="Y78" s="127">
        <v>223068</v>
      </c>
      <c r="Z78" s="119">
        <v>149338</v>
      </c>
      <c r="AA78" s="54">
        <v>102771</v>
      </c>
      <c r="AB78" s="51">
        <v>223068</v>
      </c>
      <c r="AC78" s="15"/>
      <c r="AD78" s="15"/>
      <c r="AE78" s="7"/>
      <c r="AF78" s="7"/>
      <c r="AG78" s="7">
        <v>54048</v>
      </c>
      <c r="AH78" s="7">
        <v>44885</v>
      </c>
      <c r="AI78" s="7">
        <v>41751</v>
      </c>
      <c r="AJ78" s="7">
        <v>21580</v>
      </c>
      <c r="AK78" s="7">
        <v>57843</v>
      </c>
      <c r="AL78" s="7"/>
      <c r="AM78" s="7"/>
      <c r="AN78" s="7"/>
      <c r="AO78" s="7">
        <f t="shared" si="8"/>
        <v>-21580</v>
      </c>
      <c r="AP78" s="7">
        <f t="shared" si="8"/>
        <v>-57843</v>
      </c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>
        <v>84851</v>
      </c>
      <c r="BE78" s="7">
        <v>128238</v>
      </c>
      <c r="BF78" s="7"/>
      <c r="BG78" s="7"/>
      <c r="BH78" s="7"/>
      <c r="BI78" s="7">
        <v>6036</v>
      </c>
      <c r="BJ78" s="7">
        <v>1761</v>
      </c>
      <c r="BK78" s="7">
        <v>5286</v>
      </c>
      <c r="BL78" s="7">
        <v>6555</v>
      </c>
      <c r="BM78" s="7">
        <v>13136</v>
      </c>
      <c r="BN78" s="7">
        <v>73209</v>
      </c>
      <c r="BO78" s="7">
        <v>88602</v>
      </c>
      <c r="BP78" s="7">
        <v>152302</v>
      </c>
      <c r="BQ78" s="7">
        <v>171820</v>
      </c>
      <c r="BR78" s="7">
        <v>165250</v>
      </c>
      <c r="BS78" s="7"/>
      <c r="BT78" s="7"/>
      <c r="BU78" s="7"/>
      <c r="BV78" s="7"/>
      <c r="BW78" s="7"/>
      <c r="BX78" s="7"/>
      <c r="BY78" s="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9"/>
      <c r="DC78" s="39"/>
      <c r="DD78" s="39"/>
      <c r="DE78" s="39"/>
      <c r="DF78" s="39"/>
      <c r="DG78" s="39"/>
      <c r="DH78" s="39"/>
      <c r="DI78" s="39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</row>
    <row r="79" spans="1:139" x14ac:dyDescent="0.25">
      <c r="A79" s="25">
        <v>77</v>
      </c>
      <c r="B79" s="25" t="s">
        <v>274</v>
      </c>
      <c r="C79" s="170" t="s">
        <v>218</v>
      </c>
      <c r="D79" s="26" t="s">
        <v>219</v>
      </c>
      <c r="E79" s="27" t="s">
        <v>287</v>
      </c>
      <c r="F79" s="28">
        <v>1</v>
      </c>
      <c r="G79" s="25" t="s">
        <v>306</v>
      </c>
      <c r="H79" s="53">
        <v>120</v>
      </c>
      <c r="I79" s="54">
        <v>115</v>
      </c>
      <c r="J79" s="109">
        <v>122</v>
      </c>
      <c r="K79" s="131">
        <v>9645406</v>
      </c>
      <c r="L79" s="61">
        <v>9845335</v>
      </c>
      <c r="M79" s="127">
        <v>10048846</v>
      </c>
      <c r="N79" s="119">
        <v>6380512</v>
      </c>
      <c r="O79" s="54">
        <v>6462005</v>
      </c>
      <c r="P79" s="109">
        <v>6506784</v>
      </c>
      <c r="Q79" s="131">
        <f t="shared" si="9"/>
        <v>3264894</v>
      </c>
      <c r="R79" s="61">
        <f t="shared" si="10"/>
        <v>3383330</v>
      </c>
      <c r="S79" s="127">
        <f t="shared" si="11"/>
        <v>3542062</v>
      </c>
      <c r="T79" s="161">
        <v>1870928</v>
      </c>
      <c r="U79" s="54">
        <v>1946764</v>
      </c>
      <c r="V79" s="157">
        <v>1701426</v>
      </c>
      <c r="W79" s="131">
        <v>26843</v>
      </c>
      <c r="X79" s="61">
        <v>-225414</v>
      </c>
      <c r="Y79" s="127">
        <v>-76398</v>
      </c>
      <c r="Z79" s="119">
        <v>20921</v>
      </c>
      <c r="AA79" s="54">
        <v>-234909</v>
      </c>
      <c r="AB79" s="51">
        <v>-91671</v>
      </c>
      <c r="AC79" s="15"/>
      <c r="AD79" s="15"/>
      <c r="AE79" s="7"/>
      <c r="AF79" s="7"/>
      <c r="AG79" s="7">
        <v>42487</v>
      </c>
      <c r="AH79" s="7">
        <v>84874</v>
      </c>
      <c r="AI79" s="7">
        <v>76368</v>
      </c>
      <c r="AJ79" s="7">
        <v>52559</v>
      </c>
      <c r="AK79" s="7">
        <v>-19322</v>
      </c>
      <c r="AL79" s="7"/>
      <c r="AM79" s="7"/>
      <c r="AN79" s="7"/>
      <c r="AO79" s="7">
        <f t="shared" si="8"/>
        <v>-52559</v>
      </c>
      <c r="AP79" s="7">
        <f t="shared" si="8"/>
        <v>19322</v>
      </c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>
        <v>157787</v>
      </c>
      <c r="BE79" s="7">
        <v>60553</v>
      </c>
      <c r="BF79" s="7"/>
      <c r="BG79" s="7"/>
      <c r="BH79" s="7"/>
      <c r="BI79" s="7">
        <v>112761</v>
      </c>
      <c r="BJ79" s="7">
        <v>15579</v>
      </c>
      <c r="BK79" s="7">
        <v>47345</v>
      </c>
      <c r="BL79" s="7">
        <v>61691</v>
      </c>
      <c r="BM79" s="7">
        <v>78296</v>
      </c>
      <c r="BN79" s="7">
        <v>179993</v>
      </c>
      <c r="BO79" s="7">
        <v>132434</v>
      </c>
      <c r="BP79" s="7">
        <v>157159</v>
      </c>
      <c r="BQ79" s="7">
        <v>179638</v>
      </c>
      <c r="BR79" s="7">
        <v>211056</v>
      </c>
      <c r="BS79" s="7"/>
      <c r="BT79" s="7"/>
      <c r="BU79" s="7"/>
      <c r="BV79" s="7"/>
      <c r="BW79" s="7"/>
      <c r="BX79" s="7"/>
      <c r="BY79" s="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9"/>
      <c r="DC79" s="39"/>
      <c r="DD79" s="39"/>
      <c r="DE79" s="39"/>
      <c r="DF79" s="39"/>
      <c r="DG79" s="39"/>
      <c r="DH79" s="39"/>
      <c r="DI79" s="39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</row>
    <row r="80" spans="1:139" x14ac:dyDescent="0.25">
      <c r="A80" s="25">
        <v>78</v>
      </c>
      <c r="B80" s="25" t="s">
        <v>268</v>
      </c>
      <c r="C80" s="170" t="s">
        <v>40</v>
      </c>
      <c r="D80" s="26" t="s">
        <v>41</v>
      </c>
      <c r="E80" s="27" t="s">
        <v>287</v>
      </c>
      <c r="F80" s="28">
        <v>1</v>
      </c>
      <c r="G80" s="25" t="s">
        <v>306</v>
      </c>
      <c r="H80" s="53">
        <v>167</v>
      </c>
      <c r="I80" s="54">
        <v>172</v>
      </c>
      <c r="J80" s="109">
        <v>196</v>
      </c>
      <c r="K80" s="131">
        <v>2577988</v>
      </c>
      <c r="L80" s="61">
        <v>2410029</v>
      </c>
      <c r="M80" s="127">
        <v>2403804</v>
      </c>
      <c r="N80" s="119">
        <v>130343</v>
      </c>
      <c r="O80" s="54">
        <v>385358</v>
      </c>
      <c r="P80" s="109">
        <v>444942</v>
      </c>
      <c r="Q80" s="131">
        <f t="shared" si="9"/>
        <v>2447645</v>
      </c>
      <c r="R80" s="61">
        <f t="shared" si="10"/>
        <v>2024671</v>
      </c>
      <c r="S80" s="127">
        <f t="shared" si="11"/>
        <v>1958862</v>
      </c>
      <c r="T80" s="161">
        <v>2365899</v>
      </c>
      <c r="U80" s="54">
        <v>2814896</v>
      </c>
      <c r="V80" s="157">
        <v>3102296</v>
      </c>
      <c r="W80" s="131">
        <v>324911</v>
      </c>
      <c r="X80" s="61">
        <v>358200</v>
      </c>
      <c r="Y80" s="127">
        <v>59775</v>
      </c>
      <c r="Z80" s="119">
        <v>198332</v>
      </c>
      <c r="AA80" s="54">
        <v>255016</v>
      </c>
      <c r="AB80" s="51">
        <v>59584</v>
      </c>
      <c r="AC80" s="15"/>
      <c r="AD80" s="15"/>
      <c r="AE80" s="8"/>
      <c r="AF80" s="8"/>
      <c r="AG80" s="8" t="s">
        <v>5</v>
      </c>
      <c r="AH80" s="8" t="s">
        <v>5</v>
      </c>
      <c r="AI80" s="8" t="s">
        <v>5</v>
      </c>
      <c r="AJ80" s="8" t="s">
        <v>5</v>
      </c>
      <c r="AK80" s="8" t="s">
        <v>5</v>
      </c>
      <c r="AL80" s="8"/>
      <c r="AM80" s="8"/>
      <c r="AN80" s="8"/>
      <c r="AO80" s="8" t="s">
        <v>5</v>
      </c>
      <c r="AP80" s="8" t="s">
        <v>5</v>
      </c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 t="s">
        <v>5</v>
      </c>
      <c r="BE80" s="8" t="s">
        <v>5</v>
      </c>
      <c r="BF80" s="8"/>
      <c r="BG80" s="8"/>
      <c r="BH80" s="8"/>
      <c r="BI80" s="8" t="s">
        <v>5</v>
      </c>
      <c r="BJ80" s="8" t="s">
        <v>5</v>
      </c>
      <c r="BK80" s="8" t="s">
        <v>5</v>
      </c>
      <c r="BL80" s="8" t="s">
        <v>5</v>
      </c>
      <c r="BM80" s="8" t="s">
        <v>5</v>
      </c>
      <c r="BN80" s="8" t="s">
        <v>5</v>
      </c>
      <c r="BO80" s="8" t="s">
        <v>5</v>
      </c>
      <c r="BP80" s="8" t="s">
        <v>5</v>
      </c>
      <c r="BQ80" s="8" t="s">
        <v>5</v>
      </c>
      <c r="BR80" s="8" t="s">
        <v>5</v>
      </c>
      <c r="BS80" s="8"/>
      <c r="BT80" s="8"/>
      <c r="BU80" s="8"/>
      <c r="BV80" s="8"/>
      <c r="BW80" s="8"/>
      <c r="BX80" s="8"/>
      <c r="BY80" s="8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39"/>
      <c r="DC80" s="39"/>
      <c r="DD80" s="39"/>
      <c r="DE80" s="39"/>
      <c r="DF80" s="39"/>
      <c r="DG80" s="39"/>
      <c r="DH80" s="39"/>
      <c r="DI80" s="39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</row>
    <row r="81" spans="1:139" ht="15.75" thickBot="1" x14ac:dyDescent="0.3">
      <c r="A81" s="80">
        <v>79</v>
      </c>
      <c r="B81" s="80" t="s">
        <v>268</v>
      </c>
      <c r="C81" s="172" t="s">
        <v>54</v>
      </c>
      <c r="D81" s="81" t="s">
        <v>55</v>
      </c>
      <c r="E81" s="82" t="s">
        <v>287</v>
      </c>
      <c r="F81" s="83">
        <v>1</v>
      </c>
      <c r="G81" s="80" t="s">
        <v>306</v>
      </c>
      <c r="H81" s="66">
        <v>29</v>
      </c>
      <c r="I81" s="67">
        <v>25</v>
      </c>
      <c r="J81" s="114">
        <v>33</v>
      </c>
      <c r="K81" s="136">
        <v>363099</v>
      </c>
      <c r="L81" s="69">
        <v>521790</v>
      </c>
      <c r="M81" s="137">
        <v>364382</v>
      </c>
      <c r="N81" s="122">
        <v>-212599</v>
      </c>
      <c r="O81" s="67">
        <v>-8177</v>
      </c>
      <c r="P81" s="114">
        <v>-182879</v>
      </c>
      <c r="Q81" s="136">
        <f t="shared" si="9"/>
        <v>575698</v>
      </c>
      <c r="R81" s="69">
        <f t="shared" si="10"/>
        <v>529967</v>
      </c>
      <c r="S81" s="137">
        <f t="shared" si="11"/>
        <v>547261</v>
      </c>
      <c r="T81" s="166">
        <v>496695</v>
      </c>
      <c r="U81" s="67">
        <v>481360</v>
      </c>
      <c r="V81" s="167">
        <v>500003</v>
      </c>
      <c r="W81" s="136">
        <v>60589</v>
      </c>
      <c r="X81" s="69">
        <v>65237</v>
      </c>
      <c r="Y81" s="137">
        <v>-30570</v>
      </c>
      <c r="Z81" s="122">
        <v>59474</v>
      </c>
      <c r="AA81" s="67">
        <v>60740</v>
      </c>
      <c r="AB81" s="68">
        <v>-31019</v>
      </c>
      <c r="AC81" s="15"/>
      <c r="AD81" s="15"/>
      <c r="AE81" s="7"/>
      <c r="AF81" s="7"/>
      <c r="AG81" s="7">
        <v>500857</v>
      </c>
      <c r="AH81" s="7">
        <v>692885</v>
      </c>
      <c r="AI81" s="7">
        <v>1285727</v>
      </c>
      <c r="AJ81" s="7">
        <v>255368</v>
      </c>
      <c r="AK81" s="7">
        <v>-191969</v>
      </c>
      <c r="AL81" s="7"/>
      <c r="AM81" s="7"/>
      <c r="AN81" s="7"/>
      <c r="AO81" s="7">
        <f t="shared" si="8"/>
        <v>-255368</v>
      </c>
      <c r="AP81" s="7">
        <f t="shared" si="8"/>
        <v>191969</v>
      </c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>
        <v>2258283</v>
      </c>
      <c r="BE81" s="7">
        <f>864327+32875</f>
        <v>897202</v>
      </c>
      <c r="BF81" s="7"/>
      <c r="BG81" s="7"/>
      <c r="BH81" s="7"/>
      <c r="BI81" s="7">
        <v>2225866</v>
      </c>
      <c r="BJ81" s="7">
        <f>864327</f>
        <v>864327</v>
      </c>
      <c r="BK81" s="7">
        <v>1704085</v>
      </c>
      <c r="BL81" s="7">
        <v>2229858</v>
      </c>
      <c r="BM81" s="7">
        <v>2904885</v>
      </c>
      <c r="BN81" s="7">
        <v>2262388</v>
      </c>
      <c r="BO81" s="7">
        <f>276008+1061555+300</f>
        <v>1337863</v>
      </c>
      <c r="BP81" s="7">
        <v>1557566</v>
      </c>
      <c r="BQ81" s="7">
        <v>1936194</v>
      </c>
      <c r="BR81" s="7">
        <v>2460689</v>
      </c>
      <c r="BS81" s="7"/>
      <c r="BT81" s="7"/>
      <c r="BU81" s="7"/>
      <c r="BV81" s="7"/>
      <c r="BW81" s="7"/>
      <c r="BX81" s="7"/>
      <c r="BY81" s="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9"/>
      <c r="DC81" s="39"/>
      <c r="DD81" s="39"/>
      <c r="DE81" s="39"/>
      <c r="DF81" s="39"/>
      <c r="DG81" s="39"/>
      <c r="DH81" s="39"/>
      <c r="DI81" s="39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</row>
    <row r="82" spans="1:139" x14ac:dyDescent="0.25">
      <c r="A82" s="70">
        <v>80</v>
      </c>
      <c r="B82" s="70" t="s">
        <v>262</v>
      </c>
      <c r="C82" s="171" t="s">
        <v>10</v>
      </c>
      <c r="D82" s="71" t="s">
        <v>11</v>
      </c>
      <c r="E82" s="72" t="s">
        <v>287</v>
      </c>
      <c r="F82" s="73">
        <v>1</v>
      </c>
      <c r="G82" s="70" t="s">
        <v>298</v>
      </c>
      <c r="H82" s="97">
        <v>51</v>
      </c>
      <c r="I82" s="98">
        <v>54</v>
      </c>
      <c r="J82" s="113">
        <v>55</v>
      </c>
      <c r="K82" s="134">
        <v>1293488</v>
      </c>
      <c r="L82" s="100">
        <v>909783</v>
      </c>
      <c r="M82" s="135">
        <v>1738593</v>
      </c>
      <c r="N82" s="121">
        <v>141633</v>
      </c>
      <c r="O82" s="98">
        <v>74521</v>
      </c>
      <c r="P82" s="113">
        <v>99984</v>
      </c>
      <c r="Q82" s="134">
        <f t="shared" si="9"/>
        <v>1151855</v>
      </c>
      <c r="R82" s="100">
        <f t="shared" si="10"/>
        <v>835262</v>
      </c>
      <c r="S82" s="135">
        <f t="shared" si="11"/>
        <v>1638609</v>
      </c>
      <c r="T82" s="164">
        <v>1069091</v>
      </c>
      <c r="U82" s="98">
        <v>1126566</v>
      </c>
      <c r="V82" s="165">
        <v>1144877</v>
      </c>
      <c r="W82" s="134">
        <v>6689</v>
      </c>
      <c r="X82" s="100">
        <v>-70948</v>
      </c>
      <c r="Y82" s="135">
        <v>36376</v>
      </c>
      <c r="Z82" s="121">
        <v>6369</v>
      </c>
      <c r="AA82" s="98">
        <v>-64083</v>
      </c>
      <c r="AB82" s="99">
        <v>34923</v>
      </c>
      <c r="AC82" s="15">
        <v>6</v>
      </c>
      <c r="AD82" s="15">
        <v>6</v>
      </c>
      <c r="AE82" s="7"/>
      <c r="AF82" s="7"/>
      <c r="AG82" s="7">
        <v>13971</v>
      </c>
      <c r="AH82" s="7">
        <v>8012</v>
      </c>
      <c r="AI82" s="7">
        <v>20084</v>
      </c>
      <c r="AJ82" s="7">
        <v>-17242</v>
      </c>
      <c r="AK82" s="7">
        <v>-40088</v>
      </c>
      <c r="AL82" s="7"/>
      <c r="AM82" s="7"/>
      <c r="AN82" s="7"/>
      <c r="AO82" s="7">
        <f t="shared" si="8"/>
        <v>17242</v>
      </c>
      <c r="AP82" s="7">
        <f t="shared" si="8"/>
        <v>40088</v>
      </c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>
        <v>96519</v>
      </c>
      <c r="BE82" s="7">
        <v>78888</v>
      </c>
      <c r="BF82" s="7"/>
      <c r="BG82" s="7"/>
      <c r="BH82" s="7"/>
      <c r="BI82" s="7">
        <v>93519</v>
      </c>
      <c r="BJ82" s="7">
        <v>0</v>
      </c>
      <c r="BK82" s="7">
        <v>80954</v>
      </c>
      <c r="BL82" s="7">
        <v>83573</v>
      </c>
      <c r="BM82" s="7">
        <v>115152</v>
      </c>
      <c r="BN82" s="7">
        <v>129311</v>
      </c>
      <c r="BO82" s="7">
        <v>101733</v>
      </c>
      <c r="BP82" s="7">
        <v>110467</v>
      </c>
      <c r="BQ82" s="7">
        <v>141944</v>
      </c>
      <c r="BR82" s="7">
        <v>133047</v>
      </c>
      <c r="BS82" s="7"/>
      <c r="BT82" s="7"/>
      <c r="BU82" s="7"/>
      <c r="BV82" s="7"/>
      <c r="BW82" s="7"/>
      <c r="BX82" s="7"/>
      <c r="BY82" s="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9"/>
      <c r="DC82" s="39"/>
      <c r="DD82" s="39"/>
      <c r="DE82" s="39"/>
      <c r="DF82" s="39"/>
      <c r="DG82" s="39"/>
      <c r="DH82" s="39"/>
      <c r="DI82" s="39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</row>
    <row r="83" spans="1:139" x14ac:dyDescent="0.25">
      <c r="A83" s="25">
        <v>81</v>
      </c>
      <c r="B83" s="25" t="s">
        <v>262</v>
      </c>
      <c r="C83" s="170" t="s">
        <v>22</v>
      </c>
      <c r="D83" s="26" t="s">
        <v>23</v>
      </c>
      <c r="E83" s="27" t="s">
        <v>287</v>
      </c>
      <c r="F83" s="28">
        <v>1</v>
      </c>
      <c r="G83" s="25" t="s">
        <v>299</v>
      </c>
      <c r="H83" s="53">
        <v>97</v>
      </c>
      <c r="I83" s="54">
        <v>98</v>
      </c>
      <c r="J83" s="109">
        <v>102</v>
      </c>
      <c r="K83" s="131">
        <v>2145434</v>
      </c>
      <c r="L83" s="61">
        <v>2405266</v>
      </c>
      <c r="M83" s="127">
        <v>2604771</v>
      </c>
      <c r="N83" s="119">
        <v>1890751</v>
      </c>
      <c r="O83" s="54">
        <v>1774110</v>
      </c>
      <c r="P83" s="109">
        <v>1963113</v>
      </c>
      <c r="Q83" s="131">
        <f t="shared" si="9"/>
        <v>254683</v>
      </c>
      <c r="R83" s="61">
        <f t="shared" si="10"/>
        <v>631156</v>
      </c>
      <c r="S83" s="127">
        <f t="shared" si="11"/>
        <v>641658</v>
      </c>
      <c r="T83" s="161">
        <v>2980264</v>
      </c>
      <c r="U83" s="54">
        <v>3281038</v>
      </c>
      <c r="V83" s="157">
        <v>2840876</v>
      </c>
      <c r="W83" s="131">
        <v>248508</v>
      </c>
      <c r="X83" s="61">
        <v>230502</v>
      </c>
      <c r="Y83" s="127">
        <v>209340</v>
      </c>
      <c r="Z83" s="119">
        <v>225630</v>
      </c>
      <c r="AA83" s="54">
        <v>205151</v>
      </c>
      <c r="AB83" s="51">
        <v>189351</v>
      </c>
      <c r="AC83" s="15">
        <v>6</v>
      </c>
      <c r="AD83" s="15">
        <v>6</v>
      </c>
      <c r="AE83" s="7"/>
      <c r="AF83" s="7"/>
      <c r="AG83" s="7">
        <v>111715</v>
      </c>
      <c r="AH83" s="7">
        <v>124640</v>
      </c>
      <c r="AI83" s="7">
        <v>130530</v>
      </c>
      <c r="AJ83" s="7">
        <v>-52028</v>
      </c>
      <c r="AK83" s="7">
        <v>-130933</v>
      </c>
      <c r="AL83" s="7"/>
      <c r="AM83" s="7"/>
      <c r="AN83" s="7"/>
      <c r="AO83" s="7">
        <f t="shared" si="8"/>
        <v>52028</v>
      </c>
      <c r="AP83" s="7">
        <f t="shared" si="8"/>
        <v>130933</v>
      </c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>
        <v>229098</v>
      </c>
      <c r="BE83" s="7">
        <v>134110</v>
      </c>
      <c r="BF83" s="7"/>
      <c r="BG83" s="7"/>
      <c r="BH83" s="7"/>
      <c r="BI83" s="7">
        <v>212814</v>
      </c>
      <c r="BJ83" s="7">
        <v>133890</v>
      </c>
      <c r="BK83" s="7">
        <v>177564</v>
      </c>
      <c r="BL83" s="7">
        <v>228559</v>
      </c>
      <c r="BM83" s="7">
        <v>241274</v>
      </c>
      <c r="BN83" s="7">
        <v>224029</v>
      </c>
      <c r="BO83" s="7">
        <v>208720</v>
      </c>
      <c r="BP83" s="7">
        <v>217912</v>
      </c>
      <c r="BQ83" s="7">
        <v>260688</v>
      </c>
      <c r="BR83" s="7">
        <v>273444</v>
      </c>
      <c r="BS83" s="7"/>
      <c r="BT83" s="7"/>
      <c r="BU83" s="7"/>
      <c r="BV83" s="7"/>
      <c r="BW83" s="7"/>
      <c r="BX83" s="7"/>
      <c r="BY83" s="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9"/>
      <c r="DC83" s="39"/>
      <c r="DD83" s="39"/>
      <c r="DE83" s="39"/>
      <c r="DF83" s="39"/>
      <c r="DG83" s="39"/>
      <c r="DH83" s="39"/>
      <c r="DI83" s="39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</row>
    <row r="84" spans="1:139" x14ac:dyDescent="0.25">
      <c r="A84" s="25">
        <v>82</v>
      </c>
      <c r="B84" s="25" t="s">
        <v>262</v>
      </c>
      <c r="C84" s="170" t="s">
        <v>44</v>
      </c>
      <c r="D84" s="26" t="s">
        <v>45</v>
      </c>
      <c r="E84" s="27" t="s">
        <v>287</v>
      </c>
      <c r="F84" s="28">
        <v>1</v>
      </c>
      <c r="G84" s="25" t="s">
        <v>306</v>
      </c>
      <c r="H84" s="53">
        <v>162</v>
      </c>
      <c r="I84" s="54">
        <v>173</v>
      </c>
      <c r="J84" s="109">
        <v>190</v>
      </c>
      <c r="K84" s="131">
        <v>21094234</v>
      </c>
      <c r="L84" s="61">
        <v>18147433</v>
      </c>
      <c r="M84" s="127">
        <v>18248186</v>
      </c>
      <c r="N84" s="119">
        <v>11204192</v>
      </c>
      <c r="O84" s="54">
        <v>8906498</v>
      </c>
      <c r="P84" s="109">
        <v>8821779</v>
      </c>
      <c r="Q84" s="131">
        <f t="shared" si="9"/>
        <v>9890042</v>
      </c>
      <c r="R84" s="61">
        <f t="shared" si="10"/>
        <v>9240935</v>
      </c>
      <c r="S84" s="127">
        <f t="shared" si="11"/>
        <v>9426407</v>
      </c>
      <c r="T84" s="161">
        <v>5783356</v>
      </c>
      <c r="U84" s="54">
        <v>6163395</v>
      </c>
      <c r="V84" s="157">
        <v>6250779</v>
      </c>
      <c r="W84" s="131">
        <v>549600</v>
      </c>
      <c r="X84" s="61">
        <v>489350</v>
      </c>
      <c r="Y84" s="127">
        <v>313023</v>
      </c>
      <c r="Z84" s="119">
        <v>441078</v>
      </c>
      <c r="AA84" s="54">
        <v>698804</v>
      </c>
      <c r="AB84" s="51">
        <v>301792</v>
      </c>
      <c r="AC84" s="15"/>
      <c r="AD84" s="15"/>
      <c r="AE84" s="7"/>
      <c r="AF84" s="7"/>
      <c r="AG84" s="7">
        <v>282972</v>
      </c>
      <c r="AH84" s="7">
        <v>451145</v>
      </c>
      <c r="AI84" s="7">
        <v>631973</v>
      </c>
      <c r="AJ84" s="7">
        <v>375184</v>
      </c>
      <c r="AK84" s="7">
        <v>174702</v>
      </c>
      <c r="AL84" s="7"/>
      <c r="AM84" s="7"/>
      <c r="AN84" s="7"/>
      <c r="AO84" s="7">
        <f t="shared" si="8"/>
        <v>-375184</v>
      </c>
      <c r="AP84" s="7">
        <f t="shared" si="8"/>
        <v>-174702</v>
      </c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>
        <v>684137</v>
      </c>
      <c r="BE84" s="7">
        <v>367390</v>
      </c>
      <c r="BF84" s="7"/>
      <c r="BG84" s="7"/>
      <c r="BH84" s="7"/>
      <c r="BI84" s="7">
        <v>682390</v>
      </c>
      <c r="BJ84" s="7">
        <v>366021</v>
      </c>
      <c r="BK84" s="7">
        <v>514309</v>
      </c>
      <c r="BL84" s="7">
        <v>620982</v>
      </c>
      <c r="BM84" s="7">
        <v>754792</v>
      </c>
      <c r="BN84" s="7">
        <v>405083</v>
      </c>
      <c r="BO84" s="7">
        <v>418390</v>
      </c>
      <c r="BP84" s="7">
        <v>425165</v>
      </c>
      <c r="BQ84" s="7">
        <v>451529</v>
      </c>
      <c r="BR84" s="7">
        <v>560084</v>
      </c>
      <c r="BS84" s="7"/>
      <c r="BT84" s="7"/>
      <c r="BU84" s="7"/>
      <c r="BV84" s="7"/>
      <c r="BW84" s="7"/>
      <c r="BX84" s="7"/>
      <c r="BY84" s="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9"/>
      <c r="DC84" s="39"/>
      <c r="DD84" s="39"/>
      <c r="DE84" s="39"/>
      <c r="DF84" s="39"/>
      <c r="DG84" s="39"/>
      <c r="DH84" s="39"/>
      <c r="DI84" s="39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</row>
    <row r="85" spans="1:139" x14ac:dyDescent="0.25">
      <c r="A85" s="25">
        <v>83</v>
      </c>
      <c r="B85" s="25" t="s">
        <v>262</v>
      </c>
      <c r="C85" s="170" t="s">
        <v>85</v>
      </c>
      <c r="D85" s="26" t="s">
        <v>86</v>
      </c>
      <c r="E85" s="27" t="s">
        <v>287</v>
      </c>
      <c r="F85" s="28">
        <v>1</v>
      </c>
      <c r="G85" s="25" t="s">
        <v>306</v>
      </c>
      <c r="H85" s="53">
        <v>96</v>
      </c>
      <c r="I85" s="54">
        <v>104</v>
      </c>
      <c r="J85" s="109">
        <v>120</v>
      </c>
      <c r="K85" s="131">
        <v>8309583</v>
      </c>
      <c r="L85" s="61">
        <v>7997850</v>
      </c>
      <c r="M85" s="127">
        <v>7922004</v>
      </c>
      <c r="N85" s="119">
        <v>2174115</v>
      </c>
      <c r="O85" s="54">
        <v>2813928</v>
      </c>
      <c r="P85" s="109">
        <v>3351660</v>
      </c>
      <c r="Q85" s="131">
        <f t="shared" si="9"/>
        <v>6135468</v>
      </c>
      <c r="R85" s="61">
        <f t="shared" si="10"/>
        <v>5183922</v>
      </c>
      <c r="S85" s="127">
        <f t="shared" si="11"/>
        <v>4570344</v>
      </c>
      <c r="T85" s="161">
        <v>4762308</v>
      </c>
      <c r="U85" s="54">
        <v>5572328</v>
      </c>
      <c r="V85" s="157">
        <v>5767511</v>
      </c>
      <c r="W85" s="131">
        <v>23111</v>
      </c>
      <c r="X85" s="61">
        <v>514045</v>
      </c>
      <c r="Y85" s="127">
        <v>586667</v>
      </c>
      <c r="Z85" s="119">
        <v>3476</v>
      </c>
      <c r="AA85" s="54">
        <v>414978</v>
      </c>
      <c r="AB85" s="51">
        <v>481273</v>
      </c>
      <c r="AC85" s="15"/>
      <c r="AD85" s="15"/>
      <c r="AE85" s="7"/>
      <c r="AF85" s="7"/>
      <c r="AG85" s="7">
        <v>4878251</v>
      </c>
      <c r="AH85" s="7">
        <v>4952948</v>
      </c>
      <c r="AI85" s="7">
        <v>4810143</v>
      </c>
      <c r="AJ85" s="7">
        <v>420245</v>
      </c>
      <c r="AK85" s="7">
        <v>235426</v>
      </c>
      <c r="AL85" s="7"/>
      <c r="AM85" s="7"/>
      <c r="AN85" s="7"/>
      <c r="AO85" s="7">
        <f t="shared" si="8"/>
        <v>-420245</v>
      </c>
      <c r="AP85" s="7">
        <f t="shared" si="8"/>
        <v>-235426</v>
      </c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>
        <v>510477</v>
      </c>
      <c r="BE85" s="7">
        <v>311669</v>
      </c>
      <c r="BF85" s="7"/>
      <c r="BG85" s="7"/>
      <c r="BH85" s="7"/>
      <c r="BI85" s="7">
        <v>504258</v>
      </c>
      <c r="BJ85" s="7">
        <v>301611</v>
      </c>
      <c r="BK85" s="7">
        <v>507261</v>
      </c>
      <c r="BL85" s="7">
        <f>412976+424213+34111</f>
        <v>871300</v>
      </c>
      <c r="BM85" s="7">
        <f>518045+531475+39611</f>
        <v>1089131</v>
      </c>
      <c r="BN85" s="7">
        <v>576330</v>
      </c>
      <c r="BO85" s="7">
        <v>497183</v>
      </c>
      <c r="BP85" s="7">
        <v>582914</v>
      </c>
      <c r="BQ85" s="7">
        <f>412976+424213+34111</f>
        <v>871300</v>
      </c>
      <c r="BR85" s="7">
        <f>518045+531475+39611</f>
        <v>1089131</v>
      </c>
      <c r="BS85" s="7"/>
      <c r="BT85" s="7"/>
      <c r="BU85" s="7"/>
      <c r="BV85" s="7"/>
      <c r="BW85" s="7"/>
      <c r="BX85" s="7"/>
      <c r="BY85" s="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9"/>
      <c r="DC85" s="39"/>
      <c r="DD85" s="39"/>
      <c r="DE85" s="39"/>
      <c r="DF85" s="39"/>
      <c r="DG85" s="39"/>
      <c r="DH85" s="39"/>
      <c r="DI85" s="39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</row>
    <row r="86" spans="1:139" x14ac:dyDescent="0.25">
      <c r="A86" s="25">
        <v>84</v>
      </c>
      <c r="B86" s="25" t="s">
        <v>262</v>
      </c>
      <c r="C86" s="170" t="s">
        <v>133</v>
      </c>
      <c r="D86" s="26" t="s">
        <v>134</v>
      </c>
      <c r="E86" s="27" t="s">
        <v>287</v>
      </c>
      <c r="F86" s="28">
        <v>1</v>
      </c>
      <c r="G86" s="25" t="s">
        <v>310</v>
      </c>
      <c r="H86" s="53">
        <v>80</v>
      </c>
      <c r="I86" s="54">
        <v>53</v>
      </c>
      <c r="J86" s="109">
        <v>79</v>
      </c>
      <c r="K86" s="131">
        <v>986599</v>
      </c>
      <c r="L86" s="61">
        <v>931686</v>
      </c>
      <c r="M86" s="127">
        <v>870544</v>
      </c>
      <c r="N86" s="119">
        <v>866644</v>
      </c>
      <c r="O86" s="54">
        <v>706194</v>
      </c>
      <c r="P86" s="109">
        <v>664077</v>
      </c>
      <c r="Q86" s="131">
        <f t="shared" si="9"/>
        <v>119955</v>
      </c>
      <c r="R86" s="61">
        <f t="shared" si="10"/>
        <v>225492</v>
      </c>
      <c r="S86" s="127">
        <f t="shared" si="11"/>
        <v>206467</v>
      </c>
      <c r="T86" s="161">
        <v>1080697</v>
      </c>
      <c r="U86" s="54">
        <v>1909577</v>
      </c>
      <c r="V86" s="157">
        <v>1781749</v>
      </c>
      <c r="W86" s="131">
        <v>875</v>
      </c>
      <c r="X86" s="61">
        <v>-137006</v>
      </c>
      <c r="Y86" s="127">
        <v>-40840</v>
      </c>
      <c r="Z86" s="119">
        <v>12341</v>
      </c>
      <c r="AA86" s="54">
        <v>-137239</v>
      </c>
      <c r="AB86" s="51">
        <v>-42117</v>
      </c>
      <c r="AC86" s="15"/>
      <c r="AD86" s="15"/>
      <c r="AE86" s="7"/>
      <c r="AF86" s="7"/>
      <c r="AG86" s="7">
        <v>8335</v>
      </c>
      <c r="AH86" s="7">
        <v>27589</v>
      </c>
      <c r="AI86" s="7">
        <v>143594</v>
      </c>
      <c r="AJ86" s="7">
        <v>-16144</v>
      </c>
      <c r="AK86" s="7">
        <v>-39615</v>
      </c>
      <c r="AL86" s="7"/>
      <c r="AM86" s="7"/>
      <c r="AN86" s="7"/>
      <c r="AO86" s="7">
        <f t="shared" si="8"/>
        <v>16144</v>
      </c>
      <c r="AP86" s="7">
        <f t="shared" si="8"/>
        <v>39615</v>
      </c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>
        <v>124199</v>
      </c>
      <c r="BE86" s="7">
        <v>121062</v>
      </c>
      <c r="BF86" s="7"/>
      <c r="BG86" s="7"/>
      <c r="BH86" s="7"/>
      <c r="BI86" s="7">
        <v>62289</v>
      </c>
      <c r="BJ86" s="7">
        <v>65430</v>
      </c>
      <c r="BK86" s="7">
        <v>98618</v>
      </c>
      <c r="BL86" s="7">
        <v>159725</v>
      </c>
      <c r="BM86" s="7">
        <v>241215</v>
      </c>
      <c r="BN86" s="7">
        <v>143163</v>
      </c>
      <c r="BO86" s="7">
        <v>144533</v>
      </c>
      <c r="BP86" s="7">
        <v>178216</v>
      </c>
      <c r="BQ86" s="7">
        <v>188814</v>
      </c>
      <c r="BR86" s="7">
        <v>232734</v>
      </c>
      <c r="BS86" s="7"/>
      <c r="BT86" s="7"/>
      <c r="BU86" s="7"/>
      <c r="BV86" s="7"/>
      <c r="BW86" s="7"/>
      <c r="BX86" s="7"/>
      <c r="BY86" s="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9"/>
      <c r="DC86" s="39"/>
      <c r="DD86" s="39"/>
      <c r="DE86" s="39"/>
      <c r="DF86" s="39"/>
      <c r="DG86" s="39"/>
      <c r="DH86" s="39"/>
      <c r="DI86" s="39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</row>
    <row r="87" spans="1:139" x14ac:dyDescent="0.25">
      <c r="A87" s="25">
        <v>85</v>
      </c>
      <c r="B87" s="25" t="s">
        <v>262</v>
      </c>
      <c r="C87" s="170" t="s">
        <v>172</v>
      </c>
      <c r="D87" s="26" t="s">
        <v>173</v>
      </c>
      <c r="E87" s="27" t="s">
        <v>287</v>
      </c>
      <c r="F87" s="28">
        <v>1</v>
      </c>
      <c r="G87" s="25" t="s">
        <v>308</v>
      </c>
      <c r="H87" s="53">
        <v>132</v>
      </c>
      <c r="I87" s="54">
        <v>136</v>
      </c>
      <c r="J87" s="109">
        <v>135</v>
      </c>
      <c r="K87" s="131">
        <v>1853882</v>
      </c>
      <c r="L87" s="61">
        <v>1979044</v>
      </c>
      <c r="M87" s="127">
        <v>1444301</v>
      </c>
      <c r="N87" s="119">
        <v>1368917</v>
      </c>
      <c r="O87" s="54">
        <v>1493387</v>
      </c>
      <c r="P87" s="109">
        <v>931702</v>
      </c>
      <c r="Q87" s="131">
        <f t="shared" si="9"/>
        <v>484965</v>
      </c>
      <c r="R87" s="61">
        <f t="shared" si="10"/>
        <v>485657</v>
      </c>
      <c r="S87" s="127">
        <f t="shared" si="11"/>
        <v>512599</v>
      </c>
      <c r="T87" s="161">
        <v>2317282</v>
      </c>
      <c r="U87" s="54">
        <v>2534350</v>
      </c>
      <c r="V87" s="157">
        <v>2449180</v>
      </c>
      <c r="W87" s="131">
        <v>200634</v>
      </c>
      <c r="X87" s="61">
        <v>363879</v>
      </c>
      <c r="Y87" s="127">
        <v>430030</v>
      </c>
      <c r="Z87" s="119">
        <v>168990</v>
      </c>
      <c r="AA87" s="54">
        <v>239567</v>
      </c>
      <c r="AB87" s="51">
        <v>71551</v>
      </c>
      <c r="AC87" s="15"/>
      <c r="AD87" s="15"/>
      <c r="AE87" s="7"/>
      <c r="AF87" s="7"/>
      <c r="AG87" s="7">
        <v>1853882</v>
      </c>
      <c r="AH87" s="7">
        <v>1979044</v>
      </c>
      <c r="AI87" s="7">
        <v>1444301</v>
      </c>
      <c r="AJ87" s="7">
        <v>714665</v>
      </c>
      <c r="AK87" s="7">
        <v>838941</v>
      </c>
      <c r="AL87" s="7"/>
      <c r="AM87" s="7"/>
      <c r="AN87" s="7"/>
      <c r="AO87" s="7">
        <f t="shared" si="8"/>
        <v>-714665</v>
      </c>
      <c r="AP87" s="7">
        <f t="shared" si="8"/>
        <v>-838941</v>
      </c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>
        <v>1699476</v>
      </c>
      <c r="BE87" s="7">
        <v>1644601</v>
      </c>
      <c r="BF87" s="7"/>
      <c r="BG87" s="7"/>
      <c r="BH87" s="7"/>
      <c r="BI87" s="7">
        <v>1481706</v>
      </c>
      <c r="BJ87" s="7">
        <v>1405252</v>
      </c>
      <c r="BK87" s="7">
        <v>1663137</v>
      </c>
      <c r="BL87" s="7">
        <v>2043631</v>
      </c>
      <c r="BM87" s="7">
        <v>2345062</v>
      </c>
      <c r="BN87" s="7">
        <v>1438087</v>
      </c>
      <c r="BO87" s="7">
        <v>1515017</v>
      </c>
      <c r="BP87" s="7">
        <v>2120838</v>
      </c>
      <c r="BQ87" s="7">
        <v>2211596</v>
      </c>
      <c r="BR87" s="7">
        <v>2323770</v>
      </c>
      <c r="BS87" s="7"/>
      <c r="BT87" s="7"/>
      <c r="BU87" s="7"/>
      <c r="BV87" s="7"/>
      <c r="BW87" s="7"/>
      <c r="BX87" s="7"/>
      <c r="BY87" s="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9"/>
      <c r="DC87" s="39"/>
      <c r="DD87" s="39"/>
      <c r="DE87" s="39"/>
      <c r="DF87" s="39"/>
      <c r="DG87" s="39"/>
      <c r="DH87" s="39"/>
      <c r="DI87" s="39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</row>
    <row r="88" spans="1:139" x14ac:dyDescent="0.25">
      <c r="A88" s="25">
        <v>86</v>
      </c>
      <c r="B88" s="25" t="s">
        <v>262</v>
      </c>
      <c r="C88" s="170" t="s">
        <v>186</v>
      </c>
      <c r="D88" s="26" t="s">
        <v>187</v>
      </c>
      <c r="E88" s="27" t="s">
        <v>287</v>
      </c>
      <c r="F88" s="28">
        <v>1</v>
      </c>
      <c r="G88" s="25" t="s">
        <v>308</v>
      </c>
      <c r="H88" s="53">
        <v>98</v>
      </c>
      <c r="I88" s="54">
        <v>136</v>
      </c>
      <c r="J88" s="109">
        <v>209</v>
      </c>
      <c r="K88" s="131">
        <v>5672573</v>
      </c>
      <c r="L88" s="61">
        <v>6345792</v>
      </c>
      <c r="M88" s="127">
        <v>7120067</v>
      </c>
      <c r="N88" s="119">
        <v>4303474</v>
      </c>
      <c r="O88" s="54">
        <v>4369742</v>
      </c>
      <c r="P88" s="109">
        <v>4256046</v>
      </c>
      <c r="Q88" s="131">
        <f t="shared" si="9"/>
        <v>1369099</v>
      </c>
      <c r="R88" s="61">
        <f t="shared" si="10"/>
        <v>1976050</v>
      </c>
      <c r="S88" s="127">
        <f t="shared" si="11"/>
        <v>2864021</v>
      </c>
      <c r="T88" s="161">
        <v>6463627</v>
      </c>
      <c r="U88" s="54">
        <v>7472524</v>
      </c>
      <c r="V88" s="157">
        <v>9017070</v>
      </c>
      <c r="W88" s="131">
        <v>36616</v>
      </c>
      <c r="X88" s="61">
        <v>83372</v>
      </c>
      <c r="Y88" s="127">
        <v>458381</v>
      </c>
      <c r="Z88" s="119">
        <v>25873</v>
      </c>
      <c r="AA88" s="54">
        <v>65441</v>
      </c>
      <c r="AB88" s="51">
        <v>141192</v>
      </c>
      <c r="AC88" s="15"/>
      <c r="AD88" s="15"/>
      <c r="AE88" s="7"/>
      <c r="AF88" s="7"/>
      <c r="AG88" s="7">
        <v>91817</v>
      </c>
      <c r="AH88" s="7">
        <v>114943</v>
      </c>
      <c r="AI88" s="7">
        <v>95135</v>
      </c>
      <c r="AJ88" s="7">
        <v>29096</v>
      </c>
      <c r="AK88" s="7">
        <v>15362</v>
      </c>
      <c r="AL88" s="7"/>
      <c r="AM88" s="7"/>
      <c r="AN88" s="7"/>
      <c r="AO88" s="7">
        <f t="shared" si="8"/>
        <v>-29096</v>
      </c>
      <c r="AP88" s="7">
        <f t="shared" si="8"/>
        <v>-15362</v>
      </c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>
        <f>260871+2424</f>
        <v>263295</v>
      </c>
      <c r="BE88" s="7">
        <f>194752+66631</f>
        <v>261383</v>
      </c>
      <c r="BF88" s="7"/>
      <c r="BG88" s="7"/>
      <c r="BH88" s="7"/>
      <c r="BI88" s="7">
        <f>260871</f>
        <v>260871</v>
      </c>
      <c r="BJ88" s="7">
        <f>194752</f>
        <v>194752</v>
      </c>
      <c r="BK88" s="7">
        <v>330126</v>
      </c>
      <c r="BL88" s="7">
        <v>417294</v>
      </c>
      <c r="BM88" s="7">
        <v>417658</v>
      </c>
      <c r="BN88" s="7">
        <f>92862+149349</f>
        <v>242211</v>
      </c>
      <c r="BO88" s="7">
        <f>84384+190134</f>
        <v>274518</v>
      </c>
      <c r="BP88" s="7">
        <v>335556</v>
      </c>
      <c r="BQ88" s="7">
        <v>424919</v>
      </c>
      <c r="BR88" s="7">
        <v>450990</v>
      </c>
      <c r="BS88" s="7"/>
      <c r="BT88" s="7"/>
      <c r="BU88" s="7"/>
      <c r="BV88" s="7"/>
      <c r="BW88" s="7"/>
      <c r="BX88" s="7"/>
      <c r="BY88" s="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9"/>
      <c r="DC88" s="39"/>
      <c r="DD88" s="39"/>
      <c r="DE88" s="39"/>
      <c r="DF88" s="39"/>
      <c r="DG88" s="39"/>
      <c r="DH88" s="39"/>
      <c r="DI88" s="39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</row>
    <row r="89" spans="1:139" x14ac:dyDescent="0.25">
      <c r="A89" s="25">
        <v>87</v>
      </c>
      <c r="B89" s="25" t="s">
        <v>262</v>
      </c>
      <c r="C89" s="170" t="s">
        <v>204</v>
      </c>
      <c r="D89" s="26" t="s">
        <v>205</v>
      </c>
      <c r="E89" s="27" t="s">
        <v>287</v>
      </c>
      <c r="F89" s="28">
        <v>1</v>
      </c>
      <c r="G89" s="25" t="s">
        <v>305</v>
      </c>
      <c r="H89" s="53">
        <v>103</v>
      </c>
      <c r="I89" s="54">
        <v>108</v>
      </c>
      <c r="J89" s="109">
        <v>109</v>
      </c>
      <c r="K89" s="131">
        <v>4262547</v>
      </c>
      <c r="L89" s="61">
        <v>2262993</v>
      </c>
      <c r="M89" s="127">
        <v>2318093</v>
      </c>
      <c r="N89" s="119">
        <v>1876332</v>
      </c>
      <c r="O89" s="54">
        <v>1829918</v>
      </c>
      <c r="P89" s="109">
        <v>1526269</v>
      </c>
      <c r="Q89" s="131">
        <f t="shared" si="9"/>
        <v>2386215</v>
      </c>
      <c r="R89" s="61">
        <f t="shared" si="10"/>
        <v>433075</v>
      </c>
      <c r="S89" s="127">
        <f t="shared" si="11"/>
        <v>791824</v>
      </c>
      <c r="T89" s="161">
        <v>1895961</v>
      </c>
      <c r="U89" s="54">
        <v>2209850</v>
      </c>
      <c r="V89" s="157">
        <v>1767987</v>
      </c>
      <c r="W89" s="131">
        <v>26399</v>
      </c>
      <c r="X89" s="61">
        <v>-126182</v>
      </c>
      <c r="Y89" s="127">
        <v>-282190</v>
      </c>
      <c r="Z89" s="119">
        <v>449</v>
      </c>
      <c r="AA89" s="54">
        <v>9563</v>
      </c>
      <c r="AB89" s="51">
        <v>-303647</v>
      </c>
      <c r="AC89" s="15"/>
      <c r="AD89" s="15"/>
      <c r="AE89" s="7"/>
      <c r="AF89" s="7"/>
      <c r="AG89" s="7">
        <v>0</v>
      </c>
      <c r="AH89" s="7">
        <v>0</v>
      </c>
      <c r="AI89" s="7">
        <v>14344</v>
      </c>
      <c r="AJ89" s="7">
        <v>0</v>
      </c>
      <c r="AK89" s="7">
        <v>0</v>
      </c>
      <c r="AL89" s="7"/>
      <c r="AM89" s="7"/>
      <c r="AN89" s="7"/>
      <c r="AO89" s="7">
        <f t="shared" si="8"/>
        <v>0</v>
      </c>
      <c r="AP89" s="7">
        <f t="shared" si="8"/>
        <v>0</v>
      </c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>
        <v>0</v>
      </c>
      <c r="BE89" s="7">
        <v>0</v>
      </c>
      <c r="BF89" s="7"/>
      <c r="BG89" s="7"/>
      <c r="BH89" s="7"/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3336</v>
      </c>
      <c r="BS89" s="7"/>
      <c r="BT89" s="7"/>
      <c r="BU89" s="7"/>
      <c r="BV89" s="7"/>
      <c r="BW89" s="7"/>
      <c r="BX89" s="7"/>
      <c r="BY89" s="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40"/>
      <c r="CS89" s="40"/>
      <c r="CT89" s="40"/>
      <c r="CU89" s="40"/>
      <c r="CV89" s="38"/>
      <c r="CW89" s="40"/>
      <c r="CX89" s="40"/>
      <c r="CY89" s="40"/>
      <c r="CZ89" s="40"/>
      <c r="DA89" s="40"/>
      <c r="DB89" s="39"/>
      <c r="DC89" s="39"/>
      <c r="DD89" s="39"/>
      <c r="DE89" s="39"/>
      <c r="DF89" s="39"/>
      <c r="DG89" s="39"/>
      <c r="DH89" s="39"/>
      <c r="DI89" s="39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</row>
    <row r="90" spans="1:139" x14ac:dyDescent="0.25">
      <c r="A90" s="25">
        <v>88</v>
      </c>
      <c r="B90" s="25" t="s">
        <v>262</v>
      </c>
      <c r="C90" s="170" t="s">
        <v>212</v>
      </c>
      <c r="D90" s="26" t="s">
        <v>213</v>
      </c>
      <c r="E90" s="27" t="s">
        <v>287</v>
      </c>
      <c r="F90" s="28">
        <v>1</v>
      </c>
      <c r="G90" s="25" t="s">
        <v>307</v>
      </c>
      <c r="H90" s="53">
        <v>151</v>
      </c>
      <c r="I90" s="54">
        <v>149</v>
      </c>
      <c r="J90" s="109">
        <v>150</v>
      </c>
      <c r="K90" s="131">
        <v>2300199</v>
      </c>
      <c r="L90" s="61">
        <v>2437526</v>
      </c>
      <c r="M90" s="127">
        <v>2509140</v>
      </c>
      <c r="N90" s="119">
        <v>1786668</v>
      </c>
      <c r="O90" s="54">
        <v>1809251</v>
      </c>
      <c r="P90" s="109">
        <v>558154</v>
      </c>
      <c r="Q90" s="131">
        <f t="shared" si="9"/>
        <v>513531</v>
      </c>
      <c r="R90" s="61">
        <f t="shared" si="10"/>
        <v>628275</v>
      </c>
      <c r="S90" s="127">
        <f t="shared" si="11"/>
        <v>1950986</v>
      </c>
      <c r="T90" s="161">
        <v>2245673</v>
      </c>
      <c r="U90" s="54">
        <v>2248175</v>
      </c>
      <c r="V90" s="157">
        <v>2345111</v>
      </c>
      <c r="W90" s="131">
        <v>5517</v>
      </c>
      <c r="X90" s="61">
        <v>22797</v>
      </c>
      <c r="Y90" s="127">
        <v>-268538</v>
      </c>
      <c r="Z90" s="119">
        <v>3018</v>
      </c>
      <c r="AA90" s="54">
        <v>22583</v>
      </c>
      <c r="AB90" s="51">
        <v>-272970</v>
      </c>
      <c r="AC90" s="15"/>
      <c r="AD90" s="15"/>
      <c r="AE90" s="7"/>
      <c r="AF90" s="7"/>
      <c r="AG90" s="7">
        <v>10</v>
      </c>
      <c r="AH90" s="7">
        <v>18115</v>
      </c>
      <c r="AI90" s="7">
        <v>22483</v>
      </c>
      <c r="AJ90" s="7">
        <v>0</v>
      </c>
      <c r="AK90" s="7">
        <v>0</v>
      </c>
      <c r="AL90" s="7"/>
      <c r="AM90" s="7"/>
      <c r="AN90" s="7"/>
      <c r="AO90" s="7">
        <f t="shared" si="8"/>
        <v>0</v>
      </c>
      <c r="AP90" s="7">
        <f t="shared" si="8"/>
        <v>0</v>
      </c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>
        <v>0</v>
      </c>
      <c r="BE90" s="7">
        <v>0</v>
      </c>
      <c r="BF90" s="7"/>
      <c r="BG90" s="7"/>
      <c r="BH90" s="7"/>
      <c r="BI90" s="7">
        <v>0</v>
      </c>
      <c r="BJ90" s="7">
        <v>0</v>
      </c>
      <c r="BK90" s="7">
        <v>0</v>
      </c>
      <c r="BL90" s="7">
        <f>336708</f>
        <v>336708</v>
      </c>
      <c r="BM90" s="7">
        <f>344441</f>
        <v>344441</v>
      </c>
      <c r="BN90" s="7">
        <v>0</v>
      </c>
      <c r="BO90" s="7">
        <v>0</v>
      </c>
      <c r="BP90" s="7">
        <f>49+1106</f>
        <v>1155</v>
      </c>
      <c r="BQ90" s="7">
        <f>113515+314231</f>
        <v>427746</v>
      </c>
      <c r="BR90" s="7">
        <f>119021+351599</f>
        <v>470620</v>
      </c>
      <c r="BS90" s="7"/>
      <c r="BT90" s="7"/>
      <c r="BU90" s="7"/>
      <c r="BV90" s="7"/>
      <c r="BW90" s="7"/>
      <c r="BX90" s="7"/>
      <c r="BY90" s="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40"/>
      <c r="CS90" s="40"/>
      <c r="CT90" s="38"/>
      <c r="CU90" s="38"/>
      <c r="CV90" s="38"/>
      <c r="CW90" s="40"/>
      <c r="CX90" s="40"/>
      <c r="CY90" s="38"/>
      <c r="CZ90" s="38"/>
      <c r="DA90" s="38"/>
      <c r="DB90" s="39"/>
      <c r="DC90" s="39"/>
      <c r="DD90" s="39"/>
      <c r="DE90" s="39"/>
      <c r="DF90" s="39"/>
      <c r="DG90" s="39"/>
      <c r="DH90" s="39"/>
      <c r="DI90" s="39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</row>
    <row r="91" spans="1:139" ht="30" x14ac:dyDescent="0.25">
      <c r="A91" s="25">
        <v>89</v>
      </c>
      <c r="B91" s="25" t="s">
        <v>262</v>
      </c>
      <c r="C91" s="170" t="s">
        <v>24</v>
      </c>
      <c r="D91" s="174" t="s">
        <v>25</v>
      </c>
      <c r="E91" s="27" t="s">
        <v>287</v>
      </c>
      <c r="F91" s="28">
        <v>1</v>
      </c>
      <c r="G91" s="25" t="s">
        <v>301</v>
      </c>
      <c r="H91" s="53">
        <v>3</v>
      </c>
      <c r="I91" s="54">
        <v>7</v>
      </c>
      <c r="J91" s="109">
        <v>8</v>
      </c>
      <c r="K91" s="131">
        <v>48609</v>
      </c>
      <c r="L91" s="61">
        <v>60040</v>
      </c>
      <c r="M91" s="127">
        <v>111757</v>
      </c>
      <c r="N91" s="119">
        <v>44399</v>
      </c>
      <c r="O91" s="54">
        <v>55859</v>
      </c>
      <c r="P91" s="109">
        <v>98314</v>
      </c>
      <c r="Q91" s="131">
        <f t="shared" si="9"/>
        <v>4210</v>
      </c>
      <c r="R91" s="61">
        <f t="shared" si="10"/>
        <v>4181</v>
      </c>
      <c r="S91" s="127">
        <f t="shared" si="11"/>
        <v>13443</v>
      </c>
      <c r="T91" s="161">
        <v>124642</v>
      </c>
      <c r="U91" s="54">
        <v>152463</v>
      </c>
      <c r="V91" s="157">
        <v>249433</v>
      </c>
      <c r="W91" s="131">
        <v>31297</v>
      </c>
      <c r="X91" s="61">
        <v>12811</v>
      </c>
      <c r="Y91" s="127">
        <v>47438</v>
      </c>
      <c r="Z91" s="119">
        <v>28488</v>
      </c>
      <c r="AA91" s="54">
        <v>11460</v>
      </c>
      <c r="AB91" s="51">
        <v>42456</v>
      </c>
      <c r="AC91" s="15">
        <v>6</v>
      </c>
      <c r="AD91" s="15">
        <v>6</v>
      </c>
      <c r="AE91" s="7"/>
      <c r="AF91" s="7"/>
      <c r="AG91" s="7">
        <v>1557778</v>
      </c>
      <c r="AH91" s="7">
        <v>1549623</v>
      </c>
      <c r="AI91" s="7">
        <v>1626254</v>
      </c>
      <c r="AJ91" s="7">
        <v>1388856</v>
      </c>
      <c r="AK91" s="7">
        <v>1404349</v>
      </c>
      <c r="AL91" s="7"/>
      <c r="AM91" s="7"/>
      <c r="AN91" s="7"/>
      <c r="AO91" s="7">
        <f t="shared" si="8"/>
        <v>-1388856</v>
      </c>
      <c r="AP91" s="7">
        <f t="shared" si="8"/>
        <v>-1404349</v>
      </c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>
        <v>355908</v>
      </c>
      <c r="BE91" s="7">
        <v>342935</v>
      </c>
      <c r="BF91" s="7"/>
      <c r="BG91" s="7"/>
      <c r="BH91" s="7"/>
      <c r="BI91" s="7">
        <v>244508</v>
      </c>
      <c r="BJ91" s="7">
        <v>257761</v>
      </c>
      <c r="BK91" s="7">
        <v>348673</v>
      </c>
      <c r="BL91" s="7">
        <v>393025</v>
      </c>
      <c r="BM91" s="7">
        <v>498091</v>
      </c>
      <c r="BN91" s="7">
        <v>332391</v>
      </c>
      <c r="BO91" s="7">
        <v>325979</v>
      </c>
      <c r="BP91" s="7">
        <v>437722</v>
      </c>
      <c r="BQ91" s="7">
        <v>503824</v>
      </c>
      <c r="BR91" s="7">
        <v>575543</v>
      </c>
      <c r="BS91" s="7"/>
      <c r="BT91" s="7"/>
      <c r="BU91" s="7"/>
      <c r="BV91" s="7"/>
      <c r="BW91" s="7"/>
      <c r="BX91" s="7"/>
      <c r="BY91" s="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9"/>
      <c r="DC91" s="39"/>
      <c r="DD91" s="39"/>
      <c r="DE91" s="39"/>
      <c r="DF91" s="39"/>
      <c r="DG91" s="39"/>
      <c r="DH91" s="39"/>
      <c r="DI91" s="39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</row>
    <row r="92" spans="1:139" x14ac:dyDescent="0.25">
      <c r="A92" s="25">
        <v>90</v>
      </c>
      <c r="B92" s="25" t="s">
        <v>262</v>
      </c>
      <c r="C92" s="170" t="s">
        <v>42</v>
      </c>
      <c r="D92" s="26" t="s">
        <v>43</v>
      </c>
      <c r="E92" s="27" t="s">
        <v>287</v>
      </c>
      <c r="F92" s="28">
        <v>1</v>
      </c>
      <c r="G92" s="25" t="s">
        <v>306</v>
      </c>
      <c r="H92" s="53">
        <v>533</v>
      </c>
      <c r="I92" s="54">
        <v>568</v>
      </c>
      <c r="J92" s="109">
        <v>641</v>
      </c>
      <c r="K92" s="131">
        <v>16728397</v>
      </c>
      <c r="L92" s="61">
        <v>17550330</v>
      </c>
      <c r="M92" s="127">
        <v>18429221</v>
      </c>
      <c r="N92" s="119">
        <v>12690851</v>
      </c>
      <c r="O92" s="54">
        <v>12886404</v>
      </c>
      <c r="P92" s="109">
        <v>11311081</v>
      </c>
      <c r="Q92" s="131">
        <f t="shared" si="9"/>
        <v>4037546</v>
      </c>
      <c r="R92" s="61">
        <f t="shared" si="10"/>
        <v>4663926</v>
      </c>
      <c r="S92" s="127">
        <f t="shared" si="11"/>
        <v>7118140</v>
      </c>
      <c r="T92" s="161">
        <v>8783657</v>
      </c>
      <c r="U92" s="54">
        <v>8323602</v>
      </c>
      <c r="V92" s="157">
        <v>8358632</v>
      </c>
      <c r="W92" s="131">
        <v>244143</v>
      </c>
      <c r="X92" s="61">
        <v>38910</v>
      </c>
      <c r="Y92" s="127">
        <v>-1755503</v>
      </c>
      <c r="Z92" s="119">
        <v>51083</v>
      </c>
      <c r="AA92" s="54">
        <v>36021</v>
      </c>
      <c r="AB92" s="51">
        <v>-1755016</v>
      </c>
      <c r="AC92" s="15"/>
      <c r="AD92" s="15"/>
      <c r="AE92" s="7"/>
      <c r="AF92" s="7"/>
      <c r="AG92" s="7">
        <v>2337080</v>
      </c>
      <c r="AH92" s="7">
        <v>3466384</v>
      </c>
      <c r="AI92" s="7">
        <v>3754258</v>
      </c>
      <c r="AJ92" s="7">
        <v>1583008</v>
      </c>
      <c r="AK92" s="7">
        <v>1585102</v>
      </c>
      <c r="AL92" s="7"/>
      <c r="AM92" s="7"/>
      <c r="AN92" s="7"/>
      <c r="AO92" s="7">
        <f t="shared" si="8"/>
        <v>-1583008</v>
      </c>
      <c r="AP92" s="7">
        <f t="shared" si="8"/>
        <v>-1585102</v>
      </c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>
        <v>1608342</v>
      </c>
      <c r="BE92" s="7">
        <v>1401397</v>
      </c>
      <c r="BF92" s="7"/>
      <c r="BG92" s="7"/>
      <c r="BH92" s="7"/>
      <c r="BI92" s="7">
        <v>1349783</v>
      </c>
      <c r="BJ92" s="7">
        <v>1193646</v>
      </c>
      <c r="BK92" s="7">
        <v>1632308</v>
      </c>
      <c r="BL92" s="7">
        <v>1719694</v>
      </c>
      <c r="BM92" s="7">
        <v>1681069</v>
      </c>
      <c r="BN92" s="7">
        <v>1519699</v>
      </c>
      <c r="BO92" s="7">
        <v>1361376</v>
      </c>
      <c r="BP92" s="7">
        <v>1588786</v>
      </c>
      <c r="BQ92" s="7">
        <v>1878699</v>
      </c>
      <c r="BR92" s="7">
        <v>1961267</v>
      </c>
      <c r="BS92" s="7"/>
      <c r="BT92" s="7"/>
      <c r="BU92" s="7"/>
      <c r="BV92" s="7"/>
      <c r="BW92" s="7"/>
      <c r="BX92" s="7"/>
      <c r="BY92" s="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9"/>
      <c r="DC92" s="39"/>
      <c r="DD92" s="39"/>
      <c r="DE92" s="39"/>
      <c r="DF92" s="39"/>
      <c r="DG92" s="39"/>
      <c r="DH92" s="39"/>
      <c r="DI92" s="39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</row>
    <row r="93" spans="1:139" x14ac:dyDescent="0.25">
      <c r="A93" s="25">
        <v>91</v>
      </c>
      <c r="B93" s="25" t="s">
        <v>262</v>
      </c>
      <c r="C93" s="170" t="s">
        <v>181</v>
      </c>
      <c r="D93" s="26" t="s">
        <v>182</v>
      </c>
      <c r="E93" s="27" t="s">
        <v>287</v>
      </c>
      <c r="F93" s="28">
        <v>1</v>
      </c>
      <c r="G93" s="25" t="s">
        <v>306</v>
      </c>
      <c r="H93" s="53">
        <v>80</v>
      </c>
      <c r="I93" s="54">
        <v>101</v>
      </c>
      <c r="J93" s="109">
        <v>111</v>
      </c>
      <c r="K93" s="131">
        <v>2337080</v>
      </c>
      <c r="L93" s="61">
        <v>3466384</v>
      </c>
      <c r="M93" s="127">
        <v>3754258</v>
      </c>
      <c r="N93" s="119">
        <v>1816503</v>
      </c>
      <c r="O93" s="54">
        <v>1821000</v>
      </c>
      <c r="P93" s="109">
        <v>1593980</v>
      </c>
      <c r="Q93" s="131">
        <f t="shared" si="9"/>
        <v>520577</v>
      </c>
      <c r="R93" s="61">
        <f t="shared" si="10"/>
        <v>1645384</v>
      </c>
      <c r="S93" s="127">
        <f t="shared" si="11"/>
        <v>2160278</v>
      </c>
      <c r="T93" s="161">
        <v>1845312</v>
      </c>
      <c r="U93" s="54">
        <v>1913703</v>
      </c>
      <c r="V93" s="157">
        <v>2015288</v>
      </c>
      <c r="W93" s="131">
        <v>256111</v>
      </c>
      <c r="X93" s="61">
        <v>35024</v>
      </c>
      <c r="Y93" s="127">
        <v>53728</v>
      </c>
      <c r="Z93" s="119">
        <v>231401</v>
      </c>
      <c r="AA93" s="54">
        <v>4496</v>
      </c>
      <c r="AB93" s="51">
        <v>48279</v>
      </c>
      <c r="AC93" s="15"/>
      <c r="AD93" s="15"/>
      <c r="AE93" s="7"/>
      <c r="AF93" s="7"/>
      <c r="AG93" s="7">
        <v>8345</v>
      </c>
      <c r="AH93" s="7">
        <v>28625</v>
      </c>
      <c r="AI93" s="7">
        <v>35293</v>
      </c>
      <c r="AJ93" s="7">
        <v>-78725</v>
      </c>
      <c r="AK93" s="7">
        <v>-128062</v>
      </c>
      <c r="AL93" s="7"/>
      <c r="AM93" s="7"/>
      <c r="AN93" s="7"/>
      <c r="AO93" s="7">
        <f t="shared" si="8"/>
        <v>78725</v>
      </c>
      <c r="AP93" s="7">
        <f t="shared" si="8"/>
        <v>128062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>
        <v>655768</v>
      </c>
      <c r="BE93" s="7">
        <v>12382</v>
      </c>
      <c r="BF93" s="7"/>
      <c r="BG93" s="7"/>
      <c r="BH93" s="7"/>
      <c r="BI93" s="7">
        <v>647176</v>
      </c>
      <c r="BJ93" s="7">
        <v>0</v>
      </c>
      <c r="BK93" s="7">
        <v>0</v>
      </c>
      <c r="BL93" s="7">
        <v>101458</v>
      </c>
      <c r="BM93" s="7">
        <v>128197</v>
      </c>
      <c r="BN93" s="7">
        <v>616185</v>
      </c>
      <c r="BO93" s="7">
        <v>61719</v>
      </c>
      <c r="BP93" s="7">
        <v>41514</v>
      </c>
      <c r="BQ93" s="7">
        <v>25110</v>
      </c>
      <c r="BR93" s="7">
        <v>19216</v>
      </c>
      <c r="BS93" s="7"/>
      <c r="BT93" s="7"/>
      <c r="BU93" s="7"/>
      <c r="BV93" s="7"/>
      <c r="BW93" s="7"/>
      <c r="BX93" s="7"/>
      <c r="BY93" s="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9"/>
      <c r="DC93" s="39"/>
      <c r="DD93" s="39"/>
      <c r="DE93" s="39"/>
      <c r="DF93" s="39"/>
      <c r="DG93" s="39"/>
      <c r="DH93" s="39"/>
      <c r="DI93" s="39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</row>
    <row r="94" spans="1:139" x14ac:dyDescent="0.25">
      <c r="A94" s="25">
        <v>92</v>
      </c>
      <c r="B94" s="25" t="s">
        <v>262</v>
      </c>
      <c r="C94" s="170" t="s">
        <v>238</v>
      </c>
      <c r="D94" s="26" t="s">
        <v>239</v>
      </c>
      <c r="E94" s="27" t="s">
        <v>287</v>
      </c>
      <c r="F94" s="28">
        <v>1</v>
      </c>
      <c r="G94" s="25" t="s">
        <v>306</v>
      </c>
      <c r="H94" s="53">
        <v>567</v>
      </c>
      <c r="I94" s="54">
        <v>578</v>
      </c>
      <c r="J94" s="109">
        <v>568</v>
      </c>
      <c r="K94" s="131">
        <v>59083403</v>
      </c>
      <c r="L94" s="61">
        <v>57888997</v>
      </c>
      <c r="M94" s="127">
        <v>56874484</v>
      </c>
      <c r="N94" s="119">
        <v>49583361</v>
      </c>
      <c r="O94" s="54">
        <v>48689828</v>
      </c>
      <c r="P94" s="109">
        <v>44118881</v>
      </c>
      <c r="Q94" s="131">
        <f t="shared" si="9"/>
        <v>9500042</v>
      </c>
      <c r="R94" s="61">
        <f t="shared" si="10"/>
        <v>9199169</v>
      </c>
      <c r="S94" s="127">
        <f t="shared" si="11"/>
        <v>12755603</v>
      </c>
      <c r="T94" s="161">
        <v>14532118</v>
      </c>
      <c r="U94" s="54">
        <v>13949786</v>
      </c>
      <c r="V94" s="157">
        <v>11999604</v>
      </c>
      <c r="W94" s="131">
        <v>1313762</v>
      </c>
      <c r="X94" s="61">
        <v>400723</v>
      </c>
      <c r="Y94" s="127">
        <v>-2659231</v>
      </c>
      <c r="Z94" s="119">
        <v>13594</v>
      </c>
      <c r="AA94" s="54">
        <v>-893534</v>
      </c>
      <c r="AB94" s="51">
        <v>-3822762</v>
      </c>
      <c r="AC94" s="15"/>
      <c r="AD94" s="15"/>
      <c r="AE94" s="7"/>
      <c r="AF94" s="7"/>
      <c r="AG94" s="7">
        <v>5672573</v>
      </c>
      <c r="AH94" s="7">
        <v>6345792</v>
      </c>
      <c r="AI94" s="7">
        <v>7120067</v>
      </c>
      <c r="AJ94" s="7">
        <v>9209708</v>
      </c>
      <c r="AK94" s="7">
        <v>4351023</v>
      </c>
      <c r="AL94" s="7"/>
      <c r="AM94" s="7"/>
      <c r="AN94" s="7"/>
      <c r="AO94" s="7">
        <f t="shared" si="8"/>
        <v>-9209708</v>
      </c>
      <c r="AP94" s="7">
        <f t="shared" si="8"/>
        <v>-4351023</v>
      </c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>
        <v>4083012</v>
      </c>
      <c r="BE94" s="7">
        <v>6692185</v>
      </c>
      <c r="BF94" s="7"/>
      <c r="BG94" s="7"/>
      <c r="BH94" s="7"/>
      <c r="BI94" s="7">
        <v>3777893</v>
      </c>
      <c r="BJ94" s="7">
        <v>5812740</v>
      </c>
      <c r="BK94" s="7">
        <v>5555100</v>
      </c>
      <c r="BL94" s="7">
        <v>6266525</v>
      </c>
      <c r="BM94" s="7">
        <v>6903134</v>
      </c>
      <c r="BN94" s="7">
        <v>4239587</v>
      </c>
      <c r="BO94" s="7">
        <v>6544562</v>
      </c>
      <c r="BP94" s="7">
        <v>6435564</v>
      </c>
      <c r="BQ94" s="7">
        <v>7399980</v>
      </c>
      <c r="BR94" s="7">
        <v>8595121</v>
      </c>
      <c r="BS94" s="7"/>
      <c r="BT94" s="7"/>
      <c r="BU94" s="7"/>
      <c r="BV94" s="7"/>
      <c r="BW94" s="7"/>
      <c r="BX94" s="7"/>
      <c r="BY94" s="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9"/>
      <c r="DC94" s="39"/>
      <c r="DD94" s="39"/>
      <c r="DE94" s="39"/>
      <c r="DF94" s="39"/>
      <c r="DG94" s="39"/>
      <c r="DH94" s="39"/>
      <c r="DI94" s="39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</row>
    <row r="95" spans="1:139" ht="15.75" thickBot="1" x14ac:dyDescent="0.3">
      <c r="A95" s="80">
        <v>93</v>
      </c>
      <c r="B95" s="80" t="s">
        <v>262</v>
      </c>
      <c r="C95" s="172" t="s">
        <v>250</v>
      </c>
      <c r="D95" s="81" t="s">
        <v>251</v>
      </c>
      <c r="E95" s="82" t="s">
        <v>287</v>
      </c>
      <c r="F95" s="83">
        <v>1</v>
      </c>
      <c r="G95" s="80" t="s">
        <v>301</v>
      </c>
      <c r="H95" s="66">
        <v>130</v>
      </c>
      <c r="I95" s="67">
        <v>139</v>
      </c>
      <c r="J95" s="114">
        <v>157</v>
      </c>
      <c r="K95" s="136">
        <v>1881611</v>
      </c>
      <c r="L95" s="69">
        <v>2080408</v>
      </c>
      <c r="M95" s="137">
        <v>2228788</v>
      </c>
      <c r="N95" s="122">
        <v>1008354</v>
      </c>
      <c r="O95" s="67">
        <v>1214457</v>
      </c>
      <c r="P95" s="114">
        <v>1333867</v>
      </c>
      <c r="Q95" s="136">
        <f t="shared" si="9"/>
        <v>873257</v>
      </c>
      <c r="R95" s="69">
        <f t="shared" si="10"/>
        <v>865951</v>
      </c>
      <c r="S95" s="137">
        <f t="shared" si="11"/>
        <v>894921</v>
      </c>
      <c r="T95" s="166">
        <v>2825285</v>
      </c>
      <c r="U95" s="67">
        <v>3223165</v>
      </c>
      <c r="V95" s="167">
        <v>3108334</v>
      </c>
      <c r="W95" s="136">
        <v>148246</v>
      </c>
      <c r="X95" s="69">
        <v>220259</v>
      </c>
      <c r="Y95" s="137">
        <v>85848</v>
      </c>
      <c r="Z95" s="122">
        <v>140920</v>
      </c>
      <c r="AA95" s="67">
        <v>206104</v>
      </c>
      <c r="AB95" s="68">
        <v>119409</v>
      </c>
      <c r="AC95" s="15"/>
      <c r="AD95" s="15"/>
      <c r="AE95" s="7"/>
      <c r="AF95" s="7"/>
      <c r="AG95" s="7">
        <v>16040</v>
      </c>
      <c r="AH95" s="7">
        <v>4895</v>
      </c>
      <c r="AI95" s="7">
        <v>24548</v>
      </c>
      <c r="AJ95" s="7">
        <v>-101048</v>
      </c>
      <c r="AK95" s="7">
        <v>-113723</v>
      </c>
      <c r="AL95" s="7"/>
      <c r="AM95" s="7"/>
      <c r="AN95" s="7"/>
      <c r="AO95" s="7">
        <f t="shared" si="8"/>
        <v>101048</v>
      </c>
      <c r="AP95" s="7">
        <f t="shared" si="8"/>
        <v>113723</v>
      </c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>
        <v>63795</v>
      </c>
      <c r="BE95" s="7">
        <v>102942</v>
      </c>
      <c r="BF95" s="7"/>
      <c r="BG95" s="7"/>
      <c r="BH95" s="7"/>
      <c r="BI95" s="7">
        <v>2308</v>
      </c>
      <c r="BJ95" s="7">
        <v>8525</v>
      </c>
      <c r="BK95" s="7">
        <v>9950</v>
      </c>
      <c r="BL95" s="7">
        <v>12100</v>
      </c>
      <c r="BM95" s="7">
        <v>11920</v>
      </c>
      <c r="BN95" s="7">
        <v>136032</v>
      </c>
      <c r="BO95" s="7">
        <v>115617</v>
      </c>
      <c r="BP95" s="7">
        <v>102400</v>
      </c>
      <c r="BQ95" s="7">
        <v>98343</v>
      </c>
      <c r="BR95" s="7">
        <v>93675</v>
      </c>
      <c r="BS95" s="7"/>
      <c r="BT95" s="7"/>
      <c r="BU95" s="7"/>
      <c r="BV95" s="7"/>
      <c r="BW95" s="7"/>
      <c r="BX95" s="7"/>
      <c r="BY95" s="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9"/>
      <c r="DC95" s="39"/>
      <c r="DD95" s="39"/>
      <c r="DE95" s="39"/>
      <c r="DF95" s="39"/>
      <c r="DG95" s="39"/>
      <c r="DH95" s="39"/>
      <c r="DI95" s="39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</row>
    <row r="96" spans="1:139" x14ac:dyDescent="0.25">
      <c r="A96" s="70">
        <v>94</v>
      </c>
      <c r="B96" s="70" t="s">
        <v>264</v>
      </c>
      <c r="C96" s="171" t="s">
        <v>135</v>
      </c>
      <c r="D96" s="71" t="s">
        <v>136</v>
      </c>
      <c r="E96" s="72" t="s">
        <v>287</v>
      </c>
      <c r="F96" s="73">
        <v>1</v>
      </c>
      <c r="G96" s="70" t="s">
        <v>310</v>
      </c>
      <c r="H96" s="97">
        <v>28</v>
      </c>
      <c r="I96" s="98">
        <v>25</v>
      </c>
      <c r="J96" s="113">
        <v>27</v>
      </c>
      <c r="K96" s="134">
        <v>34123</v>
      </c>
      <c r="L96" s="100">
        <v>17142</v>
      </c>
      <c r="M96" s="135">
        <v>17473</v>
      </c>
      <c r="N96" s="121">
        <v>-577731</v>
      </c>
      <c r="O96" s="98">
        <v>-628230</v>
      </c>
      <c r="P96" s="113">
        <v>-736027</v>
      </c>
      <c r="Q96" s="134">
        <f t="shared" si="9"/>
        <v>611854</v>
      </c>
      <c r="R96" s="100">
        <f t="shared" si="10"/>
        <v>645372</v>
      </c>
      <c r="S96" s="135">
        <f t="shared" si="11"/>
        <v>753500</v>
      </c>
      <c r="T96" s="164">
        <v>195661</v>
      </c>
      <c r="U96" s="98">
        <v>222708</v>
      </c>
      <c r="V96" s="165">
        <f>9856+240335</f>
        <v>250191</v>
      </c>
      <c r="W96" s="134">
        <v>-138715</v>
      </c>
      <c r="X96" s="100">
        <v>-52115</v>
      </c>
      <c r="Y96" s="135">
        <v>-91651</v>
      </c>
      <c r="Z96" s="121">
        <v>-137728</v>
      </c>
      <c r="AA96" s="98">
        <v>-50499</v>
      </c>
      <c r="AB96" s="99">
        <v>-90923</v>
      </c>
      <c r="AC96" s="15"/>
      <c r="AD96" s="15"/>
      <c r="AE96" s="7"/>
      <c r="AF96" s="7"/>
      <c r="AG96" s="7">
        <v>6</v>
      </c>
      <c r="AH96" s="7">
        <v>1602</v>
      </c>
      <c r="AI96" s="7">
        <v>4897</v>
      </c>
      <c r="AJ96" s="7">
        <v>0</v>
      </c>
      <c r="AK96" s="7">
        <v>0</v>
      </c>
      <c r="AL96" s="7"/>
      <c r="AM96" s="7"/>
      <c r="AN96" s="7"/>
      <c r="AO96" s="7">
        <f t="shared" si="8"/>
        <v>0</v>
      </c>
      <c r="AP96" s="7">
        <f t="shared" si="8"/>
        <v>0</v>
      </c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>
        <v>33683</v>
      </c>
      <c r="BE96" s="7">
        <v>30673</v>
      </c>
      <c r="BF96" s="7"/>
      <c r="BG96" s="7"/>
      <c r="BH96" s="7"/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f>20612+13071</f>
        <v>33683</v>
      </c>
      <c r="BO96" s="7">
        <f>2995+27678</f>
        <v>30673</v>
      </c>
      <c r="BP96" s="7">
        <v>73598</v>
      </c>
      <c r="BQ96" s="7">
        <v>103103</v>
      </c>
      <c r="BR96" s="7">
        <v>114181</v>
      </c>
      <c r="BS96" s="7"/>
      <c r="BT96" s="7"/>
      <c r="BU96" s="7"/>
      <c r="BV96" s="7"/>
      <c r="BW96" s="7"/>
      <c r="BX96" s="7"/>
      <c r="BY96" s="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8"/>
      <c r="CS96" s="38"/>
      <c r="CT96" s="38"/>
      <c r="CU96" s="38"/>
      <c r="CV96" s="38"/>
      <c r="CW96" s="40"/>
      <c r="CX96" s="40"/>
      <c r="CY96" s="38"/>
      <c r="CZ96" s="38"/>
      <c r="DA96" s="38"/>
      <c r="DB96" s="39"/>
      <c r="DC96" s="39"/>
      <c r="DD96" s="39"/>
      <c r="DE96" s="39"/>
      <c r="DF96" s="39"/>
      <c r="DG96" s="39"/>
      <c r="DH96" s="39"/>
      <c r="DI96" s="39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</row>
    <row r="97" spans="1:139" x14ac:dyDescent="0.25">
      <c r="A97" s="25">
        <v>95</v>
      </c>
      <c r="B97" s="25" t="s">
        <v>264</v>
      </c>
      <c r="C97" s="170" t="s">
        <v>198</v>
      </c>
      <c r="D97" s="26" t="s">
        <v>199</v>
      </c>
      <c r="E97" s="27" t="s">
        <v>287</v>
      </c>
      <c r="F97" s="28">
        <v>1</v>
      </c>
      <c r="G97" s="25" t="s">
        <v>305</v>
      </c>
      <c r="H97" s="53">
        <v>23</v>
      </c>
      <c r="I97" s="54">
        <v>25</v>
      </c>
      <c r="J97" s="109">
        <v>27</v>
      </c>
      <c r="K97" s="131">
        <v>26868</v>
      </c>
      <c r="L97" s="61">
        <v>19768</v>
      </c>
      <c r="M97" s="127">
        <v>17849</v>
      </c>
      <c r="N97" s="119">
        <v>-317495</v>
      </c>
      <c r="O97" s="54">
        <v>-350654</v>
      </c>
      <c r="P97" s="109">
        <v>-397674</v>
      </c>
      <c r="Q97" s="131">
        <f t="shared" si="9"/>
        <v>344363</v>
      </c>
      <c r="R97" s="61">
        <f t="shared" si="10"/>
        <v>370422</v>
      </c>
      <c r="S97" s="127">
        <f t="shared" si="11"/>
        <v>415523</v>
      </c>
      <c r="T97" s="161">
        <v>133047</v>
      </c>
      <c r="U97" s="54">
        <v>183970</v>
      </c>
      <c r="V97" s="157">
        <v>203725</v>
      </c>
      <c r="W97" s="131">
        <v>-73427</v>
      </c>
      <c r="X97" s="61">
        <v>-33159</v>
      </c>
      <c r="Y97" s="127">
        <v>-47021</v>
      </c>
      <c r="Z97" s="119">
        <v>-73427</v>
      </c>
      <c r="AA97" s="54">
        <v>-33159</v>
      </c>
      <c r="AB97" s="51">
        <v>-47021</v>
      </c>
      <c r="AC97" s="15"/>
      <c r="AD97" s="15"/>
      <c r="AE97" s="7"/>
      <c r="AF97" s="7"/>
      <c r="AG97" s="7">
        <v>41742</v>
      </c>
      <c r="AH97" s="7">
        <v>36996</v>
      </c>
      <c r="AI97" s="7">
        <v>40567</v>
      </c>
      <c r="AJ97" s="7">
        <v>-67688</v>
      </c>
      <c r="AK97" s="7">
        <v>-127613</v>
      </c>
      <c r="AL97" s="7"/>
      <c r="AM97" s="7"/>
      <c r="AN97" s="7"/>
      <c r="AO97" s="7">
        <f t="shared" si="8"/>
        <v>67688</v>
      </c>
      <c r="AP97" s="7">
        <f t="shared" si="8"/>
        <v>127613</v>
      </c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>
        <v>112213</v>
      </c>
      <c r="BE97" s="7">
        <v>75030</v>
      </c>
      <c r="BF97" s="7"/>
      <c r="BG97" s="7"/>
      <c r="BH97" s="7"/>
      <c r="BI97" s="7">
        <v>18845</v>
      </c>
      <c r="BJ97" s="7">
        <v>1190</v>
      </c>
      <c r="BK97" s="7">
        <v>8602</v>
      </c>
      <c r="BL97" s="7">
        <v>10390</v>
      </c>
      <c r="BM97" s="7">
        <v>0</v>
      </c>
      <c r="BN97" s="7">
        <v>102169</v>
      </c>
      <c r="BO97" s="7">
        <v>134955</v>
      </c>
      <c r="BP97" s="7">
        <v>196465</v>
      </c>
      <c r="BQ97" s="7">
        <v>109325</v>
      </c>
      <c r="BR97" s="7">
        <v>146721</v>
      </c>
      <c r="BS97" s="7"/>
      <c r="BT97" s="7"/>
      <c r="BU97" s="7"/>
      <c r="BV97" s="7"/>
      <c r="BW97" s="7"/>
      <c r="BX97" s="7"/>
      <c r="BY97" s="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9"/>
      <c r="DC97" s="39"/>
      <c r="DD97" s="39"/>
      <c r="DE97" s="39"/>
      <c r="DF97" s="39"/>
      <c r="DG97" s="39"/>
      <c r="DH97" s="39"/>
      <c r="DI97" s="39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</row>
    <row r="98" spans="1:139" x14ac:dyDescent="0.25">
      <c r="A98" s="25">
        <v>96</v>
      </c>
      <c r="B98" s="25" t="s">
        <v>264</v>
      </c>
      <c r="C98" s="170" t="s">
        <v>240</v>
      </c>
      <c r="D98" s="26" t="s">
        <v>241</v>
      </c>
      <c r="E98" s="27" t="s">
        <v>287</v>
      </c>
      <c r="F98" s="28">
        <v>1</v>
      </c>
      <c r="G98" s="25" t="s">
        <v>306</v>
      </c>
      <c r="H98" s="53">
        <v>45</v>
      </c>
      <c r="I98" s="54">
        <v>51</v>
      </c>
      <c r="J98" s="109">
        <v>53</v>
      </c>
      <c r="K98" s="131">
        <v>2786239</v>
      </c>
      <c r="L98" s="61">
        <v>2797423</v>
      </c>
      <c r="M98" s="127">
        <v>2820335</v>
      </c>
      <c r="N98" s="119">
        <v>2054940</v>
      </c>
      <c r="O98" s="54">
        <v>1964452</v>
      </c>
      <c r="P98" s="109">
        <v>1869518</v>
      </c>
      <c r="Q98" s="131">
        <f t="shared" si="9"/>
        <v>731299</v>
      </c>
      <c r="R98" s="61">
        <f t="shared" si="10"/>
        <v>832971</v>
      </c>
      <c r="S98" s="127">
        <f t="shared" si="11"/>
        <v>950817</v>
      </c>
      <c r="T98" s="161">
        <v>531825</v>
      </c>
      <c r="U98" s="54">
        <v>474229</v>
      </c>
      <c r="V98" s="157">
        <v>498309</v>
      </c>
      <c r="W98" s="131">
        <v>2328</v>
      </c>
      <c r="X98" s="61">
        <v>-82873</v>
      </c>
      <c r="Y98" s="127">
        <v>-94035</v>
      </c>
      <c r="Z98" s="119">
        <v>2325</v>
      </c>
      <c r="AA98" s="54">
        <v>-83733</v>
      </c>
      <c r="AB98" s="51">
        <v>-94934</v>
      </c>
      <c r="AC98" s="15"/>
      <c r="AD98" s="15"/>
      <c r="AE98" s="7"/>
      <c r="AF98" s="7"/>
      <c r="AG98" s="7">
        <v>5737842</v>
      </c>
      <c r="AH98" s="7">
        <v>5773950</v>
      </c>
      <c r="AI98" s="7">
        <v>5688623</v>
      </c>
      <c r="AJ98" s="7">
        <v>-562930</v>
      </c>
      <c r="AK98" s="7">
        <v>4574911</v>
      </c>
      <c r="AL98" s="7"/>
      <c r="AM98" s="7"/>
      <c r="AN98" s="7"/>
      <c r="AO98" s="7">
        <f t="shared" si="8"/>
        <v>562930</v>
      </c>
      <c r="AP98" s="7">
        <f t="shared" si="8"/>
        <v>-4574911</v>
      </c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>
        <v>244399</v>
      </c>
      <c r="BE98" s="7">
        <v>233069</v>
      </c>
      <c r="BF98" s="7"/>
      <c r="BG98" s="7"/>
      <c r="BH98" s="7"/>
      <c r="BI98" s="7">
        <v>239854</v>
      </c>
      <c r="BJ98" s="7">
        <v>230892</v>
      </c>
      <c r="BK98" s="7">
        <v>270658</v>
      </c>
      <c r="BL98" s="7">
        <v>290770</v>
      </c>
      <c r="BM98" s="7">
        <v>271960</v>
      </c>
      <c r="BN98" s="7">
        <v>363536</v>
      </c>
      <c r="BO98" s="7">
        <v>378458</v>
      </c>
      <c r="BP98" s="7">
        <v>378425</v>
      </c>
      <c r="BQ98" s="7">
        <v>410648</v>
      </c>
      <c r="BR98" s="7">
        <v>487114</v>
      </c>
      <c r="BS98" s="7"/>
      <c r="BT98" s="7"/>
      <c r="BU98" s="7"/>
      <c r="BV98" s="7"/>
      <c r="BW98" s="7"/>
      <c r="BX98" s="7"/>
      <c r="BY98" s="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9"/>
      <c r="DC98" s="39"/>
      <c r="DD98" s="39"/>
      <c r="DE98" s="39"/>
      <c r="DF98" s="39"/>
      <c r="DG98" s="39"/>
      <c r="DH98" s="39"/>
      <c r="DI98" s="39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</row>
    <row r="99" spans="1:139" x14ac:dyDescent="0.25">
      <c r="A99" s="25">
        <v>97</v>
      </c>
      <c r="B99" s="25" t="s">
        <v>264</v>
      </c>
      <c r="C99" s="170" t="s">
        <v>103</v>
      </c>
      <c r="D99" s="26" t="s">
        <v>104</v>
      </c>
      <c r="E99" s="27" t="s">
        <v>287</v>
      </c>
      <c r="F99" s="28">
        <v>1</v>
      </c>
      <c r="G99" s="25" t="s">
        <v>306</v>
      </c>
      <c r="H99" s="53">
        <v>78</v>
      </c>
      <c r="I99" s="54">
        <v>82</v>
      </c>
      <c r="J99" s="109">
        <v>82</v>
      </c>
      <c r="K99" s="131">
        <v>2789096</v>
      </c>
      <c r="L99" s="61">
        <v>2727918</v>
      </c>
      <c r="M99" s="127">
        <v>2743884</v>
      </c>
      <c r="N99" s="119">
        <v>1376084</v>
      </c>
      <c r="O99" s="54">
        <v>1248086</v>
      </c>
      <c r="P99" s="109">
        <v>1154040</v>
      </c>
      <c r="Q99" s="131">
        <f t="shared" ref="Q99:Q126" si="12">+K99-N99</f>
        <v>1413012</v>
      </c>
      <c r="R99" s="61">
        <f t="shared" ref="R99:R126" si="13">+L99-O99</f>
        <v>1479832</v>
      </c>
      <c r="S99" s="127">
        <f t="shared" ref="S99:S126" si="14">+M99-P99</f>
        <v>1589844</v>
      </c>
      <c r="T99" s="161">
        <v>710903</v>
      </c>
      <c r="U99" s="54">
        <v>728138</v>
      </c>
      <c r="V99" s="157">
        <v>776047</v>
      </c>
      <c r="W99" s="131">
        <v>-44699</v>
      </c>
      <c r="X99" s="61">
        <v>-126877</v>
      </c>
      <c r="Y99" s="127">
        <v>-97021</v>
      </c>
      <c r="Z99" s="119">
        <v>-45302</v>
      </c>
      <c r="AA99" s="54">
        <v>-127997</v>
      </c>
      <c r="AB99" s="51">
        <v>-94049</v>
      </c>
      <c r="AC99" s="15"/>
      <c r="AD99" s="15"/>
      <c r="AE99" s="7"/>
      <c r="AF99" s="7"/>
      <c r="AG99" s="7">
        <v>96498</v>
      </c>
      <c r="AH99" s="7">
        <v>97609</v>
      </c>
      <c r="AI99" s="7">
        <v>135722</v>
      </c>
      <c r="AJ99" s="7">
        <v>-383395</v>
      </c>
      <c r="AK99" s="7">
        <v>-494382</v>
      </c>
      <c r="AL99" s="7"/>
      <c r="AM99" s="7"/>
      <c r="AN99" s="7"/>
      <c r="AO99" s="7">
        <f t="shared" si="8"/>
        <v>383395</v>
      </c>
      <c r="AP99" s="7">
        <f t="shared" si="8"/>
        <v>494382</v>
      </c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>
        <v>432160</v>
      </c>
      <c r="BE99" s="7">
        <v>354485</v>
      </c>
      <c r="BF99" s="7"/>
      <c r="BG99" s="7"/>
      <c r="BH99" s="7"/>
      <c r="BI99" s="7">
        <v>65190</v>
      </c>
      <c r="BJ99" s="7">
        <v>77093</v>
      </c>
      <c r="BK99" s="7">
        <v>109940</v>
      </c>
      <c r="BL99" s="7">
        <v>153614</v>
      </c>
      <c r="BM99" s="7">
        <v>173621</v>
      </c>
      <c r="BN99" s="7">
        <v>462889</v>
      </c>
      <c r="BO99" s="7">
        <v>465472</v>
      </c>
      <c r="BP99" s="7">
        <v>425062</v>
      </c>
      <c r="BQ99" s="7">
        <v>453166</v>
      </c>
      <c r="BR99" s="7">
        <v>492896</v>
      </c>
      <c r="BS99" s="7"/>
      <c r="BT99" s="7"/>
      <c r="BU99" s="7"/>
      <c r="BV99" s="7"/>
      <c r="BW99" s="7"/>
      <c r="BX99" s="7"/>
      <c r="BY99" s="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9"/>
      <c r="DC99" s="39"/>
      <c r="DD99" s="39"/>
      <c r="DE99" s="39"/>
      <c r="DF99" s="39"/>
      <c r="DG99" s="39"/>
      <c r="DH99" s="39"/>
      <c r="DI99" s="39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</row>
    <row r="100" spans="1:139" ht="15.75" thickBot="1" x14ac:dyDescent="0.3">
      <c r="A100" s="80">
        <v>98</v>
      </c>
      <c r="B100" s="80" t="s">
        <v>264</v>
      </c>
      <c r="C100" s="172" t="s">
        <v>192</v>
      </c>
      <c r="D100" s="81" t="s">
        <v>193</v>
      </c>
      <c r="E100" s="82" t="s">
        <v>287</v>
      </c>
      <c r="F100" s="83">
        <v>1</v>
      </c>
      <c r="G100" s="80" t="s">
        <v>305</v>
      </c>
      <c r="H100" s="66">
        <v>9</v>
      </c>
      <c r="I100" s="67">
        <v>11</v>
      </c>
      <c r="J100" s="114">
        <v>14</v>
      </c>
      <c r="K100" s="136">
        <v>41742</v>
      </c>
      <c r="L100" s="69">
        <v>36996</v>
      </c>
      <c r="M100" s="137">
        <v>40567</v>
      </c>
      <c r="N100" s="122">
        <v>-231076</v>
      </c>
      <c r="O100" s="67">
        <v>-216079</v>
      </c>
      <c r="P100" s="114">
        <v>-227885</v>
      </c>
      <c r="Q100" s="136">
        <f t="shared" si="12"/>
        <v>272818</v>
      </c>
      <c r="R100" s="69">
        <f t="shared" si="13"/>
        <v>253075</v>
      </c>
      <c r="S100" s="137">
        <f t="shared" si="14"/>
        <v>268452</v>
      </c>
      <c r="T100" s="166">
        <v>93002</v>
      </c>
      <c r="U100" s="67">
        <v>109000</v>
      </c>
      <c r="V100" s="167">
        <v>131385</v>
      </c>
      <c r="W100" s="136">
        <v>-103463</v>
      </c>
      <c r="X100" s="69">
        <v>-325</v>
      </c>
      <c r="Y100" s="137">
        <v>-15336</v>
      </c>
      <c r="Z100" s="122">
        <v>-103463</v>
      </c>
      <c r="AA100" s="67">
        <v>-325</v>
      </c>
      <c r="AB100" s="68">
        <v>-15336</v>
      </c>
      <c r="AC100" s="15"/>
      <c r="AD100" s="15"/>
      <c r="AE100" s="7"/>
      <c r="AF100" s="7"/>
      <c r="AG100" s="7">
        <v>26868</v>
      </c>
      <c r="AH100" s="7">
        <v>19768</v>
      </c>
      <c r="AI100" s="7">
        <v>17849</v>
      </c>
      <c r="AJ100" s="7">
        <v>-187209</v>
      </c>
      <c r="AK100" s="7">
        <v>-244067</v>
      </c>
      <c r="AL100" s="7"/>
      <c r="AM100" s="7"/>
      <c r="AN100" s="7"/>
      <c r="AO100" s="7">
        <f t="shared" si="8"/>
        <v>187209</v>
      </c>
      <c r="AP100" s="7">
        <f t="shared" si="8"/>
        <v>244067</v>
      </c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>
        <v>171979</v>
      </c>
      <c r="BE100" s="7">
        <v>119635</v>
      </c>
      <c r="BF100" s="7"/>
      <c r="BG100" s="7"/>
      <c r="BH100" s="7"/>
      <c r="BI100" s="7">
        <v>5476</v>
      </c>
      <c r="BJ100" s="7">
        <v>4659</v>
      </c>
      <c r="BK100" s="7">
        <v>3932</v>
      </c>
      <c r="BL100" s="7">
        <v>1140</v>
      </c>
      <c r="BM100" s="7">
        <v>925</v>
      </c>
      <c r="BN100" s="7">
        <v>196304</v>
      </c>
      <c r="BO100" s="7">
        <v>176494</v>
      </c>
      <c r="BP100" s="7">
        <v>206474</v>
      </c>
      <c r="BQ100" s="7">
        <v>217129</v>
      </c>
      <c r="BR100" s="7">
        <v>250746</v>
      </c>
      <c r="BS100" s="7"/>
      <c r="BT100" s="7"/>
      <c r="BU100" s="7"/>
      <c r="BV100" s="7"/>
      <c r="BW100" s="7"/>
      <c r="BX100" s="7"/>
      <c r="BY100" s="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9"/>
      <c r="DC100" s="39"/>
      <c r="DD100" s="39"/>
      <c r="DE100" s="39"/>
      <c r="DF100" s="39"/>
      <c r="DG100" s="39"/>
      <c r="DH100" s="39"/>
      <c r="DI100" s="39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</row>
    <row r="101" spans="1:139" x14ac:dyDescent="0.25">
      <c r="A101" s="70">
        <v>99</v>
      </c>
      <c r="B101" s="70" t="s">
        <v>280</v>
      </c>
      <c r="C101" s="171" t="s">
        <v>77</v>
      </c>
      <c r="D101" s="71" t="s">
        <v>78</v>
      </c>
      <c r="E101" s="72" t="s">
        <v>287</v>
      </c>
      <c r="F101" s="73">
        <v>1</v>
      </c>
      <c r="G101" s="70" t="s">
        <v>306</v>
      </c>
      <c r="H101" s="97">
        <v>31</v>
      </c>
      <c r="I101" s="98">
        <v>29</v>
      </c>
      <c r="J101" s="113">
        <v>31</v>
      </c>
      <c r="K101" s="134">
        <v>145830</v>
      </c>
      <c r="L101" s="100">
        <v>109103</v>
      </c>
      <c r="M101" s="135">
        <v>101271</v>
      </c>
      <c r="N101" s="121">
        <v>-110241</v>
      </c>
      <c r="O101" s="98">
        <v>-102951</v>
      </c>
      <c r="P101" s="113">
        <v>-102323</v>
      </c>
      <c r="Q101" s="134">
        <f t="shared" si="12"/>
        <v>256071</v>
      </c>
      <c r="R101" s="100">
        <f t="shared" si="13"/>
        <v>212054</v>
      </c>
      <c r="S101" s="135">
        <f t="shared" si="14"/>
        <v>203594</v>
      </c>
      <c r="T101" s="164">
        <v>395600</v>
      </c>
      <c r="U101" s="98">
        <v>403112</v>
      </c>
      <c r="V101" s="165">
        <v>383327</v>
      </c>
      <c r="W101" s="134">
        <v>62952</v>
      </c>
      <c r="X101" s="100">
        <v>9637</v>
      </c>
      <c r="Y101" s="135">
        <v>706</v>
      </c>
      <c r="Z101" s="121">
        <v>57259</v>
      </c>
      <c r="AA101" s="98">
        <v>8770</v>
      </c>
      <c r="AB101" s="99">
        <v>628</v>
      </c>
      <c r="AC101" s="15"/>
      <c r="AD101" s="15"/>
      <c r="AE101" s="7"/>
      <c r="AF101" s="7"/>
      <c r="AG101" s="7">
        <v>114739</v>
      </c>
      <c r="AH101" s="7">
        <v>310088</v>
      </c>
      <c r="AI101" s="7">
        <v>324536</v>
      </c>
      <c r="AJ101" s="7">
        <v>69125</v>
      </c>
      <c r="AK101" s="7">
        <v>-39781</v>
      </c>
      <c r="AL101" s="7"/>
      <c r="AM101" s="7"/>
      <c r="AN101" s="7"/>
      <c r="AO101" s="7">
        <f t="shared" si="8"/>
        <v>-69125</v>
      </c>
      <c r="AP101" s="7">
        <f t="shared" si="8"/>
        <v>39781</v>
      </c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>
        <v>480454</v>
      </c>
      <c r="BE101" s="7">
        <f>193895+165705</f>
        <v>359600</v>
      </c>
      <c r="BF101" s="7"/>
      <c r="BG101" s="7"/>
      <c r="BH101" s="7"/>
      <c r="BI101" s="7">
        <v>354234</v>
      </c>
      <c r="BJ101" s="7">
        <f>193895</f>
        <v>193895</v>
      </c>
      <c r="BK101" s="7">
        <v>248810</v>
      </c>
      <c r="BL101" s="7">
        <v>442885</v>
      </c>
      <c r="BM101" s="7">
        <v>535252</v>
      </c>
      <c r="BN101" s="7">
        <v>469165</v>
      </c>
      <c r="BO101" s="7">
        <f>269848+188385</f>
        <v>458233</v>
      </c>
      <c r="BP101" s="7">
        <v>602031</v>
      </c>
      <c r="BQ101" s="7">
        <v>586448</v>
      </c>
      <c r="BR101" s="7">
        <v>778519</v>
      </c>
      <c r="BS101" s="7"/>
      <c r="BT101" s="7"/>
      <c r="BU101" s="7"/>
      <c r="BV101" s="7"/>
      <c r="BW101" s="7"/>
      <c r="BX101" s="7"/>
      <c r="BY101" s="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9"/>
      <c r="DC101" s="39"/>
      <c r="DD101" s="39"/>
      <c r="DE101" s="39"/>
      <c r="DF101" s="39"/>
      <c r="DG101" s="39"/>
      <c r="DH101" s="39"/>
      <c r="DI101" s="39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</row>
    <row r="102" spans="1:139" ht="15.75" thickBot="1" x14ac:dyDescent="0.3">
      <c r="A102" s="80">
        <v>100</v>
      </c>
      <c r="B102" s="80" t="s">
        <v>280</v>
      </c>
      <c r="C102" s="172" t="s">
        <v>153</v>
      </c>
      <c r="D102" s="81" t="s">
        <v>154</v>
      </c>
      <c r="E102" s="82" t="s">
        <v>287</v>
      </c>
      <c r="F102" s="83">
        <v>1</v>
      </c>
      <c r="G102" s="80" t="s">
        <v>301</v>
      </c>
      <c r="H102" s="66">
        <v>4</v>
      </c>
      <c r="I102" s="67">
        <v>10</v>
      </c>
      <c r="J102" s="114">
        <v>7</v>
      </c>
      <c r="K102" s="136">
        <v>16661</v>
      </c>
      <c r="L102" s="69">
        <v>14341</v>
      </c>
      <c r="M102" s="137">
        <v>13182</v>
      </c>
      <c r="N102" s="122">
        <v>-2966</v>
      </c>
      <c r="O102" s="67">
        <v>2617</v>
      </c>
      <c r="P102" s="114">
        <v>4313</v>
      </c>
      <c r="Q102" s="136">
        <f t="shared" si="12"/>
        <v>19627</v>
      </c>
      <c r="R102" s="69">
        <f t="shared" si="13"/>
        <v>11724</v>
      </c>
      <c r="S102" s="137">
        <f t="shared" si="14"/>
        <v>8869</v>
      </c>
      <c r="T102" s="166">
        <v>53643</v>
      </c>
      <c r="U102" s="67">
        <v>118542</v>
      </c>
      <c r="V102" s="167">
        <v>97083</v>
      </c>
      <c r="W102" s="136">
        <v>-4378</v>
      </c>
      <c r="X102" s="69">
        <v>3874</v>
      </c>
      <c r="Y102" s="137">
        <v>1628</v>
      </c>
      <c r="Z102" s="122">
        <v>-4424</v>
      </c>
      <c r="AA102" s="67">
        <v>5584</v>
      </c>
      <c r="AB102" s="68">
        <v>1756</v>
      </c>
      <c r="AC102" s="15"/>
      <c r="AD102" s="15"/>
      <c r="AE102" s="7"/>
      <c r="AF102" s="7"/>
      <c r="AG102" s="7">
        <v>7112</v>
      </c>
      <c r="AH102" s="7">
        <v>5823</v>
      </c>
      <c r="AI102" s="7">
        <v>10720</v>
      </c>
      <c r="AJ102" s="7">
        <v>5333</v>
      </c>
      <c r="AK102" s="7">
        <v>8328</v>
      </c>
      <c r="AL102" s="7"/>
      <c r="AM102" s="7"/>
      <c r="AN102" s="7"/>
      <c r="AO102" s="7">
        <f>+AE102-AJ102</f>
        <v>-5333</v>
      </c>
      <c r="AP102" s="7">
        <f t="shared" si="8"/>
        <v>-8328</v>
      </c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>
        <v>51173</v>
      </c>
      <c r="BE102" s="7">
        <v>47354</v>
      </c>
      <c r="BF102" s="7"/>
      <c r="BG102" s="7"/>
      <c r="BH102" s="7"/>
      <c r="BI102" s="7">
        <v>7573</v>
      </c>
      <c r="BJ102" s="7">
        <v>6854</v>
      </c>
      <c r="BK102" s="7">
        <v>8270</v>
      </c>
      <c r="BL102" s="7">
        <v>6880</v>
      </c>
      <c r="BM102" s="7">
        <v>12835</v>
      </c>
      <c r="BN102" s="7">
        <v>50291</v>
      </c>
      <c r="BO102" s="7">
        <v>44063</v>
      </c>
      <c r="BP102" s="7">
        <v>55306</v>
      </c>
      <c r="BQ102" s="7">
        <v>59468</v>
      </c>
      <c r="BR102" s="7">
        <v>74358</v>
      </c>
      <c r="BS102" s="7"/>
      <c r="BT102" s="7"/>
      <c r="BU102" s="7"/>
      <c r="BV102" s="7"/>
      <c r="BW102" s="7"/>
      <c r="BX102" s="7"/>
      <c r="BY102" s="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9"/>
      <c r="DC102" s="39"/>
      <c r="DD102" s="39"/>
      <c r="DE102" s="39"/>
      <c r="DF102" s="39"/>
      <c r="DG102" s="39"/>
      <c r="DH102" s="39"/>
      <c r="DI102" s="39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</row>
    <row r="103" spans="1:139" x14ac:dyDescent="0.25">
      <c r="A103" s="70">
        <v>101</v>
      </c>
      <c r="B103" s="70" t="s">
        <v>267</v>
      </c>
      <c r="C103" s="171" t="s">
        <v>32</v>
      </c>
      <c r="D103" s="71" t="s">
        <v>33</v>
      </c>
      <c r="E103" s="72" t="s">
        <v>287</v>
      </c>
      <c r="F103" s="73">
        <v>1</v>
      </c>
      <c r="G103" s="70" t="s">
        <v>297</v>
      </c>
      <c r="H103" s="97">
        <v>16</v>
      </c>
      <c r="I103" s="98">
        <v>15</v>
      </c>
      <c r="J103" s="113">
        <v>12</v>
      </c>
      <c r="K103" s="134">
        <v>134315</v>
      </c>
      <c r="L103" s="100">
        <v>168531</v>
      </c>
      <c r="M103" s="135">
        <v>237744</v>
      </c>
      <c r="N103" s="121">
        <v>42834</v>
      </c>
      <c r="O103" s="98">
        <v>67854</v>
      </c>
      <c r="P103" s="113">
        <v>127578</v>
      </c>
      <c r="Q103" s="134">
        <f t="shared" si="12"/>
        <v>91481</v>
      </c>
      <c r="R103" s="100">
        <f t="shared" si="13"/>
        <v>100677</v>
      </c>
      <c r="S103" s="135">
        <f t="shared" si="14"/>
        <v>110166</v>
      </c>
      <c r="T103" s="164">
        <v>254159</v>
      </c>
      <c r="U103" s="98">
        <v>252896</v>
      </c>
      <c r="V103" s="165">
        <v>286628</v>
      </c>
      <c r="W103" s="134">
        <v>9668</v>
      </c>
      <c r="X103" s="100">
        <v>29738</v>
      </c>
      <c r="Y103" s="135">
        <v>71832</v>
      </c>
      <c r="Z103" s="121">
        <v>13706</v>
      </c>
      <c r="AA103" s="98">
        <v>25019</v>
      </c>
      <c r="AB103" s="99">
        <v>59723</v>
      </c>
      <c r="AC103" s="15"/>
      <c r="AD103" s="15"/>
      <c r="AE103" s="7"/>
      <c r="AF103" s="7"/>
      <c r="AG103" s="7">
        <v>4262547</v>
      </c>
      <c r="AH103" s="7">
        <v>2262993</v>
      </c>
      <c r="AI103" s="7">
        <v>2318093</v>
      </c>
      <c r="AJ103" s="7">
        <v>1745258</v>
      </c>
      <c r="AK103" s="7">
        <v>2018722</v>
      </c>
      <c r="AL103" s="7"/>
      <c r="AM103" s="7"/>
      <c r="AN103" s="7"/>
      <c r="AO103" s="7">
        <f t="shared" si="8"/>
        <v>-1745258</v>
      </c>
      <c r="AP103" s="7">
        <f t="shared" si="8"/>
        <v>-2018722</v>
      </c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>
        <v>1759322</v>
      </c>
      <c r="BE103" s="7">
        <v>1819429</v>
      </c>
      <c r="BF103" s="7"/>
      <c r="BG103" s="7"/>
      <c r="BH103" s="7"/>
      <c r="BI103" s="7">
        <v>639687</v>
      </c>
      <c r="BJ103" s="7">
        <v>394483</v>
      </c>
      <c r="BK103" s="7">
        <v>504440</v>
      </c>
      <c r="BL103" s="7">
        <v>722282</v>
      </c>
      <c r="BM103" s="7">
        <v>549653</v>
      </c>
      <c r="BN103" s="7">
        <v>1758613</v>
      </c>
      <c r="BO103" s="7">
        <v>1819226</v>
      </c>
      <c r="BP103" s="7">
        <v>1895512</v>
      </c>
      <c r="BQ103" s="7">
        <v>2200118</v>
      </c>
      <c r="BR103" s="7">
        <v>2071634</v>
      </c>
      <c r="BS103" s="7"/>
      <c r="BT103" s="7"/>
      <c r="BU103" s="7"/>
      <c r="BV103" s="7"/>
      <c r="BW103" s="7"/>
      <c r="BX103" s="7"/>
      <c r="BY103" s="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9"/>
      <c r="DC103" s="39"/>
      <c r="DD103" s="39"/>
      <c r="DE103" s="39"/>
      <c r="DF103" s="39"/>
      <c r="DG103" s="39"/>
      <c r="DH103" s="39"/>
      <c r="DI103" s="39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</row>
    <row r="104" spans="1:139" x14ac:dyDescent="0.25">
      <c r="A104" s="25">
        <v>102</v>
      </c>
      <c r="B104" s="25" t="s">
        <v>267</v>
      </c>
      <c r="C104" s="170" t="s">
        <v>296</v>
      </c>
      <c r="D104" s="26" t="s">
        <v>66</v>
      </c>
      <c r="E104" s="27" t="s">
        <v>287</v>
      </c>
      <c r="F104" s="84">
        <v>1</v>
      </c>
      <c r="G104" s="25" t="s">
        <v>310</v>
      </c>
      <c r="H104" s="53">
        <v>15</v>
      </c>
      <c r="I104" s="54">
        <v>15</v>
      </c>
      <c r="J104" s="109">
        <v>16</v>
      </c>
      <c r="K104" s="131">
        <v>18211</v>
      </c>
      <c r="L104" s="61">
        <v>9214</v>
      </c>
      <c r="M104" s="127">
        <v>86921</v>
      </c>
      <c r="N104" s="119">
        <v>-2663</v>
      </c>
      <c r="O104" s="54">
        <v>6258</v>
      </c>
      <c r="P104" s="109">
        <v>791</v>
      </c>
      <c r="Q104" s="131">
        <f t="shared" si="12"/>
        <v>20874</v>
      </c>
      <c r="R104" s="61">
        <f t="shared" si="13"/>
        <v>2956</v>
      </c>
      <c r="S104" s="127">
        <f t="shared" si="14"/>
        <v>86130</v>
      </c>
      <c r="T104" s="161">
        <v>239361</v>
      </c>
      <c r="U104" s="54">
        <v>233679</v>
      </c>
      <c r="V104" s="157">
        <v>248437</v>
      </c>
      <c r="W104" s="131">
        <v>3951</v>
      </c>
      <c r="X104" s="61">
        <v>9025</v>
      </c>
      <c r="Y104" s="127">
        <v>-4983</v>
      </c>
      <c r="Z104" s="119">
        <v>2868</v>
      </c>
      <c r="AA104" s="54">
        <v>8921</v>
      </c>
      <c r="AB104" s="51">
        <v>-5466</v>
      </c>
      <c r="AC104" s="15"/>
      <c r="AD104" s="15"/>
      <c r="AE104" s="7"/>
      <c r="AF104" s="7"/>
      <c r="AG104" s="7">
        <v>159466</v>
      </c>
      <c r="AH104" s="7">
        <v>257741</v>
      </c>
      <c r="AI104" s="7">
        <v>257553</v>
      </c>
      <c r="AJ104" s="7">
        <v>-53054</v>
      </c>
      <c r="AK104" s="7">
        <v>-133109</v>
      </c>
      <c r="AL104" s="7"/>
      <c r="AM104" s="7"/>
      <c r="AN104" s="7"/>
      <c r="AO104" s="7">
        <f t="shared" si="8"/>
        <v>53054</v>
      </c>
      <c r="AP104" s="7">
        <f t="shared" si="8"/>
        <v>133109</v>
      </c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>
        <v>619883</v>
      </c>
      <c r="BE104" s="7">
        <v>523910</v>
      </c>
      <c r="BF104" s="7"/>
      <c r="BG104" s="7"/>
      <c r="BH104" s="7"/>
      <c r="BI104" s="7">
        <v>62392</v>
      </c>
      <c r="BJ104" s="7">
        <v>35050</v>
      </c>
      <c r="BK104" s="7">
        <v>25913</v>
      </c>
      <c r="BL104" s="7">
        <v>45478</v>
      </c>
      <c r="BM104" s="7">
        <v>64966</v>
      </c>
      <c r="BN104" s="7">
        <v>632379</v>
      </c>
      <c r="BO104" s="7">
        <v>604304</v>
      </c>
      <c r="BP104" s="7">
        <v>649390</v>
      </c>
      <c r="BQ104" s="7">
        <v>622140</v>
      </c>
      <c r="BR104" s="7">
        <v>636762</v>
      </c>
      <c r="BS104" s="7"/>
      <c r="BT104" s="7"/>
      <c r="BU104" s="7"/>
      <c r="BV104" s="7"/>
      <c r="BW104" s="7"/>
      <c r="BX104" s="7"/>
      <c r="BY104" s="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9"/>
      <c r="DC104" s="39"/>
      <c r="DD104" s="39"/>
      <c r="DE104" s="39"/>
      <c r="DF104" s="39"/>
      <c r="DG104" s="39"/>
      <c r="DH104" s="39"/>
      <c r="DI104" s="39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</row>
    <row r="105" spans="1:139" x14ac:dyDescent="0.25">
      <c r="A105" s="25">
        <v>103</v>
      </c>
      <c r="B105" s="25" t="s">
        <v>267</v>
      </c>
      <c r="C105" s="170" t="s">
        <v>105</v>
      </c>
      <c r="D105" s="26" t="s">
        <v>106</v>
      </c>
      <c r="E105" s="27" t="s">
        <v>287</v>
      </c>
      <c r="F105" s="28">
        <v>1</v>
      </c>
      <c r="G105" s="25" t="s">
        <v>306</v>
      </c>
      <c r="H105" s="53">
        <v>114</v>
      </c>
      <c r="I105" s="54">
        <v>165</v>
      </c>
      <c r="J105" s="109">
        <v>171</v>
      </c>
      <c r="K105" s="131">
        <v>1124628</v>
      </c>
      <c r="L105" s="61">
        <v>1331878</v>
      </c>
      <c r="M105" s="127">
        <v>2037511</v>
      </c>
      <c r="N105" s="119">
        <v>505492</v>
      </c>
      <c r="O105" s="54">
        <v>529702</v>
      </c>
      <c r="P105" s="109">
        <v>680762</v>
      </c>
      <c r="Q105" s="131">
        <f t="shared" si="12"/>
        <v>619136</v>
      </c>
      <c r="R105" s="61">
        <f t="shared" si="13"/>
        <v>802176</v>
      </c>
      <c r="S105" s="127">
        <f t="shared" si="14"/>
        <v>1356749</v>
      </c>
      <c r="T105" s="161">
        <v>2667383</v>
      </c>
      <c r="U105" s="54">
        <v>3075666</v>
      </c>
      <c r="V105" s="157">
        <v>3473057</v>
      </c>
      <c r="W105" s="131">
        <v>38785</v>
      </c>
      <c r="X105" s="61">
        <v>97550</v>
      </c>
      <c r="Y105" s="127">
        <v>74643</v>
      </c>
      <c r="Z105" s="119">
        <v>15151</v>
      </c>
      <c r="AA105" s="54">
        <v>24209</v>
      </c>
      <c r="AB105" s="51">
        <v>9488</v>
      </c>
      <c r="AC105" s="15"/>
      <c r="AD105" s="15"/>
      <c r="AE105" s="7"/>
      <c r="AF105" s="7"/>
      <c r="AG105" s="7">
        <v>160261</v>
      </c>
      <c r="AH105" s="7">
        <v>181710</v>
      </c>
      <c r="AI105" s="7">
        <v>359031</v>
      </c>
      <c r="AJ105" s="7">
        <v>37568</v>
      </c>
      <c r="AK105" s="7">
        <v>79475</v>
      </c>
      <c r="AL105" s="7"/>
      <c r="AM105" s="7"/>
      <c r="AN105" s="7"/>
      <c r="AO105" s="7">
        <f t="shared" si="8"/>
        <v>-37568</v>
      </c>
      <c r="AP105" s="7">
        <f t="shared" si="8"/>
        <v>-79475</v>
      </c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>
        <v>400789</v>
      </c>
      <c r="BE105" s="7">
        <v>451053</v>
      </c>
      <c r="BF105" s="7"/>
      <c r="BG105" s="7"/>
      <c r="BH105" s="7"/>
      <c r="BI105" s="7">
        <v>112893</v>
      </c>
      <c r="BJ105" s="7">
        <v>134931</v>
      </c>
      <c r="BK105" s="7">
        <v>157171</v>
      </c>
      <c r="BL105" s="7">
        <v>176427</v>
      </c>
      <c r="BM105" s="7">
        <v>292204</v>
      </c>
      <c r="BN105" s="7">
        <v>418843</v>
      </c>
      <c r="BO105" s="7">
        <v>409146</v>
      </c>
      <c r="BP105" s="7">
        <v>450910</v>
      </c>
      <c r="BQ105" s="7">
        <v>511460</v>
      </c>
      <c r="BR105" s="7">
        <v>692227</v>
      </c>
      <c r="BS105" s="7"/>
      <c r="BT105" s="7"/>
      <c r="BU105" s="7"/>
      <c r="BV105" s="7"/>
      <c r="BW105" s="7"/>
      <c r="BX105" s="7"/>
      <c r="BY105" s="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9"/>
      <c r="DC105" s="39"/>
      <c r="DD105" s="39"/>
      <c r="DE105" s="39"/>
      <c r="DF105" s="39"/>
      <c r="DG105" s="39"/>
      <c r="DH105" s="39"/>
      <c r="DI105" s="39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</row>
    <row r="106" spans="1:139" x14ac:dyDescent="0.25">
      <c r="A106" s="25">
        <v>104</v>
      </c>
      <c r="B106" s="25" t="s">
        <v>267</v>
      </c>
      <c r="C106" s="170" t="s">
        <v>166</v>
      </c>
      <c r="D106" s="26" t="s">
        <v>167</v>
      </c>
      <c r="E106" s="27" t="s">
        <v>287</v>
      </c>
      <c r="F106" s="28">
        <v>1</v>
      </c>
      <c r="G106" s="25" t="s">
        <v>308</v>
      </c>
      <c r="H106" s="53">
        <v>18</v>
      </c>
      <c r="I106" s="54">
        <v>25</v>
      </c>
      <c r="J106" s="109">
        <v>25</v>
      </c>
      <c r="K106" s="131">
        <v>282972</v>
      </c>
      <c r="L106" s="61">
        <v>451145</v>
      </c>
      <c r="M106" s="127">
        <v>631973</v>
      </c>
      <c r="N106" s="119">
        <v>259922</v>
      </c>
      <c r="O106" s="54">
        <v>412037</v>
      </c>
      <c r="P106" s="109">
        <v>582309</v>
      </c>
      <c r="Q106" s="131">
        <f t="shared" si="12"/>
        <v>23050</v>
      </c>
      <c r="R106" s="61">
        <f t="shared" si="13"/>
        <v>39108</v>
      </c>
      <c r="S106" s="127">
        <f t="shared" si="14"/>
        <v>49664</v>
      </c>
      <c r="T106" s="161">
        <v>514339</v>
      </c>
      <c r="U106" s="54">
        <v>621390</v>
      </c>
      <c r="V106" s="157">
        <v>755044</v>
      </c>
      <c r="W106" s="131">
        <v>89170</v>
      </c>
      <c r="X106" s="61">
        <v>169785</v>
      </c>
      <c r="Y106" s="127">
        <v>228523</v>
      </c>
      <c r="Z106" s="119">
        <v>85220</v>
      </c>
      <c r="AA106" s="54">
        <v>152115</v>
      </c>
      <c r="AB106" s="51">
        <v>170272</v>
      </c>
      <c r="AC106" s="15"/>
      <c r="AD106" s="15"/>
      <c r="AE106" s="7"/>
      <c r="AF106" s="7"/>
      <c r="AG106" s="7">
        <v>2376705</v>
      </c>
      <c r="AH106" s="7">
        <v>2362364</v>
      </c>
      <c r="AI106" s="7">
        <v>2376342</v>
      </c>
      <c r="AJ106" s="7">
        <v>2249550</v>
      </c>
      <c r="AK106" s="7">
        <v>2133276</v>
      </c>
      <c r="AL106" s="7"/>
      <c r="AM106" s="7"/>
      <c r="AN106" s="7"/>
      <c r="AO106" s="7">
        <f t="shared" si="8"/>
        <v>-2249550</v>
      </c>
      <c r="AP106" s="7">
        <f t="shared" si="8"/>
        <v>-2133276</v>
      </c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>
        <v>324259</v>
      </c>
      <c r="BE106" s="7">
        <v>265119</v>
      </c>
      <c r="BF106" s="7"/>
      <c r="BG106" s="7"/>
      <c r="BH106" s="7"/>
      <c r="BI106" s="7">
        <v>12476</v>
      </c>
      <c r="BJ106" s="7">
        <v>6881</v>
      </c>
      <c r="BK106" s="7">
        <v>11656</v>
      </c>
      <c r="BL106" s="7">
        <v>16770</v>
      </c>
      <c r="BM106" s="7">
        <v>15743</v>
      </c>
      <c r="BN106" s="7">
        <v>393440</v>
      </c>
      <c r="BO106" s="7">
        <v>381394</v>
      </c>
      <c r="BP106" s="7">
        <v>373895</v>
      </c>
      <c r="BQ106" s="7">
        <v>368277</v>
      </c>
      <c r="BR106" s="7">
        <v>379474</v>
      </c>
      <c r="BS106" s="7"/>
      <c r="BT106" s="7"/>
      <c r="BU106" s="7"/>
      <c r="BV106" s="7"/>
      <c r="BW106" s="7"/>
      <c r="BX106" s="7"/>
      <c r="BY106" s="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9"/>
      <c r="DC106" s="39"/>
      <c r="DD106" s="39"/>
      <c r="DE106" s="39"/>
      <c r="DF106" s="39"/>
      <c r="DG106" s="39"/>
      <c r="DH106" s="39"/>
      <c r="DI106" s="39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</row>
    <row r="107" spans="1:139" ht="15.75" thickBot="1" x14ac:dyDescent="0.3">
      <c r="A107" s="80">
        <v>105</v>
      </c>
      <c r="B107" s="80" t="s">
        <v>267</v>
      </c>
      <c r="C107" s="172" t="s">
        <v>242</v>
      </c>
      <c r="D107" s="81" t="s">
        <v>243</v>
      </c>
      <c r="E107" s="82" t="s">
        <v>287</v>
      </c>
      <c r="F107" s="83">
        <v>1</v>
      </c>
      <c r="G107" s="80" t="s">
        <v>306</v>
      </c>
      <c r="H107" s="66">
        <v>57</v>
      </c>
      <c r="I107" s="67">
        <v>62</v>
      </c>
      <c r="J107" s="114">
        <v>63</v>
      </c>
      <c r="K107" s="136">
        <v>28857238</v>
      </c>
      <c r="L107" s="69">
        <v>28610353</v>
      </c>
      <c r="M107" s="137">
        <v>28480221</v>
      </c>
      <c r="N107" s="122">
        <v>2038639</v>
      </c>
      <c r="O107" s="67">
        <v>2117138</v>
      </c>
      <c r="P107" s="114">
        <v>2234066</v>
      </c>
      <c r="Q107" s="136">
        <f t="shared" si="12"/>
        <v>26818599</v>
      </c>
      <c r="R107" s="69">
        <f t="shared" si="13"/>
        <v>26493215</v>
      </c>
      <c r="S107" s="137">
        <f t="shared" si="14"/>
        <v>26246155</v>
      </c>
      <c r="T107" s="166">
        <v>3479446</v>
      </c>
      <c r="U107" s="67">
        <v>3619585</v>
      </c>
      <c r="V107" s="167">
        <v>3302926</v>
      </c>
      <c r="W107" s="136">
        <v>202502</v>
      </c>
      <c r="X107" s="69">
        <v>425372</v>
      </c>
      <c r="Y107" s="137">
        <v>266809</v>
      </c>
      <c r="Z107" s="122">
        <v>29401</v>
      </c>
      <c r="AA107" s="67">
        <v>112999</v>
      </c>
      <c r="AB107" s="68">
        <v>116928</v>
      </c>
      <c r="AC107" s="15"/>
      <c r="AD107" s="15"/>
      <c r="AE107" s="7"/>
      <c r="AF107" s="7"/>
      <c r="AG107" s="7">
        <v>2300199</v>
      </c>
      <c r="AH107" s="7">
        <v>2437526</v>
      </c>
      <c r="AI107" s="7">
        <v>2509140</v>
      </c>
      <c r="AJ107" s="7">
        <v>2185409</v>
      </c>
      <c r="AK107" s="7">
        <v>1925428</v>
      </c>
      <c r="AL107" s="7"/>
      <c r="AM107" s="7"/>
      <c r="AN107" s="7"/>
      <c r="AO107" s="7">
        <f t="shared" si="8"/>
        <v>-2185409</v>
      </c>
      <c r="AP107" s="7">
        <f t="shared" si="8"/>
        <v>-1925428</v>
      </c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>
        <v>2269608</v>
      </c>
      <c r="BE107" s="7">
        <v>2091929</v>
      </c>
      <c r="BF107" s="7"/>
      <c r="BG107" s="7"/>
      <c r="BH107" s="7"/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2257007</v>
      </c>
      <c r="BO107" s="7">
        <v>2341452</v>
      </c>
      <c r="BP107" s="7">
        <v>2238873</v>
      </c>
      <c r="BQ107" s="7">
        <v>2223241</v>
      </c>
      <c r="BR107" s="7">
        <v>2613234</v>
      </c>
      <c r="BS107" s="7"/>
      <c r="BT107" s="7"/>
      <c r="BU107" s="7"/>
      <c r="BV107" s="7"/>
      <c r="BW107" s="7"/>
      <c r="BX107" s="7"/>
      <c r="BY107" s="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9"/>
      <c r="DC107" s="39"/>
      <c r="DD107" s="39"/>
      <c r="DE107" s="39"/>
      <c r="DF107" s="39"/>
      <c r="DG107" s="39"/>
      <c r="DH107" s="39"/>
      <c r="DI107" s="39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</row>
    <row r="108" spans="1:139" x14ac:dyDescent="0.25">
      <c r="A108" s="70">
        <v>106</v>
      </c>
      <c r="B108" s="70" t="s">
        <v>278</v>
      </c>
      <c r="C108" s="171" t="s">
        <v>107</v>
      </c>
      <c r="D108" s="71" t="s">
        <v>108</v>
      </c>
      <c r="E108" s="72" t="s">
        <v>287</v>
      </c>
      <c r="F108" s="73">
        <v>1</v>
      </c>
      <c r="G108" s="70" t="s">
        <v>306</v>
      </c>
      <c r="H108" s="97">
        <v>20</v>
      </c>
      <c r="I108" s="98">
        <v>32</v>
      </c>
      <c r="J108" s="113">
        <v>48</v>
      </c>
      <c r="K108" s="134">
        <v>197855</v>
      </c>
      <c r="L108" s="100">
        <v>272887</v>
      </c>
      <c r="M108" s="135">
        <v>345428</v>
      </c>
      <c r="N108" s="121">
        <v>91920</v>
      </c>
      <c r="O108" s="98">
        <v>139763</v>
      </c>
      <c r="P108" s="113">
        <v>234931</v>
      </c>
      <c r="Q108" s="134">
        <f t="shared" si="12"/>
        <v>105935</v>
      </c>
      <c r="R108" s="100">
        <f t="shared" si="13"/>
        <v>133124</v>
      </c>
      <c r="S108" s="135">
        <f t="shared" si="14"/>
        <v>110497</v>
      </c>
      <c r="T108" s="164">
        <f>428493+200790</f>
        <v>629283</v>
      </c>
      <c r="U108" s="98">
        <f>473169+100452</f>
        <v>573621</v>
      </c>
      <c r="V108" s="165">
        <f>535693+194703</f>
        <v>730396</v>
      </c>
      <c r="W108" s="134">
        <v>98726</v>
      </c>
      <c r="X108" s="100">
        <v>40866</v>
      </c>
      <c r="Y108" s="135">
        <v>96781</v>
      </c>
      <c r="Z108" s="121">
        <v>98726</v>
      </c>
      <c r="AA108" s="98">
        <v>35068</v>
      </c>
      <c r="AB108" s="99">
        <v>86602</v>
      </c>
      <c r="AC108" s="15"/>
      <c r="AD108" s="15"/>
      <c r="AE108" s="7"/>
      <c r="AF108" s="7"/>
      <c r="AG108" s="7">
        <v>1107172</v>
      </c>
      <c r="AH108" s="7">
        <v>1107172</v>
      </c>
      <c r="AI108" s="7">
        <v>1107172</v>
      </c>
      <c r="AJ108" s="7">
        <v>1084611</v>
      </c>
      <c r="AK108" s="7">
        <v>1070839</v>
      </c>
      <c r="AL108" s="7"/>
      <c r="AM108" s="7"/>
      <c r="AN108" s="7"/>
      <c r="AO108" s="7">
        <f t="shared" si="8"/>
        <v>-1084611</v>
      </c>
      <c r="AP108" s="7">
        <f t="shared" si="8"/>
        <v>-1070839</v>
      </c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>
        <v>219562</v>
      </c>
      <c r="BE108" s="7">
        <v>3095</v>
      </c>
      <c r="BF108" s="7"/>
      <c r="BG108" s="7"/>
      <c r="BH108" s="7"/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254329</v>
      </c>
      <c r="BO108" s="7">
        <v>16866</v>
      </c>
      <c r="BP108" s="7">
        <v>13883</v>
      </c>
      <c r="BQ108" s="7">
        <v>13451</v>
      </c>
      <c r="BR108" s="7">
        <v>13426</v>
      </c>
      <c r="BS108" s="7"/>
      <c r="BT108" s="7"/>
      <c r="BU108" s="7"/>
      <c r="BV108" s="7"/>
      <c r="BW108" s="7"/>
      <c r="BX108" s="7"/>
      <c r="BY108" s="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9"/>
      <c r="DC108" s="39"/>
      <c r="DD108" s="39"/>
      <c r="DE108" s="39"/>
      <c r="DF108" s="39"/>
      <c r="DG108" s="39"/>
      <c r="DH108" s="39"/>
      <c r="DI108" s="39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</row>
    <row r="109" spans="1:139" x14ac:dyDescent="0.25">
      <c r="A109" s="25">
        <v>107</v>
      </c>
      <c r="B109" s="25" t="s">
        <v>278</v>
      </c>
      <c r="C109" s="170" t="s">
        <v>177</v>
      </c>
      <c r="D109" s="26" t="s">
        <v>178</v>
      </c>
      <c r="E109" s="27" t="s">
        <v>287</v>
      </c>
      <c r="F109" s="28">
        <v>1</v>
      </c>
      <c r="G109" s="25" t="s">
        <v>307</v>
      </c>
      <c r="H109" s="53">
        <v>1</v>
      </c>
      <c r="I109" s="54">
        <v>36</v>
      </c>
      <c r="J109" s="109">
        <v>41</v>
      </c>
      <c r="K109" s="131">
        <v>10</v>
      </c>
      <c r="L109" s="61">
        <v>18115</v>
      </c>
      <c r="M109" s="127">
        <v>22483</v>
      </c>
      <c r="N109" s="119">
        <v>-1155</v>
      </c>
      <c r="O109" s="54">
        <v>6909</v>
      </c>
      <c r="P109" s="109">
        <v>-17273</v>
      </c>
      <c r="Q109" s="131">
        <f t="shared" si="12"/>
        <v>1165</v>
      </c>
      <c r="R109" s="61">
        <f t="shared" si="13"/>
        <v>11206</v>
      </c>
      <c r="S109" s="127">
        <f t="shared" si="14"/>
        <v>39756</v>
      </c>
      <c r="T109" s="161">
        <v>0</v>
      </c>
      <c r="U109" s="54">
        <f>336708+100000</f>
        <v>436708</v>
      </c>
      <c r="V109" s="157">
        <f>344441+102000</f>
        <v>446441</v>
      </c>
      <c r="W109" s="131">
        <v>-1155</v>
      </c>
      <c r="X109" s="61">
        <v>8962</v>
      </c>
      <c r="Y109" s="127">
        <v>-24179</v>
      </c>
      <c r="Z109" s="119">
        <v>-1155</v>
      </c>
      <c r="AA109" s="54">
        <v>8064</v>
      </c>
      <c r="AB109" s="51">
        <v>-24182</v>
      </c>
      <c r="AC109" s="15"/>
      <c r="AD109" s="15"/>
      <c r="AE109" s="7"/>
      <c r="AF109" s="7"/>
      <c r="AG109" s="7">
        <v>3603437</v>
      </c>
      <c r="AH109" s="7">
        <v>3566629</v>
      </c>
      <c r="AI109" s="7">
        <v>3364729</v>
      </c>
      <c r="AJ109" s="7">
        <v>2463841</v>
      </c>
      <c r="AK109" s="7">
        <v>2462115</v>
      </c>
      <c r="AL109" s="7"/>
      <c r="AM109" s="7"/>
      <c r="AN109" s="7"/>
      <c r="AO109" s="7">
        <f t="shared" si="8"/>
        <v>-2463841</v>
      </c>
      <c r="AP109" s="7">
        <f t="shared" si="8"/>
        <v>-2462115</v>
      </c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>
        <v>1158864</v>
      </c>
      <c r="BE109" s="7">
        <v>1093899</v>
      </c>
      <c r="BF109" s="7"/>
      <c r="BG109" s="7"/>
      <c r="BH109" s="7"/>
      <c r="BI109" s="7">
        <v>1142641</v>
      </c>
      <c r="BJ109" s="7">
        <v>1077939</v>
      </c>
      <c r="BK109" s="7">
        <v>1207423</v>
      </c>
      <c r="BL109" s="7">
        <v>1054733</v>
      </c>
      <c r="BM109" s="7">
        <v>1117835</v>
      </c>
      <c r="BN109" s="7">
        <v>1151351</v>
      </c>
      <c r="BO109" s="7">
        <v>1089818</v>
      </c>
      <c r="BP109" s="7">
        <v>1252937</v>
      </c>
      <c r="BQ109" s="7">
        <v>1299274</v>
      </c>
      <c r="BR109" s="7">
        <v>1440952</v>
      </c>
      <c r="BS109" s="7"/>
      <c r="BT109" s="7"/>
      <c r="BU109" s="7"/>
      <c r="BV109" s="7"/>
      <c r="BW109" s="7"/>
      <c r="BX109" s="7"/>
      <c r="BY109" s="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9"/>
      <c r="DC109" s="39"/>
      <c r="DD109" s="39"/>
      <c r="DE109" s="39"/>
      <c r="DF109" s="39"/>
      <c r="DG109" s="39"/>
      <c r="DH109" s="39"/>
      <c r="DI109" s="39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</row>
    <row r="110" spans="1:139" ht="15.75" thickBot="1" x14ac:dyDescent="0.3">
      <c r="A110" s="25">
        <v>108</v>
      </c>
      <c r="B110" s="80" t="s">
        <v>278</v>
      </c>
      <c r="C110" s="172" t="s">
        <v>248</v>
      </c>
      <c r="D110" s="81" t="s">
        <v>249</v>
      </c>
      <c r="E110" s="82" t="s">
        <v>287</v>
      </c>
      <c r="F110" s="83">
        <v>1</v>
      </c>
      <c r="G110" s="80" t="s">
        <v>306</v>
      </c>
      <c r="H110" s="66">
        <v>0</v>
      </c>
      <c r="I110" s="67">
        <v>33</v>
      </c>
      <c r="J110" s="114">
        <v>43</v>
      </c>
      <c r="K110" s="136">
        <v>0</v>
      </c>
      <c r="L110" s="69">
        <v>160080</v>
      </c>
      <c r="M110" s="137">
        <v>196457</v>
      </c>
      <c r="N110" s="122">
        <v>0</v>
      </c>
      <c r="O110" s="67">
        <v>105399</v>
      </c>
      <c r="P110" s="114">
        <v>141294</v>
      </c>
      <c r="Q110" s="136">
        <f t="shared" si="12"/>
        <v>0</v>
      </c>
      <c r="R110" s="69">
        <f t="shared" si="13"/>
        <v>54681</v>
      </c>
      <c r="S110" s="137">
        <f t="shared" si="14"/>
        <v>55163</v>
      </c>
      <c r="T110" s="166">
        <v>0</v>
      </c>
      <c r="U110" s="67">
        <f>503138+53000</f>
        <v>556138</v>
      </c>
      <c r="V110" s="167">
        <f>493033+90039</f>
        <v>583072</v>
      </c>
      <c r="W110" s="136">
        <v>0</v>
      </c>
      <c r="X110" s="69">
        <v>116281</v>
      </c>
      <c r="Y110" s="137">
        <v>46522</v>
      </c>
      <c r="Z110" s="122">
        <v>0</v>
      </c>
      <c r="AA110" s="67">
        <v>105399</v>
      </c>
      <c r="AB110" s="68">
        <v>35895</v>
      </c>
      <c r="AC110" s="15"/>
      <c r="AD110" s="15"/>
      <c r="AE110" s="7"/>
      <c r="AF110" s="7"/>
      <c r="AG110" s="7">
        <v>9645406</v>
      </c>
      <c r="AH110" s="7">
        <v>9845335</v>
      </c>
      <c r="AI110" s="7">
        <v>10048846</v>
      </c>
      <c r="AJ110" s="7">
        <v>6448824</v>
      </c>
      <c r="AK110" s="7">
        <v>6337092</v>
      </c>
      <c r="AL110" s="7"/>
      <c r="AM110" s="7"/>
      <c r="AN110" s="7"/>
      <c r="AO110" s="7">
        <f t="shared" si="8"/>
        <v>-6448824</v>
      </c>
      <c r="AP110" s="7">
        <f t="shared" si="8"/>
        <v>-6337092</v>
      </c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>
        <v>1268229</v>
      </c>
      <c r="BE110" s="7">
        <v>1347345</v>
      </c>
      <c r="BF110" s="7"/>
      <c r="BG110" s="7"/>
      <c r="BH110" s="7"/>
      <c r="BI110" s="7">
        <v>1246852</v>
      </c>
      <c r="BJ110" s="7">
        <v>1265862</v>
      </c>
      <c r="BK110" s="7">
        <v>1350623</v>
      </c>
      <c r="BL110" s="7">
        <v>1321050</v>
      </c>
      <c r="BM110" s="7">
        <v>1104883</v>
      </c>
      <c r="BN110" s="7">
        <v>1462262</v>
      </c>
      <c r="BO110" s="7">
        <v>1617528</v>
      </c>
      <c r="BP110" s="7">
        <v>1850007</v>
      </c>
      <c r="BQ110" s="7">
        <v>2181673</v>
      </c>
      <c r="BR110" s="7">
        <v>1783062</v>
      </c>
      <c r="BS110" s="7"/>
      <c r="BT110" s="7"/>
      <c r="BU110" s="7"/>
      <c r="BV110" s="7"/>
      <c r="BW110" s="7"/>
      <c r="BX110" s="7"/>
      <c r="BY110" s="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9"/>
      <c r="DC110" s="39"/>
      <c r="DD110" s="39"/>
      <c r="DE110" s="39"/>
      <c r="DF110" s="39"/>
      <c r="DG110" s="39"/>
      <c r="DH110" s="39"/>
      <c r="DI110" s="39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</row>
    <row r="111" spans="1:139" x14ac:dyDescent="0.25">
      <c r="A111" s="70">
        <v>109</v>
      </c>
      <c r="B111" s="70" t="s">
        <v>263</v>
      </c>
      <c r="C111" s="171" t="s">
        <v>14</v>
      </c>
      <c r="D111" s="71" t="s">
        <v>15</v>
      </c>
      <c r="E111" s="72" t="s">
        <v>287</v>
      </c>
      <c r="F111" s="73">
        <v>1</v>
      </c>
      <c r="G111" s="70" t="s">
        <v>298</v>
      </c>
      <c r="H111" s="97">
        <v>11</v>
      </c>
      <c r="I111" s="98">
        <v>10</v>
      </c>
      <c r="J111" s="113">
        <v>8</v>
      </c>
      <c r="K111" s="134">
        <v>7835</v>
      </c>
      <c r="L111" s="100">
        <v>8594</v>
      </c>
      <c r="M111" s="135">
        <v>6850</v>
      </c>
      <c r="N111" s="121">
        <v>-400275</v>
      </c>
      <c r="O111" s="98">
        <v>-357850</v>
      </c>
      <c r="P111" s="113">
        <v>-306822</v>
      </c>
      <c r="Q111" s="134">
        <f t="shared" si="12"/>
        <v>408110</v>
      </c>
      <c r="R111" s="100">
        <f t="shared" si="13"/>
        <v>366444</v>
      </c>
      <c r="S111" s="135">
        <f t="shared" si="14"/>
        <v>313672</v>
      </c>
      <c r="T111" s="164">
        <v>112550</v>
      </c>
      <c r="U111" s="98">
        <v>160789</v>
      </c>
      <c r="V111" s="165">
        <v>162427</v>
      </c>
      <c r="W111" s="134">
        <v>-22075</v>
      </c>
      <c r="X111" s="100">
        <v>47723</v>
      </c>
      <c r="Y111" s="135">
        <v>52957</v>
      </c>
      <c r="Z111" s="121">
        <v>-22075</v>
      </c>
      <c r="AA111" s="98">
        <v>43741</v>
      </c>
      <c r="AB111" s="99">
        <v>51028</v>
      </c>
      <c r="AC111" s="15">
        <v>6</v>
      </c>
      <c r="AD111" s="15">
        <v>6</v>
      </c>
      <c r="AE111" s="7"/>
      <c r="AF111" s="7"/>
      <c r="AG111" s="7">
        <v>6077489</v>
      </c>
      <c r="AH111" s="7">
        <v>6840723</v>
      </c>
      <c r="AI111" s="7">
        <v>7072969</v>
      </c>
      <c r="AJ111" s="7">
        <v>-3520005</v>
      </c>
      <c r="AK111" s="7">
        <v>-4864687</v>
      </c>
      <c r="AL111" s="7"/>
      <c r="AM111" s="7"/>
      <c r="AN111" s="7"/>
      <c r="AO111" s="7">
        <f t="shared" ref="AO111:AP126" si="15">+AE111-AJ111</f>
        <v>3520005</v>
      </c>
      <c r="AP111" s="7">
        <f t="shared" si="15"/>
        <v>4864687</v>
      </c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>
        <v>1720528</v>
      </c>
      <c r="BE111" s="7">
        <f>1016899+242876</f>
        <v>1259775</v>
      </c>
      <c r="BF111" s="7"/>
      <c r="BG111" s="7"/>
      <c r="BH111" s="7"/>
      <c r="BI111" s="7">
        <v>1039234</v>
      </c>
      <c r="BJ111" s="7">
        <f>1016899</f>
        <v>1016899</v>
      </c>
      <c r="BK111" s="7">
        <v>899138</v>
      </c>
      <c r="BL111" s="7">
        <v>823896</v>
      </c>
      <c r="BM111" s="7">
        <v>721369</v>
      </c>
      <c r="BN111" s="7">
        <v>2620529</v>
      </c>
      <c r="BO111" s="7">
        <f>1506340+725874+24488+81336</f>
        <v>2338038</v>
      </c>
      <c r="BP111" s="7">
        <v>3510721</v>
      </c>
      <c r="BQ111" s="7">
        <v>2728765</v>
      </c>
      <c r="BR111" s="7">
        <v>2789599</v>
      </c>
      <c r="BS111" s="7"/>
      <c r="BT111" s="7"/>
      <c r="BU111" s="7"/>
      <c r="BV111" s="7"/>
      <c r="BW111" s="7"/>
      <c r="BX111" s="7"/>
      <c r="BY111" s="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9"/>
      <c r="DC111" s="39"/>
      <c r="DD111" s="39"/>
      <c r="DE111" s="39"/>
      <c r="DF111" s="39"/>
      <c r="DG111" s="39"/>
      <c r="DH111" s="39"/>
      <c r="DI111" s="39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</row>
    <row r="112" spans="1:139" x14ac:dyDescent="0.25">
      <c r="A112" s="25">
        <v>110</v>
      </c>
      <c r="B112" s="25" t="s">
        <v>263</v>
      </c>
      <c r="C112" s="170" t="s">
        <v>60</v>
      </c>
      <c r="D112" s="26" t="s">
        <v>61</v>
      </c>
      <c r="E112" s="27" t="s">
        <v>294</v>
      </c>
      <c r="F112" s="102">
        <v>1</v>
      </c>
      <c r="G112" s="25" t="s">
        <v>307</v>
      </c>
      <c r="H112" s="53">
        <v>13</v>
      </c>
      <c r="I112" s="54">
        <v>13</v>
      </c>
      <c r="J112" s="109">
        <v>13</v>
      </c>
      <c r="K112" s="131">
        <v>13201</v>
      </c>
      <c r="L112" s="61">
        <v>54922</v>
      </c>
      <c r="M112" s="127">
        <v>17388</v>
      </c>
      <c r="N112" s="119">
        <v>-531823</v>
      </c>
      <c r="O112" s="54">
        <v>-489616</v>
      </c>
      <c r="P112" s="109">
        <v>-485393</v>
      </c>
      <c r="Q112" s="131">
        <f t="shared" si="12"/>
        <v>545024</v>
      </c>
      <c r="R112" s="61">
        <f t="shared" si="13"/>
        <v>544538</v>
      </c>
      <c r="S112" s="127">
        <f t="shared" si="14"/>
        <v>502781</v>
      </c>
      <c r="T112" s="161">
        <v>131210</v>
      </c>
      <c r="U112" s="54">
        <v>196271</v>
      </c>
      <c r="V112" s="157">
        <v>206055</v>
      </c>
      <c r="W112" s="131">
        <v>-2870</v>
      </c>
      <c r="X112" s="61">
        <v>45858</v>
      </c>
      <c r="Y112" s="127">
        <v>6929</v>
      </c>
      <c r="Z112" s="119">
        <v>-2870</v>
      </c>
      <c r="AA112" s="54">
        <v>42207</v>
      </c>
      <c r="AB112" s="51">
        <v>4223</v>
      </c>
      <c r="AC112" s="15"/>
      <c r="AD112" s="15"/>
      <c r="AE112" s="7"/>
      <c r="AF112" s="7"/>
      <c r="AG112" s="7">
        <v>2497930</v>
      </c>
      <c r="AH112" s="7">
        <v>2502921</v>
      </c>
      <c r="AI112" s="7">
        <v>2346512</v>
      </c>
      <c r="AJ112" s="7">
        <v>1425791</v>
      </c>
      <c r="AK112" s="7">
        <v>1426719</v>
      </c>
      <c r="AL112" s="7"/>
      <c r="AM112" s="7"/>
      <c r="AN112" s="7"/>
      <c r="AO112" s="7">
        <f t="shared" si="15"/>
        <v>-1425791</v>
      </c>
      <c r="AP112" s="7">
        <f t="shared" si="15"/>
        <v>-1426719</v>
      </c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>
        <v>142948</v>
      </c>
      <c r="BE112" s="7">
        <v>161442</v>
      </c>
      <c r="BF112" s="7"/>
      <c r="BG112" s="7"/>
      <c r="BH112" s="7"/>
      <c r="BI112" s="7">
        <v>43707</v>
      </c>
      <c r="BJ112" s="7">
        <v>28472</v>
      </c>
      <c r="BK112" s="7">
        <v>109488</v>
      </c>
      <c r="BL112" s="7">
        <v>216027</v>
      </c>
      <c r="BM112" s="7">
        <v>250152</v>
      </c>
      <c r="BN112" s="7">
        <v>140597</v>
      </c>
      <c r="BO112" s="7">
        <v>160422</v>
      </c>
      <c r="BP112" s="7">
        <v>255658</v>
      </c>
      <c r="BQ112" s="7">
        <v>372976</v>
      </c>
      <c r="BR112" s="7">
        <v>564169</v>
      </c>
      <c r="BS112" s="7"/>
      <c r="BT112" s="7"/>
      <c r="BU112" s="7"/>
      <c r="BV112" s="7"/>
      <c r="BW112" s="7"/>
      <c r="BX112" s="7"/>
      <c r="BY112" s="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9"/>
      <c r="DC112" s="39"/>
      <c r="DD112" s="39"/>
      <c r="DE112" s="39"/>
      <c r="DF112" s="39"/>
      <c r="DG112" s="39"/>
      <c r="DH112" s="39"/>
      <c r="DI112" s="39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</row>
    <row r="113" spans="1:139" x14ac:dyDescent="0.25">
      <c r="A113" s="25">
        <v>111</v>
      </c>
      <c r="B113" s="25" t="s">
        <v>263</v>
      </c>
      <c r="C113" s="170" t="s">
        <v>79</v>
      </c>
      <c r="D113" s="26" t="s">
        <v>80</v>
      </c>
      <c r="E113" s="27" t="s">
        <v>287</v>
      </c>
      <c r="F113" s="28">
        <v>1</v>
      </c>
      <c r="G113" s="25" t="s">
        <v>306</v>
      </c>
      <c r="H113" s="53">
        <v>154</v>
      </c>
      <c r="I113" s="54">
        <v>158</v>
      </c>
      <c r="J113" s="109">
        <v>164</v>
      </c>
      <c r="K113" s="131">
        <v>6900502</v>
      </c>
      <c r="L113" s="61">
        <v>7184949</v>
      </c>
      <c r="M113" s="127">
        <v>7345360</v>
      </c>
      <c r="N113" s="119">
        <v>1249875</v>
      </c>
      <c r="O113" s="54">
        <v>1313831</v>
      </c>
      <c r="P113" s="109">
        <v>1513911</v>
      </c>
      <c r="Q113" s="131">
        <f t="shared" si="12"/>
        <v>5650627</v>
      </c>
      <c r="R113" s="61">
        <f t="shared" si="13"/>
        <v>5871118</v>
      </c>
      <c r="S113" s="127">
        <f t="shared" si="14"/>
        <v>5831449</v>
      </c>
      <c r="T113" s="161">
        <v>2612676</v>
      </c>
      <c r="U113" s="54">
        <v>3039342</v>
      </c>
      <c r="V113" s="157">
        <v>3591731</v>
      </c>
      <c r="W113" s="131">
        <v>624580</v>
      </c>
      <c r="X113" s="61">
        <v>869456</v>
      </c>
      <c r="Y113" s="127">
        <v>865769</v>
      </c>
      <c r="Z113" s="119">
        <v>546044</v>
      </c>
      <c r="AA113" s="54">
        <v>64820</v>
      </c>
      <c r="AB113" s="51">
        <v>171000</v>
      </c>
      <c r="AC113" s="15"/>
      <c r="AD113" s="15"/>
      <c r="AE113" s="7"/>
      <c r="AF113" s="7"/>
      <c r="AG113" s="7">
        <v>49774177</v>
      </c>
      <c r="AH113" s="7">
        <v>48950563</v>
      </c>
      <c r="AI113" s="7">
        <v>48423173</v>
      </c>
      <c r="AJ113" s="7">
        <v>2957721</v>
      </c>
      <c r="AK113" s="7">
        <v>2771680</v>
      </c>
      <c r="AL113" s="7"/>
      <c r="AM113" s="7"/>
      <c r="AN113" s="7"/>
      <c r="AO113" s="7">
        <f t="shared" si="15"/>
        <v>-2957721</v>
      </c>
      <c r="AP113" s="7">
        <f t="shared" si="15"/>
        <v>-2771680</v>
      </c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>
        <v>5732137</v>
      </c>
      <c r="BE113" s="7">
        <v>5111990</v>
      </c>
      <c r="BF113" s="7"/>
      <c r="BG113" s="7"/>
      <c r="BH113" s="7"/>
      <c r="BI113" s="7">
        <v>3454306</v>
      </c>
      <c r="BJ113" s="7">
        <v>3110005</v>
      </c>
      <c r="BK113" s="7">
        <v>3483567</v>
      </c>
      <c r="BL113" s="7">
        <v>3698410</v>
      </c>
      <c r="BM113" s="7">
        <v>3642424</v>
      </c>
      <c r="BN113" s="7">
        <v>5668830</v>
      </c>
      <c r="BO113" s="7">
        <v>5310671</v>
      </c>
      <c r="BP113" s="7">
        <v>5974372</v>
      </c>
      <c r="BQ113" s="7">
        <v>5160038</v>
      </c>
      <c r="BR113" s="7">
        <v>5195055</v>
      </c>
      <c r="BS113" s="7"/>
      <c r="BT113" s="7"/>
      <c r="BU113" s="7"/>
      <c r="BV113" s="7"/>
      <c r="BW113" s="7"/>
      <c r="BX113" s="7"/>
      <c r="BY113" s="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9"/>
      <c r="DC113" s="39"/>
      <c r="DD113" s="39"/>
      <c r="DE113" s="39"/>
      <c r="DF113" s="39"/>
      <c r="DG113" s="39"/>
      <c r="DH113" s="39"/>
      <c r="DI113" s="39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</row>
    <row r="114" spans="1:139" x14ac:dyDescent="0.25">
      <c r="A114" s="25">
        <v>112</v>
      </c>
      <c r="B114" s="25" t="s">
        <v>263</v>
      </c>
      <c r="C114" s="170" t="s">
        <v>137</v>
      </c>
      <c r="D114" s="26" t="s">
        <v>138</v>
      </c>
      <c r="E114" s="27" t="s">
        <v>287</v>
      </c>
      <c r="F114" s="28">
        <v>1</v>
      </c>
      <c r="G114" s="25" t="s">
        <v>310</v>
      </c>
      <c r="H114" s="53">
        <v>10</v>
      </c>
      <c r="I114" s="54">
        <v>9</v>
      </c>
      <c r="J114" s="109">
        <v>9</v>
      </c>
      <c r="K114" s="131">
        <v>7448</v>
      </c>
      <c r="L114" s="61">
        <v>10797</v>
      </c>
      <c r="M114" s="127">
        <v>12041</v>
      </c>
      <c r="N114" s="119">
        <v>-360595</v>
      </c>
      <c r="O114" s="54">
        <v>-310066</v>
      </c>
      <c r="P114" s="109">
        <v>-265150</v>
      </c>
      <c r="Q114" s="131">
        <f t="shared" si="12"/>
        <v>368043</v>
      </c>
      <c r="R114" s="61">
        <f t="shared" si="13"/>
        <v>320863</v>
      </c>
      <c r="S114" s="127">
        <f t="shared" si="14"/>
        <v>277191</v>
      </c>
      <c r="T114" s="161">
        <v>87124</v>
      </c>
      <c r="U114" s="54">
        <v>194169</v>
      </c>
      <c r="V114" s="157">
        <v>185273</v>
      </c>
      <c r="W114" s="131">
        <v>-43427</v>
      </c>
      <c r="X114" s="61">
        <v>50529</v>
      </c>
      <c r="Y114" s="127">
        <v>44916</v>
      </c>
      <c r="Z114" s="119">
        <v>-43427</v>
      </c>
      <c r="AA114" s="54">
        <v>50529</v>
      </c>
      <c r="AB114" s="51">
        <v>44916</v>
      </c>
      <c r="AC114" s="15"/>
      <c r="AD114" s="15"/>
      <c r="AE114" s="7"/>
      <c r="AF114" s="7"/>
      <c r="AG114" s="7">
        <v>1911125</v>
      </c>
      <c r="AH114" s="7">
        <v>2154981</v>
      </c>
      <c r="AI114" s="7">
        <v>2207014</v>
      </c>
      <c r="AJ114" s="7">
        <v>1377125</v>
      </c>
      <c r="AK114" s="7">
        <v>1377125</v>
      </c>
      <c r="AL114" s="7"/>
      <c r="AM114" s="7"/>
      <c r="AN114" s="7"/>
      <c r="AO114" s="7">
        <f t="shared" si="15"/>
        <v>-1377125</v>
      </c>
      <c r="AP114" s="7">
        <f t="shared" si="15"/>
        <v>-1377125</v>
      </c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>
        <v>636562</v>
      </c>
      <c r="BE114" s="7">
        <v>591815</v>
      </c>
      <c r="BF114" s="7"/>
      <c r="BG114" s="7"/>
      <c r="BH114" s="7"/>
      <c r="BI114" s="7">
        <v>551275</v>
      </c>
      <c r="BJ114" s="7">
        <v>0</v>
      </c>
      <c r="BK114" s="7">
        <v>702501</v>
      </c>
      <c r="BL114" s="7">
        <v>653359</v>
      </c>
      <c r="BM114" s="7">
        <v>596788</v>
      </c>
      <c r="BN114" s="7">
        <v>630974</v>
      </c>
      <c r="BO114" s="7">
        <v>591814</v>
      </c>
      <c r="BP114" s="7">
        <v>805741</v>
      </c>
      <c r="BQ114" s="7">
        <v>823385</v>
      </c>
      <c r="BR114" s="7">
        <v>835181</v>
      </c>
      <c r="BS114" s="7"/>
      <c r="BT114" s="7"/>
      <c r="BU114" s="7"/>
      <c r="BV114" s="7"/>
      <c r="BW114" s="7"/>
      <c r="BX114" s="7"/>
      <c r="BY114" s="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9"/>
      <c r="DC114" s="39"/>
      <c r="DD114" s="39"/>
      <c r="DE114" s="39"/>
      <c r="DF114" s="39"/>
      <c r="DG114" s="39"/>
      <c r="DH114" s="39"/>
      <c r="DI114" s="39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</row>
    <row r="115" spans="1:139" x14ac:dyDescent="0.25">
      <c r="A115" s="25">
        <v>113</v>
      </c>
      <c r="B115" s="25" t="s">
        <v>263</v>
      </c>
      <c r="C115" s="170" t="s">
        <v>174</v>
      </c>
      <c r="D115" s="26" t="s">
        <v>175</v>
      </c>
      <c r="E115" s="27" t="s">
        <v>287</v>
      </c>
      <c r="F115" s="28">
        <v>1</v>
      </c>
      <c r="G115" s="25" t="s">
        <v>308</v>
      </c>
      <c r="H115" s="53">
        <v>29</v>
      </c>
      <c r="I115" s="54">
        <v>33</v>
      </c>
      <c r="J115" s="109">
        <v>36</v>
      </c>
      <c r="K115" s="131">
        <v>91817</v>
      </c>
      <c r="L115" s="61">
        <v>114943</v>
      </c>
      <c r="M115" s="127">
        <v>95135</v>
      </c>
      <c r="N115" s="119">
        <v>76206</v>
      </c>
      <c r="O115" s="54">
        <v>84919</v>
      </c>
      <c r="P115" s="109">
        <v>55904</v>
      </c>
      <c r="Q115" s="131">
        <f t="shared" si="12"/>
        <v>15611</v>
      </c>
      <c r="R115" s="61">
        <f t="shared" si="13"/>
        <v>30024</v>
      </c>
      <c r="S115" s="127">
        <f t="shared" si="14"/>
        <v>39231</v>
      </c>
      <c r="T115" s="161">
        <v>401074</v>
      </c>
      <c r="U115" s="54">
        <v>434494</v>
      </c>
      <c r="V115" s="157">
        <v>421975</v>
      </c>
      <c r="W115" s="131">
        <v>66320</v>
      </c>
      <c r="X115" s="61">
        <v>10421</v>
      </c>
      <c r="Y115" s="127">
        <v>-28870</v>
      </c>
      <c r="Z115" s="119">
        <v>60844</v>
      </c>
      <c r="AA115" s="54">
        <v>8713</v>
      </c>
      <c r="AB115" s="51">
        <v>-29015</v>
      </c>
      <c r="AC115" s="15"/>
      <c r="AD115" s="15"/>
      <c r="AE115" s="7"/>
      <c r="AF115" s="7"/>
      <c r="AG115" s="7">
        <v>17941538</v>
      </c>
      <c r="AH115" s="7">
        <v>18528883</v>
      </c>
      <c r="AI115" s="7">
        <v>23198785</v>
      </c>
      <c r="AJ115" s="7">
        <v>16172438</v>
      </c>
      <c r="AK115" s="7">
        <v>14899335</v>
      </c>
      <c r="AL115" s="7"/>
      <c r="AM115" s="7"/>
      <c r="AN115" s="7"/>
      <c r="AO115" s="7">
        <f t="shared" si="15"/>
        <v>-16172438</v>
      </c>
      <c r="AP115" s="7">
        <f t="shared" si="15"/>
        <v>-14899335</v>
      </c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>
        <v>7883164</v>
      </c>
      <c r="BE115" s="7">
        <v>5735070</v>
      </c>
      <c r="BF115" s="7"/>
      <c r="BG115" s="7"/>
      <c r="BH115" s="7"/>
      <c r="BI115" s="7">
        <v>7112328</v>
      </c>
      <c r="BJ115" s="7">
        <v>4556697</v>
      </c>
      <c r="BK115" s="7">
        <v>5964319</v>
      </c>
      <c r="BL115" s="7">
        <v>7250564</v>
      </c>
      <c r="BM115" s="7">
        <v>7532078</v>
      </c>
      <c r="BN115" s="7">
        <v>7112328</v>
      </c>
      <c r="BO115" s="7">
        <v>4556697</v>
      </c>
      <c r="BP115" s="7">
        <v>5964319</v>
      </c>
      <c r="BQ115" s="7">
        <v>7250564</v>
      </c>
      <c r="BR115" s="7">
        <v>7532078</v>
      </c>
      <c r="BS115" s="7"/>
      <c r="BT115" s="7"/>
      <c r="BU115" s="7"/>
      <c r="BV115" s="7"/>
      <c r="BW115" s="7"/>
      <c r="BX115" s="7"/>
      <c r="BY115" s="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9"/>
      <c r="DC115" s="39"/>
      <c r="DD115" s="39"/>
      <c r="DE115" s="39"/>
      <c r="DF115" s="39"/>
      <c r="DG115" s="39"/>
      <c r="DH115" s="39"/>
      <c r="DI115" s="39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</row>
    <row r="116" spans="1:139" ht="15.75" thickBot="1" x14ac:dyDescent="0.3">
      <c r="A116" s="80">
        <v>114</v>
      </c>
      <c r="B116" s="80" t="s">
        <v>263</v>
      </c>
      <c r="C116" s="172" t="s">
        <v>244</v>
      </c>
      <c r="D116" s="81" t="s">
        <v>245</v>
      </c>
      <c r="E116" s="82" t="s">
        <v>287</v>
      </c>
      <c r="F116" s="83">
        <v>1</v>
      </c>
      <c r="G116" s="80" t="s">
        <v>306</v>
      </c>
      <c r="H116" s="66">
        <v>125</v>
      </c>
      <c r="I116" s="67">
        <v>119</v>
      </c>
      <c r="J116" s="114">
        <v>118</v>
      </c>
      <c r="K116" s="136">
        <v>15460159</v>
      </c>
      <c r="L116" s="69">
        <v>15093352</v>
      </c>
      <c r="M116" s="137">
        <v>15273645</v>
      </c>
      <c r="N116" s="122">
        <v>10552338</v>
      </c>
      <c r="O116" s="67">
        <v>10310660</v>
      </c>
      <c r="P116" s="114">
        <v>10043226</v>
      </c>
      <c r="Q116" s="136">
        <f t="shared" si="12"/>
        <v>4907821</v>
      </c>
      <c r="R116" s="69">
        <f t="shared" si="13"/>
        <v>4782692</v>
      </c>
      <c r="S116" s="137">
        <f t="shared" si="14"/>
        <v>5230419</v>
      </c>
      <c r="T116" s="166">
        <v>2599140</v>
      </c>
      <c r="U116" s="67">
        <v>2527207</v>
      </c>
      <c r="V116" s="167">
        <v>2497994</v>
      </c>
      <c r="W116" s="136">
        <v>-46155</v>
      </c>
      <c r="X116" s="69">
        <v>-49436</v>
      </c>
      <c r="Y116" s="137">
        <v>-184130</v>
      </c>
      <c r="Z116" s="122">
        <v>-363680</v>
      </c>
      <c r="AA116" s="67">
        <v>-241678</v>
      </c>
      <c r="AB116" s="68">
        <v>-259524</v>
      </c>
      <c r="AC116" s="15"/>
      <c r="AD116" s="15"/>
      <c r="AE116" s="7"/>
      <c r="AF116" s="7"/>
      <c r="AG116" s="7">
        <v>2287830</v>
      </c>
      <c r="AH116" s="7">
        <v>2193338</v>
      </c>
      <c r="AI116" s="7">
        <v>2152962</v>
      </c>
      <c r="AJ116" s="7">
        <v>1239312</v>
      </c>
      <c r="AK116" s="7">
        <v>1271146</v>
      </c>
      <c r="AL116" s="7"/>
      <c r="AM116" s="7"/>
      <c r="AN116" s="7"/>
      <c r="AO116" s="7">
        <f t="shared" si="15"/>
        <v>-1239312</v>
      </c>
      <c r="AP116" s="7">
        <f t="shared" si="15"/>
        <v>-1271146</v>
      </c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>
        <v>1450352</v>
      </c>
      <c r="BE116" s="7">
        <v>1460234</v>
      </c>
      <c r="BF116" s="7"/>
      <c r="BG116" s="7"/>
      <c r="BH116" s="7"/>
      <c r="BI116" s="7">
        <v>1266273</v>
      </c>
      <c r="BJ116" s="7">
        <v>1303396</v>
      </c>
      <c r="BK116" s="7">
        <v>1444696</v>
      </c>
      <c r="BL116" s="7">
        <v>1475246</v>
      </c>
      <c r="BM116" s="7">
        <v>1402413</v>
      </c>
      <c r="BN116" s="7">
        <v>1442071</v>
      </c>
      <c r="BO116" s="7">
        <v>1426819</v>
      </c>
      <c r="BP116" s="7">
        <v>1481500</v>
      </c>
      <c r="BQ116" s="7">
        <v>1499670</v>
      </c>
      <c r="BR116" s="7">
        <v>1378188</v>
      </c>
      <c r="BS116" s="7"/>
      <c r="BT116" s="7"/>
      <c r="BU116" s="7"/>
      <c r="BV116" s="7"/>
      <c r="BW116" s="7"/>
      <c r="BX116" s="7"/>
      <c r="BY116" s="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9"/>
      <c r="DC116" s="39"/>
      <c r="DD116" s="39"/>
      <c r="DE116" s="39"/>
      <c r="DF116" s="39"/>
      <c r="DG116" s="39"/>
      <c r="DH116" s="39"/>
      <c r="DI116" s="39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</row>
    <row r="117" spans="1:139" ht="15.75" thickBot="1" x14ac:dyDescent="0.3">
      <c r="A117" s="85">
        <v>115</v>
      </c>
      <c r="B117" s="85" t="s">
        <v>270</v>
      </c>
      <c r="C117" s="173" t="s">
        <v>56</v>
      </c>
      <c r="D117" s="86" t="s">
        <v>57</v>
      </c>
      <c r="E117" s="87" t="s">
        <v>287</v>
      </c>
      <c r="F117" s="103">
        <v>1</v>
      </c>
      <c r="G117" s="85" t="s">
        <v>306</v>
      </c>
      <c r="H117" s="104">
        <v>0</v>
      </c>
      <c r="I117" s="105">
        <v>0</v>
      </c>
      <c r="J117" s="115">
        <v>1</v>
      </c>
      <c r="K117" s="138">
        <v>0</v>
      </c>
      <c r="L117" s="107">
        <v>0</v>
      </c>
      <c r="M117" s="139">
        <v>47551</v>
      </c>
      <c r="N117" s="123">
        <v>0</v>
      </c>
      <c r="O117" s="105">
        <v>0</v>
      </c>
      <c r="P117" s="115">
        <v>46109</v>
      </c>
      <c r="Q117" s="138">
        <f t="shared" si="12"/>
        <v>0</v>
      </c>
      <c r="R117" s="107">
        <f t="shared" si="13"/>
        <v>0</v>
      </c>
      <c r="S117" s="139">
        <f t="shared" si="14"/>
        <v>1442</v>
      </c>
      <c r="T117" s="168">
        <v>0</v>
      </c>
      <c r="U117" s="105">
        <v>0</v>
      </c>
      <c r="V117" s="169">
        <v>0</v>
      </c>
      <c r="W117" s="138">
        <v>0</v>
      </c>
      <c r="X117" s="107">
        <v>0</v>
      </c>
      <c r="Y117" s="139">
        <v>-3891</v>
      </c>
      <c r="Z117" s="123">
        <v>0</v>
      </c>
      <c r="AA117" s="105">
        <v>0</v>
      </c>
      <c r="AB117" s="106">
        <v>-3891</v>
      </c>
      <c r="AC117" s="15"/>
      <c r="AD117" s="15"/>
      <c r="AE117" s="7"/>
      <c r="AF117" s="7"/>
      <c r="AG117" s="7">
        <v>35828056</v>
      </c>
      <c r="AH117" s="7">
        <v>35045477</v>
      </c>
      <c r="AI117" s="7">
        <v>34473797</v>
      </c>
      <c r="AJ117" s="7">
        <v>2715766</v>
      </c>
      <c r="AK117" s="7">
        <v>2747029</v>
      </c>
      <c r="AL117" s="7"/>
      <c r="AM117" s="7"/>
      <c r="AN117" s="7"/>
      <c r="AO117" s="7">
        <f t="shared" si="15"/>
        <v>-2715766</v>
      </c>
      <c r="AP117" s="7">
        <f t="shared" si="15"/>
        <v>-2747029</v>
      </c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>
        <v>5255493</v>
      </c>
      <c r="BE117" s="7">
        <v>4781003</v>
      </c>
      <c r="BF117" s="7"/>
      <c r="BG117" s="7"/>
      <c r="BH117" s="7"/>
      <c r="BI117" s="7">
        <v>4171081</v>
      </c>
      <c r="BJ117" s="7">
        <v>3786000</v>
      </c>
      <c r="BK117" s="7">
        <v>3940238</v>
      </c>
      <c r="BL117" s="7">
        <v>4290626</v>
      </c>
      <c r="BM117" s="7">
        <v>4823898</v>
      </c>
      <c r="BN117" s="7">
        <v>4804423</v>
      </c>
      <c r="BO117" s="7">
        <v>4742732</v>
      </c>
      <c r="BP117" s="7">
        <v>4861414</v>
      </c>
      <c r="BQ117" s="7">
        <v>5265973</v>
      </c>
      <c r="BR117" s="7">
        <v>5639399</v>
      </c>
      <c r="BS117" s="7"/>
      <c r="BT117" s="7"/>
      <c r="BU117" s="7"/>
      <c r="BV117" s="7"/>
      <c r="BW117" s="7"/>
      <c r="BX117" s="7"/>
      <c r="BY117" s="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9"/>
      <c r="DC117" s="39"/>
      <c r="DD117" s="39"/>
      <c r="DE117" s="39"/>
      <c r="DF117" s="39"/>
      <c r="DG117" s="39"/>
      <c r="DH117" s="39"/>
      <c r="DI117" s="39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</row>
    <row r="118" spans="1:139" x14ac:dyDescent="0.25">
      <c r="A118" s="70">
        <v>116</v>
      </c>
      <c r="B118" s="70" t="s">
        <v>279</v>
      </c>
      <c r="C118" s="171" t="s">
        <v>1</v>
      </c>
      <c r="D118" s="71" t="s">
        <v>176</v>
      </c>
      <c r="E118" s="72" t="s">
        <v>287</v>
      </c>
      <c r="F118" s="73">
        <v>1</v>
      </c>
      <c r="G118" s="70" t="s">
        <v>308</v>
      </c>
      <c r="H118" s="97">
        <v>0</v>
      </c>
      <c r="I118" s="98">
        <v>0</v>
      </c>
      <c r="J118" s="113">
        <v>1</v>
      </c>
      <c r="K118" s="134">
        <v>0</v>
      </c>
      <c r="L118" s="100">
        <v>0</v>
      </c>
      <c r="M118" s="135">
        <v>14344</v>
      </c>
      <c r="N118" s="121">
        <v>0</v>
      </c>
      <c r="O118" s="98">
        <v>0</v>
      </c>
      <c r="P118" s="113">
        <v>0</v>
      </c>
      <c r="Q118" s="134">
        <f t="shared" si="12"/>
        <v>0</v>
      </c>
      <c r="R118" s="100">
        <f t="shared" si="13"/>
        <v>0</v>
      </c>
      <c r="S118" s="135">
        <f t="shared" si="14"/>
        <v>14344</v>
      </c>
      <c r="T118" s="164">
        <v>0</v>
      </c>
      <c r="U118" s="98">
        <v>0</v>
      </c>
      <c r="V118" s="165">
        <v>3336</v>
      </c>
      <c r="W118" s="134">
        <v>0</v>
      </c>
      <c r="X118" s="100">
        <v>0</v>
      </c>
      <c r="Y118" s="135">
        <v>0</v>
      </c>
      <c r="Z118" s="121">
        <v>0</v>
      </c>
      <c r="AA118" s="98">
        <v>0</v>
      </c>
      <c r="AB118" s="99">
        <v>0</v>
      </c>
      <c r="AC118" s="15"/>
      <c r="AD118" s="15"/>
      <c r="AE118" s="7"/>
      <c r="AF118" s="7"/>
      <c r="AG118" s="7">
        <v>528447</v>
      </c>
      <c r="AH118" s="7">
        <v>506822</v>
      </c>
      <c r="AI118" s="7">
        <v>512369</v>
      </c>
      <c r="AJ118" s="7">
        <v>42316</v>
      </c>
      <c r="AK118" s="7">
        <v>47779</v>
      </c>
      <c r="AL118" s="7"/>
      <c r="AM118" s="7"/>
      <c r="AN118" s="7"/>
      <c r="AO118" s="7">
        <f t="shared" si="15"/>
        <v>-42316</v>
      </c>
      <c r="AP118" s="7">
        <f t="shared" si="15"/>
        <v>-47779</v>
      </c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>
        <v>327035</v>
      </c>
      <c r="BE118" s="7">
        <v>301853</v>
      </c>
      <c r="BF118" s="7"/>
      <c r="BG118" s="7"/>
      <c r="BH118" s="7"/>
      <c r="BI118" s="7">
        <v>315287</v>
      </c>
      <c r="BJ118" s="7">
        <v>268747</v>
      </c>
      <c r="BK118" s="7">
        <v>300032</v>
      </c>
      <c r="BL118" s="7">
        <v>353961</v>
      </c>
      <c r="BM118" s="7">
        <v>431233</v>
      </c>
      <c r="BN118" s="7">
        <v>271548</v>
      </c>
      <c r="BO118" s="7">
        <v>294175</v>
      </c>
      <c r="BP118" s="7">
        <v>340497</v>
      </c>
      <c r="BQ118" s="7">
        <v>384480</v>
      </c>
      <c r="BR118" s="7">
        <v>472014</v>
      </c>
      <c r="BS118" s="7"/>
      <c r="BT118" s="7"/>
      <c r="BU118" s="7"/>
      <c r="BV118" s="7"/>
      <c r="BW118" s="7"/>
      <c r="BX118" s="7"/>
      <c r="BY118" s="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9"/>
      <c r="DC118" s="39"/>
      <c r="DD118" s="39"/>
      <c r="DE118" s="39"/>
      <c r="DF118" s="39"/>
      <c r="DG118" s="39"/>
      <c r="DH118" s="39"/>
      <c r="DI118" s="39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</row>
    <row r="119" spans="1:139" x14ac:dyDescent="0.25">
      <c r="A119" s="25">
        <v>117</v>
      </c>
      <c r="B119" s="25" t="s">
        <v>279</v>
      </c>
      <c r="C119" s="170" t="s">
        <v>202</v>
      </c>
      <c r="D119" s="26" t="s">
        <v>203</v>
      </c>
      <c r="E119" s="27" t="s">
        <v>287</v>
      </c>
      <c r="F119" s="28">
        <v>1</v>
      </c>
      <c r="G119" s="25" t="s">
        <v>305</v>
      </c>
      <c r="H119" s="53">
        <v>6</v>
      </c>
      <c r="I119" s="54">
        <v>6</v>
      </c>
      <c r="J119" s="109">
        <v>6</v>
      </c>
      <c r="K119" s="131">
        <v>7112</v>
      </c>
      <c r="L119" s="61">
        <v>5823</v>
      </c>
      <c r="M119" s="127">
        <v>10720</v>
      </c>
      <c r="N119" s="119">
        <v>1298</v>
      </c>
      <c r="O119" s="54">
        <v>3359</v>
      </c>
      <c r="P119" s="109">
        <v>7426</v>
      </c>
      <c r="Q119" s="131">
        <f t="shared" si="12"/>
        <v>5814</v>
      </c>
      <c r="R119" s="61">
        <f t="shared" si="13"/>
        <v>2464</v>
      </c>
      <c r="S119" s="127">
        <f t="shared" si="14"/>
        <v>3294</v>
      </c>
      <c r="T119" s="161">
        <v>48276</v>
      </c>
      <c r="U119" s="54">
        <v>61529</v>
      </c>
      <c r="V119" s="157">
        <v>78426</v>
      </c>
      <c r="W119" s="131">
        <v>-7036</v>
      </c>
      <c r="X119" s="61">
        <v>2063</v>
      </c>
      <c r="Y119" s="127">
        <v>4088</v>
      </c>
      <c r="Z119" s="119">
        <v>-7030</v>
      </c>
      <c r="AA119" s="54">
        <v>2061</v>
      </c>
      <c r="AB119" s="51">
        <v>4068</v>
      </c>
      <c r="AC119" s="15"/>
      <c r="AD119" s="15"/>
      <c r="AE119" s="7"/>
      <c r="AF119" s="7"/>
      <c r="AG119" s="7">
        <v>64068896</v>
      </c>
      <c r="AH119" s="7">
        <v>62869370</v>
      </c>
      <c r="AI119" s="7">
        <v>62326540</v>
      </c>
      <c r="AJ119" s="7">
        <v>9543006</v>
      </c>
      <c r="AK119" s="7">
        <v>8856044</v>
      </c>
      <c r="AL119" s="7"/>
      <c r="AM119" s="7"/>
      <c r="AN119" s="7"/>
      <c r="AO119" s="7">
        <f t="shared" si="15"/>
        <v>-9543006</v>
      </c>
      <c r="AP119" s="7">
        <f t="shared" si="15"/>
        <v>-8856044</v>
      </c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>
        <v>4890536</v>
      </c>
      <c r="BE119" s="7">
        <v>4770468</v>
      </c>
      <c r="BF119" s="7"/>
      <c r="BG119" s="7"/>
      <c r="BH119" s="7"/>
      <c r="BI119" s="7">
        <v>4054023</v>
      </c>
      <c r="BJ119" s="7">
        <v>3780801</v>
      </c>
      <c r="BK119" s="7">
        <v>2904045</v>
      </c>
      <c r="BL119" s="7">
        <v>2862905</v>
      </c>
      <c r="BM119" s="7">
        <v>4036026</v>
      </c>
      <c r="BN119" s="7">
        <v>4868166</v>
      </c>
      <c r="BO119" s="7">
        <v>4748335</v>
      </c>
      <c r="BP119" s="7">
        <v>4253438</v>
      </c>
      <c r="BQ119" s="7">
        <v>4204618</v>
      </c>
      <c r="BR119" s="7">
        <v>4489997</v>
      </c>
      <c r="BS119" s="7"/>
      <c r="BT119" s="7"/>
      <c r="BU119" s="7"/>
      <c r="BV119" s="7"/>
      <c r="BW119" s="7"/>
      <c r="BX119" s="7"/>
      <c r="BY119" s="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9"/>
      <c r="DC119" s="39"/>
      <c r="DD119" s="39"/>
      <c r="DE119" s="39"/>
      <c r="DF119" s="39"/>
      <c r="DG119" s="39"/>
      <c r="DH119" s="39"/>
      <c r="DI119" s="39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</row>
    <row r="120" spans="1:139" ht="15.75" thickBot="1" x14ac:dyDescent="0.3">
      <c r="A120" s="80">
        <v>118</v>
      </c>
      <c r="B120" s="80" t="s">
        <v>279</v>
      </c>
      <c r="C120" s="172" t="s">
        <v>109</v>
      </c>
      <c r="D120" s="81" t="s">
        <v>110</v>
      </c>
      <c r="E120" s="82" t="s">
        <v>287</v>
      </c>
      <c r="F120" s="83">
        <v>1</v>
      </c>
      <c r="G120" s="80" t="s">
        <v>306</v>
      </c>
      <c r="H120" s="66">
        <v>41</v>
      </c>
      <c r="I120" s="67">
        <v>37</v>
      </c>
      <c r="J120" s="114">
        <v>40</v>
      </c>
      <c r="K120" s="136">
        <v>1546118</v>
      </c>
      <c r="L120" s="69">
        <v>1538922</v>
      </c>
      <c r="M120" s="137">
        <v>1647511</v>
      </c>
      <c r="N120" s="122">
        <v>498633</v>
      </c>
      <c r="O120" s="67">
        <v>573404</v>
      </c>
      <c r="P120" s="114">
        <v>596040</v>
      </c>
      <c r="Q120" s="136">
        <f t="shared" si="12"/>
        <v>1047485</v>
      </c>
      <c r="R120" s="69">
        <f t="shared" si="13"/>
        <v>965518</v>
      </c>
      <c r="S120" s="137">
        <f t="shared" si="14"/>
        <v>1051471</v>
      </c>
      <c r="T120" s="166">
        <v>634421</v>
      </c>
      <c r="U120" s="67">
        <v>686040</v>
      </c>
      <c r="V120" s="167">
        <f>807919+78106</f>
        <v>886025</v>
      </c>
      <c r="W120" s="136">
        <v>51953</v>
      </c>
      <c r="X120" s="69">
        <v>75806</v>
      </c>
      <c r="Y120" s="137">
        <v>23764</v>
      </c>
      <c r="Z120" s="122">
        <v>49586</v>
      </c>
      <c r="AA120" s="67">
        <v>74770</v>
      </c>
      <c r="AB120" s="68">
        <v>22636</v>
      </c>
      <c r="AC120" s="15"/>
      <c r="AD120" s="15"/>
      <c r="AE120" s="7"/>
      <c r="AF120" s="7"/>
      <c r="AG120" s="7">
        <v>59083403</v>
      </c>
      <c r="AH120" s="7">
        <v>57888997</v>
      </c>
      <c r="AI120" s="7">
        <v>56874484</v>
      </c>
      <c r="AJ120" s="7">
        <v>33308220</v>
      </c>
      <c r="AK120" s="7">
        <v>49569766</v>
      </c>
      <c r="AL120" s="7"/>
      <c r="AM120" s="7"/>
      <c r="AN120" s="7"/>
      <c r="AO120" s="7">
        <f t="shared" si="15"/>
        <v>-33308220</v>
      </c>
      <c r="AP120" s="7">
        <f t="shared" si="15"/>
        <v>-49569766</v>
      </c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>
        <v>14072308</v>
      </c>
      <c r="BE120" s="7">
        <v>17264983</v>
      </c>
      <c r="BF120" s="7"/>
      <c r="BG120" s="7"/>
      <c r="BH120" s="7"/>
      <c r="BI120" s="7">
        <v>11854795</v>
      </c>
      <c r="BJ120" s="7">
        <v>14666325</v>
      </c>
      <c r="BK120" s="7">
        <v>12457539</v>
      </c>
      <c r="BL120" s="7">
        <v>12344659</v>
      </c>
      <c r="BM120" s="7">
        <v>10782702</v>
      </c>
      <c r="BN120" s="7">
        <v>13978117</v>
      </c>
      <c r="BO120" s="7">
        <v>16903327</v>
      </c>
      <c r="BP120" s="7">
        <v>14377973</v>
      </c>
      <c r="BQ120" s="7">
        <v>14727029</v>
      </c>
      <c r="BR120" s="7">
        <v>15255162</v>
      </c>
      <c r="BS120" s="7"/>
      <c r="BT120" s="7"/>
      <c r="BU120" s="7"/>
      <c r="BV120" s="7"/>
      <c r="BW120" s="7"/>
      <c r="BX120" s="7"/>
      <c r="BY120" s="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9"/>
      <c r="DC120" s="39"/>
      <c r="DD120" s="39"/>
      <c r="DE120" s="39"/>
      <c r="DF120" s="39"/>
      <c r="DG120" s="39"/>
      <c r="DH120" s="39"/>
      <c r="DI120" s="39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</row>
    <row r="121" spans="1:139" ht="15.75" thickBot="1" x14ac:dyDescent="0.3">
      <c r="A121" s="85">
        <v>119</v>
      </c>
      <c r="B121" s="85" t="s">
        <v>185</v>
      </c>
      <c r="C121" s="173" t="s">
        <v>183</v>
      </c>
      <c r="D121" s="86" t="s">
        <v>184</v>
      </c>
      <c r="E121" s="87" t="s">
        <v>287</v>
      </c>
      <c r="F121" s="88">
        <v>1</v>
      </c>
      <c r="G121" s="85" t="s">
        <v>308</v>
      </c>
      <c r="H121" s="104">
        <v>4</v>
      </c>
      <c r="I121" s="105">
        <v>1</v>
      </c>
      <c r="J121" s="115">
        <v>1</v>
      </c>
      <c r="K121" s="138">
        <v>8345</v>
      </c>
      <c r="L121" s="107">
        <v>28625</v>
      </c>
      <c r="M121" s="139">
        <v>35293</v>
      </c>
      <c r="N121" s="123">
        <v>-157651</v>
      </c>
      <c r="O121" s="105">
        <v>-76087</v>
      </c>
      <c r="P121" s="115">
        <v>28984</v>
      </c>
      <c r="Q121" s="138">
        <f t="shared" si="12"/>
        <v>165996</v>
      </c>
      <c r="R121" s="107">
        <f t="shared" si="13"/>
        <v>104712</v>
      </c>
      <c r="S121" s="139">
        <f t="shared" si="14"/>
        <v>6309</v>
      </c>
      <c r="T121" s="168">
        <v>11925</v>
      </c>
      <c r="U121" s="105">
        <v>106674</v>
      </c>
      <c r="V121" s="169">
        <v>130411</v>
      </c>
      <c r="W121" s="138">
        <v>-29589</v>
      </c>
      <c r="X121" s="107">
        <v>81560</v>
      </c>
      <c r="Y121" s="139">
        <v>111195</v>
      </c>
      <c r="Z121" s="123">
        <v>-29589</v>
      </c>
      <c r="AA121" s="105">
        <v>81564</v>
      </c>
      <c r="AB121" s="106">
        <v>105071</v>
      </c>
      <c r="AC121" s="15"/>
      <c r="AD121" s="15"/>
      <c r="AE121" s="7"/>
      <c r="AF121" s="7"/>
      <c r="AG121" s="7">
        <v>2786239</v>
      </c>
      <c r="AH121" s="7">
        <v>2797423</v>
      </c>
      <c r="AI121" s="7">
        <v>2820335</v>
      </c>
      <c r="AJ121" s="7">
        <v>2050409</v>
      </c>
      <c r="AK121" s="7">
        <v>2052615</v>
      </c>
      <c r="AL121" s="7"/>
      <c r="AM121" s="7"/>
      <c r="AN121" s="7"/>
      <c r="AO121" s="7">
        <f t="shared" si="15"/>
        <v>-2050409</v>
      </c>
      <c r="AP121" s="7">
        <f t="shared" si="15"/>
        <v>-2052615</v>
      </c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>
        <v>471455</v>
      </c>
      <c r="BE121" s="7">
        <v>502838</v>
      </c>
      <c r="BF121" s="7"/>
      <c r="BG121" s="7"/>
      <c r="BH121" s="7"/>
      <c r="BI121" s="7">
        <v>388199</v>
      </c>
      <c r="BJ121" s="7">
        <v>382838</v>
      </c>
      <c r="BK121" s="7">
        <v>424240</v>
      </c>
      <c r="BL121" s="7">
        <v>444229</v>
      </c>
      <c r="BM121" s="7">
        <v>432333</v>
      </c>
      <c r="BN121" s="7">
        <v>469233</v>
      </c>
      <c r="BO121" s="7">
        <v>500632</v>
      </c>
      <c r="BP121" s="7">
        <v>529500</v>
      </c>
      <c r="BQ121" s="7">
        <v>557962</v>
      </c>
      <c r="BR121" s="7">
        <v>593243</v>
      </c>
      <c r="BS121" s="7"/>
      <c r="BT121" s="7"/>
      <c r="BU121" s="7"/>
      <c r="BV121" s="7"/>
      <c r="BW121" s="7"/>
      <c r="BX121" s="7"/>
      <c r="BY121" s="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9"/>
      <c r="DC121" s="39"/>
      <c r="DD121" s="39"/>
      <c r="DE121" s="39"/>
      <c r="DF121" s="39"/>
      <c r="DG121" s="39"/>
      <c r="DH121" s="39"/>
      <c r="DI121" s="39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</row>
    <row r="122" spans="1:139" ht="30" x14ac:dyDescent="0.25">
      <c r="A122" s="70">
        <v>120</v>
      </c>
      <c r="B122" s="176" t="s">
        <v>295</v>
      </c>
      <c r="C122" s="171" t="s">
        <v>48</v>
      </c>
      <c r="D122" s="177" t="s">
        <v>49</v>
      </c>
      <c r="E122" s="180" t="s">
        <v>287</v>
      </c>
      <c r="F122" s="181">
        <v>0.5</v>
      </c>
      <c r="G122" s="176" t="s">
        <v>306</v>
      </c>
      <c r="H122" s="97">
        <v>8</v>
      </c>
      <c r="I122" s="98">
        <v>10</v>
      </c>
      <c r="J122" s="113">
        <v>10</v>
      </c>
      <c r="K122" s="134">
        <v>316620</v>
      </c>
      <c r="L122" s="100">
        <v>265531</v>
      </c>
      <c r="M122" s="135">
        <v>290694</v>
      </c>
      <c r="N122" s="121">
        <v>192799</v>
      </c>
      <c r="O122" s="98">
        <v>199520</v>
      </c>
      <c r="P122" s="113">
        <v>232747</v>
      </c>
      <c r="Q122" s="134">
        <f t="shared" si="12"/>
        <v>123821</v>
      </c>
      <c r="R122" s="100">
        <f t="shared" si="13"/>
        <v>66011</v>
      </c>
      <c r="S122" s="135">
        <f t="shared" si="14"/>
        <v>57947</v>
      </c>
      <c r="T122" s="164">
        <v>627430</v>
      </c>
      <c r="U122" s="98">
        <v>546728</v>
      </c>
      <c r="V122" s="165">
        <v>616062</v>
      </c>
      <c r="W122" s="134">
        <v>157153</v>
      </c>
      <c r="X122" s="100">
        <v>8114</v>
      </c>
      <c r="Y122" s="135">
        <v>36648</v>
      </c>
      <c r="Z122" s="121">
        <v>142546</v>
      </c>
      <c r="AA122" s="98">
        <v>6721</v>
      </c>
      <c r="AB122" s="99">
        <v>33227</v>
      </c>
      <c r="AC122" s="15"/>
      <c r="AD122" s="15"/>
      <c r="AE122" s="7"/>
      <c r="AF122" s="7"/>
      <c r="AG122" s="7">
        <v>28857238</v>
      </c>
      <c r="AH122" s="7">
        <v>28610353</v>
      </c>
      <c r="AI122" s="7">
        <v>28480221</v>
      </c>
      <c r="AJ122" s="7">
        <v>2219577</v>
      </c>
      <c r="AK122" s="7">
        <v>2009238</v>
      </c>
      <c r="AL122" s="7"/>
      <c r="AM122" s="7"/>
      <c r="AN122" s="7"/>
      <c r="AO122" s="7">
        <f t="shared" si="15"/>
        <v>-2219577</v>
      </c>
      <c r="AP122" s="7">
        <f t="shared" si="15"/>
        <v>-2009238</v>
      </c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>
        <v>3249223</v>
      </c>
      <c r="BE122" s="7">
        <v>2903222</v>
      </c>
      <c r="BF122" s="7"/>
      <c r="BG122" s="7"/>
      <c r="BH122" s="7"/>
      <c r="BI122" s="7">
        <v>2642248</v>
      </c>
      <c r="BJ122" s="7">
        <v>2160761</v>
      </c>
      <c r="BK122" s="7">
        <v>2536443</v>
      </c>
      <c r="BL122" s="7">
        <v>2682932</v>
      </c>
      <c r="BM122" s="7">
        <v>2590224</v>
      </c>
      <c r="BN122" s="7">
        <v>3196454</v>
      </c>
      <c r="BO122" s="7">
        <v>2833781</v>
      </c>
      <c r="BP122" s="7">
        <v>3390566</v>
      </c>
      <c r="BQ122" s="7">
        <v>3281911</v>
      </c>
      <c r="BR122" s="7">
        <v>3080231</v>
      </c>
      <c r="BS122" s="7"/>
      <c r="BT122" s="7"/>
      <c r="BU122" s="7"/>
      <c r="BV122" s="7"/>
      <c r="BW122" s="7"/>
      <c r="BX122" s="7"/>
      <c r="BY122" s="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9"/>
      <c r="DC122" s="39"/>
      <c r="DD122" s="39"/>
      <c r="DE122" s="39"/>
      <c r="DF122" s="39"/>
      <c r="DG122" s="39"/>
      <c r="DH122" s="39"/>
      <c r="DI122" s="39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</row>
    <row r="123" spans="1:139" x14ac:dyDescent="0.25">
      <c r="A123" s="25">
        <v>121</v>
      </c>
      <c r="B123" s="25" t="s">
        <v>295</v>
      </c>
      <c r="C123" s="170" t="s">
        <v>50</v>
      </c>
      <c r="D123" s="26" t="s">
        <v>51</v>
      </c>
      <c r="E123" s="27" t="s">
        <v>287</v>
      </c>
      <c r="F123" s="28">
        <v>1</v>
      </c>
      <c r="G123" s="25" t="s">
        <v>306</v>
      </c>
      <c r="H123" s="53">
        <v>3</v>
      </c>
      <c r="I123" s="54">
        <v>2</v>
      </c>
      <c r="J123" s="109">
        <v>2</v>
      </c>
      <c r="K123" s="131">
        <v>1080025</v>
      </c>
      <c r="L123" s="61">
        <v>1055433</v>
      </c>
      <c r="M123" s="127">
        <v>1033271</v>
      </c>
      <c r="N123" s="119">
        <v>-996229</v>
      </c>
      <c r="O123" s="54">
        <v>-1010414</v>
      </c>
      <c r="P123" s="109">
        <v>-1025102</v>
      </c>
      <c r="Q123" s="131">
        <f t="shared" si="12"/>
        <v>2076254</v>
      </c>
      <c r="R123" s="61">
        <f t="shared" si="13"/>
        <v>2065847</v>
      </c>
      <c r="S123" s="127">
        <f t="shared" si="14"/>
        <v>2058373</v>
      </c>
      <c r="T123" s="161">
        <v>44502</v>
      </c>
      <c r="U123" s="54">
        <v>48003</v>
      </c>
      <c r="V123" s="157">
        <v>48000</v>
      </c>
      <c r="W123" s="131">
        <v>-39727</v>
      </c>
      <c r="X123" s="61">
        <v>-12078</v>
      </c>
      <c r="Y123" s="127">
        <v>-12641</v>
      </c>
      <c r="Z123" s="119">
        <v>-42044</v>
      </c>
      <c r="AA123" s="54">
        <v>-14184</v>
      </c>
      <c r="AB123" s="51">
        <v>-14688</v>
      </c>
      <c r="AC123" s="15"/>
      <c r="AD123" s="15"/>
      <c r="AE123" s="7"/>
      <c r="AF123" s="7"/>
      <c r="AG123" s="7">
        <v>15460159</v>
      </c>
      <c r="AH123" s="7">
        <v>15093352</v>
      </c>
      <c r="AI123" s="7">
        <v>15273645</v>
      </c>
      <c r="AJ123" s="7">
        <v>11535132</v>
      </c>
      <c r="AK123" s="7">
        <v>10916018</v>
      </c>
      <c r="AL123" s="7"/>
      <c r="AM123" s="7"/>
      <c r="AN123" s="7"/>
      <c r="AO123" s="7">
        <f t="shared" si="15"/>
        <v>-11535132</v>
      </c>
      <c r="AP123" s="7">
        <f t="shared" si="15"/>
        <v>-10916018</v>
      </c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>
        <v>2258467</v>
      </c>
      <c r="BE123" s="7">
        <v>2079538</v>
      </c>
      <c r="BF123" s="7"/>
      <c r="BG123" s="7"/>
      <c r="BH123" s="7"/>
      <c r="BI123" s="7">
        <v>1977470</v>
      </c>
      <c r="BJ123" s="7">
        <v>1580624</v>
      </c>
      <c r="BK123" s="7">
        <v>1956497</v>
      </c>
      <c r="BL123" s="7">
        <v>2118590</v>
      </c>
      <c r="BM123" s="7">
        <v>2161918</v>
      </c>
      <c r="BN123" s="7">
        <v>2274795</v>
      </c>
      <c r="BO123" s="7">
        <v>2703929</v>
      </c>
      <c r="BP123" s="7">
        <v>2957595</v>
      </c>
      <c r="BQ123" s="7">
        <v>2747350</v>
      </c>
      <c r="BR123" s="7">
        <v>2791173</v>
      </c>
      <c r="BS123" s="7"/>
      <c r="BT123" s="7"/>
      <c r="BU123" s="7"/>
      <c r="BV123" s="7"/>
      <c r="BW123" s="7"/>
      <c r="BX123" s="7"/>
      <c r="BY123" s="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9"/>
      <c r="DC123" s="39"/>
      <c r="DD123" s="39"/>
      <c r="DE123" s="39"/>
      <c r="DF123" s="39"/>
      <c r="DG123" s="39"/>
      <c r="DH123" s="39"/>
      <c r="DI123" s="39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</row>
    <row r="124" spans="1:139" x14ac:dyDescent="0.25">
      <c r="A124" s="25">
        <v>122</v>
      </c>
      <c r="B124" s="25" t="s">
        <v>295</v>
      </c>
      <c r="C124" s="170" t="s">
        <v>143</v>
      </c>
      <c r="D124" s="26" t="s">
        <v>144</v>
      </c>
      <c r="E124" s="27" t="s">
        <v>288</v>
      </c>
      <c r="F124" s="28">
        <v>0.56969999999999998</v>
      </c>
      <c r="G124" s="25" t="s">
        <v>308</v>
      </c>
      <c r="H124" s="53">
        <v>67</v>
      </c>
      <c r="I124" s="54">
        <v>67</v>
      </c>
      <c r="J124" s="109">
        <v>66</v>
      </c>
      <c r="K124" s="131">
        <v>8045500</v>
      </c>
      <c r="L124" s="61">
        <v>9252300</v>
      </c>
      <c r="M124" s="127">
        <v>11437843</v>
      </c>
      <c r="N124" s="119">
        <v>4024997</v>
      </c>
      <c r="O124" s="54">
        <v>5309855</v>
      </c>
      <c r="P124" s="109">
        <v>7192117</v>
      </c>
      <c r="Q124" s="131">
        <f t="shared" si="12"/>
        <v>4020503</v>
      </c>
      <c r="R124" s="61">
        <f t="shared" si="13"/>
        <v>3942445</v>
      </c>
      <c r="S124" s="127">
        <f t="shared" si="14"/>
        <v>4245726</v>
      </c>
      <c r="T124" s="161">
        <v>1100650</v>
      </c>
      <c r="U124" s="54">
        <v>4165930</v>
      </c>
      <c r="V124" s="157">
        <v>4825892</v>
      </c>
      <c r="W124" s="131">
        <v>-1102231</v>
      </c>
      <c r="X124" s="61">
        <v>1426690</v>
      </c>
      <c r="Y124" s="127">
        <v>1872494</v>
      </c>
      <c r="Z124" s="119">
        <v>-967997</v>
      </c>
      <c r="AA124" s="54">
        <v>1284859</v>
      </c>
      <c r="AB124" s="51">
        <v>1882262</v>
      </c>
      <c r="AC124" s="15"/>
      <c r="AD124" s="15"/>
      <c r="AE124" s="7"/>
      <c r="AF124" s="7"/>
      <c r="AG124" s="7">
        <v>29044875</v>
      </c>
      <c r="AH124" s="7">
        <v>28568564</v>
      </c>
      <c r="AI124" s="7">
        <v>28241661</v>
      </c>
      <c r="AJ124" s="7">
        <v>1428080</v>
      </c>
      <c r="AK124" s="7">
        <v>2260278</v>
      </c>
      <c r="AL124" s="7"/>
      <c r="AM124" s="7"/>
      <c r="AN124" s="7"/>
      <c r="AO124" s="7">
        <f t="shared" si="15"/>
        <v>-1428080</v>
      </c>
      <c r="AP124" s="7">
        <f t="shared" si="15"/>
        <v>-2260278</v>
      </c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>
        <v>4170188</v>
      </c>
      <c r="BE124" s="7">
        <v>4292926</v>
      </c>
      <c r="BF124" s="7"/>
      <c r="BG124" s="7"/>
      <c r="BH124" s="7"/>
      <c r="BI124" s="7">
        <v>2538419</v>
      </c>
      <c r="BJ124" s="7">
        <v>2124352</v>
      </c>
      <c r="BK124" s="7">
        <v>2063055</v>
      </c>
      <c r="BL124" s="7">
        <v>2509530</v>
      </c>
      <c r="BM124" s="7">
        <v>2602361</v>
      </c>
      <c r="BN124" s="7">
        <v>3815917</v>
      </c>
      <c r="BO124" s="7">
        <v>4230454</v>
      </c>
      <c r="BP124" s="7">
        <v>3607740</v>
      </c>
      <c r="BQ124" s="7">
        <v>4497292</v>
      </c>
      <c r="BR124" s="7">
        <v>3911109</v>
      </c>
      <c r="BS124" s="7"/>
      <c r="BT124" s="7"/>
      <c r="BU124" s="7"/>
      <c r="BV124" s="7"/>
      <c r="BW124" s="7"/>
      <c r="BX124" s="7"/>
      <c r="BY124" s="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9"/>
      <c r="DC124" s="39"/>
      <c r="DD124" s="39"/>
      <c r="DE124" s="39"/>
      <c r="DF124" s="39"/>
      <c r="DG124" s="39"/>
      <c r="DH124" s="39"/>
      <c r="DI124" s="39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</row>
    <row r="125" spans="1:139" x14ac:dyDescent="0.25">
      <c r="A125" s="25">
        <v>123</v>
      </c>
      <c r="B125" s="25" t="s">
        <v>295</v>
      </c>
      <c r="C125" s="170" t="s">
        <v>149</v>
      </c>
      <c r="D125" s="26" t="s">
        <v>150</v>
      </c>
      <c r="E125" s="27" t="s">
        <v>287</v>
      </c>
      <c r="F125" s="84">
        <v>0.5</v>
      </c>
      <c r="G125" s="25" t="s">
        <v>301</v>
      </c>
      <c r="H125" s="53">
        <v>27</v>
      </c>
      <c r="I125" s="54">
        <v>27</v>
      </c>
      <c r="J125" s="109">
        <v>28</v>
      </c>
      <c r="K125" s="131">
        <v>9215440</v>
      </c>
      <c r="L125" s="61">
        <v>9498627</v>
      </c>
      <c r="M125" s="127">
        <v>9599063</v>
      </c>
      <c r="N125" s="119">
        <v>5297792</v>
      </c>
      <c r="O125" s="54">
        <v>5804905</v>
      </c>
      <c r="P125" s="109">
        <v>6144828</v>
      </c>
      <c r="Q125" s="131">
        <f t="shared" si="12"/>
        <v>3917648</v>
      </c>
      <c r="R125" s="61">
        <f t="shared" si="13"/>
        <v>3693722</v>
      </c>
      <c r="S125" s="127">
        <f t="shared" si="14"/>
        <v>3454235</v>
      </c>
      <c r="T125" s="161">
        <v>1569098</v>
      </c>
      <c r="U125" s="54">
        <v>1599047</v>
      </c>
      <c r="V125" s="157">
        <v>1731747</v>
      </c>
      <c r="W125" s="131">
        <v>572420</v>
      </c>
      <c r="X125" s="61">
        <v>500200</v>
      </c>
      <c r="Y125" s="127">
        <v>381008</v>
      </c>
      <c r="Z125" s="119">
        <v>614820</v>
      </c>
      <c r="AA125" s="54">
        <v>504889</v>
      </c>
      <c r="AB125" s="51">
        <v>339923</v>
      </c>
      <c r="AC125" s="15"/>
      <c r="AD125" s="15"/>
      <c r="AE125" s="7"/>
      <c r="AF125" s="7"/>
      <c r="AG125" s="7">
        <v>0</v>
      </c>
      <c r="AH125" s="7">
        <v>160080</v>
      </c>
      <c r="AI125" s="7">
        <v>196457</v>
      </c>
      <c r="AJ125" s="7">
        <v>0</v>
      </c>
      <c r="AK125" s="7">
        <v>0</v>
      </c>
      <c r="AL125" s="7"/>
      <c r="AM125" s="7"/>
      <c r="AN125" s="7"/>
      <c r="AO125" s="7">
        <f t="shared" si="15"/>
        <v>0</v>
      </c>
      <c r="AP125" s="7">
        <f t="shared" si="15"/>
        <v>0</v>
      </c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>
        <v>0</v>
      </c>
      <c r="BE125" s="7">
        <v>0</v>
      </c>
      <c r="BF125" s="7"/>
      <c r="BG125" s="7"/>
      <c r="BH125" s="7"/>
      <c r="BI125" s="7">
        <v>0</v>
      </c>
      <c r="BJ125" s="7">
        <v>0</v>
      </c>
      <c r="BK125" s="7">
        <v>0</v>
      </c>
      <c r="BL125" s="7">
        <f>503138</f>
        <v>503138</v>
      </c>
      <c r="BM125" s="7">
        <f>493033</f>
        <v>493033</v>
      </c>
      <c r="BN125" s="7">
        <v>0</v>
      </c>
      <c r="BO125" s="7">
        <v>0</v>
      </c>
      <c r="BP125" s="7">
        <v>0</v>
      </c>
      <c r="BQ125" s="7">
        <f>127115+312742</f>
        <v>439857</v>
      </c>
      <c r="BR125" s="7">
        <f>118185+418364</f>
        <v>536549</v>
      </c>
      <c r="BS125" s="7"/>
      <c r="BT125" s="7"/>
      <c r="BU125" s="7"/>
      <c r="BV125" s="7"/>
      <c r="BW125" s="7"/>
      <c r="BX125" s="7"/>
      <c r="BY125" s="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40"/>
      <c r="CS125" s="40"/>
      <c r="CT125" s="40"/>
      <c r="CU125" s="38"/>
      <c r="CV125" s="38"/>
      <c r="CW125" s="40"/>
      <c r="CX125" s="40"/>
      <c r="CY125" s="40"/>
      <c r="CZ125" s="38"/>
      <c r="DA125" s="38"/>
      <c r="DB125" s="39"/>
      <c r="DC125" s="39"/>
      <c r="DD125" s="39"/>
      <c r="DE125" s="39"/>
      <c r="DF125" s="39"/>
      <c r="DG125" s="39"/>
      <c r="DH125" s="39"/>
      <c r="DI125" s="39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</row>
    <row r="126" spans="1:139" ht="15.75" thickBot="1" x14ac:dyDescent="0.3">
      <c r="A126" s="80">
        <v>124</v>
      </c>
      <c r="B126" s="80" t="s">
        <v>295</v>
      </c>
      <c r="C126" s="172" t="s">
        <v>188</v>
      </c>
      <c r="D126" s="81" t="s">
        <v>189</v>
      </c>
      <c r="E126" s="82" t="s">
        <v>287</v>
      </c>
      <c r="F126" s="96">
        <v>0.995</v>
      </c>
      <c r="G126" s="80" t="s">
        <v>311</v>
      </c>
      <c r="H126" s="66">
        <v>9</v>
      </c>
      <c r="I126" s="67">
        <v>9</v>
      </c>
      <c r="J126" s="114">
        <v>8</v>
      </c>
      <c r="K126" s="136">
        <v>16040</v>
      </c>
      <c r="L126" s="69">
        <v>4895</v>
      </c>
      <c r="M126" s="137">
        <v>24548</v>
      </c>
      <c r="N126" s="122">
        <v>-146039</v>
      </c>
      <c r="O126" s="67">
        <v>-170484</v>
      </c>
      <c r="P126" s="114">
        <v>-156156</v>
      </c>
      <c r="Q126" s="136">
        <f t="shared" si="12"/>
        <v>162079</v>
      </c>
      <c r="R126" s="69">
        <f t="shared" si="13"/>
        <v>175379</v>
      </c>
      <c r="S126" s="137">
        <f t="shared" si="14"/>
        <v>180704</v>
      </c>
      <c r="T126" s="166">
        <v>70084</v>
      </c>
      <c r="U126" s="67">
        <v>73898</v>
      </c>
      <c r="V126" s="167">
        <v>108003</v>
      </c>
      <c r="W126" s="136">
        <v>-32316</v>
      </c>
      <c r="X126" s="69">
        <v>-24445</v>
      </c>
      <c r="Y126" s="137">
        <v>14328</v>
      </c>
      <c r="Z126" s="122">
        <v>-32316</v>
      </c>
      <c r="AA126" s="67">
        <v>-24445</v>
      </c>
      <c r="AB126" s="68">
        <v>14328</v>
      </c>
      <c r="AC126" s="15"/>
      <c r="AD126" s="15"/>
      <c r="AE126" s="10"/>
      <c r="AF126" s="10"/>
      <c r="AG126" s="10">
        <v>1881611</v>
      </c>
      <c r="AH126" s="10">
        <v>2080408</v>
      </c>
      <c r="AI126" s="10">
        <v>2228788</v>
      </c>
      <c r="AJ126" s="10">
        <v>859219</v>
      </c>
      <c r="AK126" s="10">
        <v>891635</v>
      </c>
      <c r="AL126" s="10"/>
      <c r="AM126" s="10"/>
      <c r="AN126" s="10"/>
      <c r="AO126" s="10">
        <f t="shared" si="15"/>
        <v>-859219</v>
      </c>
      <c r="AP126" s="10">
        <f t="shared" si="15"/>
        <v>-891635</v>
      </c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>
        <v>1573565</v>
      </c>
      <c r="BE126" s="10">
        <v>2420774</v>
      </c>
      <c r="BF126" s="10"/>
      <c r="BG126" s="10"/>
      <c r="BH126" s="10"/>
      <c r="BI126" s="10">
        <v>1470296</v>
      </c>
      <c r="BJ126" s="10">
        <v>2240684</v>
      </c>
      <c r="BK126" s="10">
        <v>2715302</v>
      </c>
      <c r="BL126" s="10">
        <v>2974996</v>
      </c>
      <c r="BM126" s="10">
        <v>1419703</v>
      </c>
      <c r="BN126" s="10">
        <v>1568005</v>
      </c>
      <c r="BO126" s="10">
        <v>2355892</v>
      </c>
      <c r="BP126" s="10">
        <v>2677011</v>
      </c>
      <c r="BQ126" s="10">
        <v>2994293</v>
      </c>
      <c r="BR126" s="10">
        <v>3022647</v>
      </c>
      <c r="BS126" s="10"/>
      <c r="BT126" s="10"/>
      <c r="BU126" s="10"/>
      <c r="BV126" s="10"/>
      <c r="BW126" s="10"/>
      <c r="BX126" s="10"/>
      <c r="BY126" s="10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9"/>
      <c r="DE126" s="39"/>
      <c r="DF126" s="39"/>
      <c r="DG126" s="39"/>
      <c r="DH126" s="39"/>
      <c r="DI126" s="39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</row>
    <row r="127" spans="1:139" x14ac:dyDescent="0.25"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</row>
    <row r="128" spans="1:139" x14ac:dyDescent="0.25"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</row>
    <row r="129" spans="78:139" x14ac:dyDescent="0.25"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</row>
    <row r="130" spans="78:139" x14ac:dyDescent="0.25"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</row>
    <row r="131" spans="78:139" x14ac:dyDescent="0.25"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</row>
    <row r="132" spans="78:139" x14ac:dyDescent="0.25"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</row>
    <row r="133" spans="78:139" x14ac:dyDescent="0.25"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</row>
    <row r="134" spans="78:139" x14ac:dyDescent="0.25"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</row>
    <row r="135" spans="78:139" x14ac:dyDescent="0.25"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</row>
  </sheetData>
  <sheetProtection algorithmName="SHA-512" hashValue="IxPLJoz5C6l4mE3PBbhK05T62tv/T4356zSv2XHUFLlKbSXof2JG8mZaCWqmEIuRudG+9P8TlEaytel3d1qI4g==" saltValue="MJD1ODUW5/V0TT1s66qcCw==" spinCount="100000" sheet="1" objects="1" scenarios="1"/>
  <autoFilter ref="B2:AD126" xr:uid="{FD8A19AC-7EED-4EAD-9CC2-52C9059D614A}">
    <sortState ref="B4:AD126">
      <sortCondition ref="B3"/>
    </sortState>
  </autoFilter>
  <mergeCells count="23">
    <mergeCell ref="A1:A2"/>
    <mergeCell ref="G1:G2"/>
    <mergeCell ref="F1:F2"/>
    <mergeCell ref="E1:E2"/>
    <mergeCell ref="B1:B2"/>
    <mergeCell ref="C1:C2"/>
    <mergeCell ref="D1:D2"/>
    <mergeCell ref="CW1:DA1"/>
    <mergeCell ref="AY1:BC1"/>
    <mergeCell ref="AT1:AX1"/>
    <mergeCell ref="CM1:CQ1"/>
    <mergeCell ref="CR1:CV1"/>
    <mergeCell ref="BI1:BM1"/>
    <mergeCell ref="BN1:BR1"/>
    <mergeCell ref="BS1:BW1"/>
    <mergeCell ref="CC1:CG1"/>
    <mergeCell ref="W1:Y1"/>
    <mergeCell ref="Z1:AB1"/>
    <mergeCell ref="H1:J1"/>
    <mergeCell ref="K1:M1"/>
    <mergeCell ref="N1:P1"/>
    <mergeCell ref="Q1:S1"/>
    <mergeCell ref="T1:V1"/>
  </mergeCells>
  <phoneticPr fontId="10" type="noConversion"/>
  <conditionalFormatting sqref="D3:D126">
    <cfRule type="duplicateValues" dxfId="112" priority="10"/>
  </conditionalFormatting>
  <pageMargins left="0.7" right="0.7" top="0.75" bottom="0.75" header="0.3" footer="0.3"/>
  <pageSetup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5B20-7727-4E62-BED5-907069E46BD9}">
  <dimension ref="A2:V154"/>
  <sheetViews>
    <sheetView zoomScale="85" zoomScaleNormal="85" workbookViewId="0">
      <selection activeCell="K122" sqref="K122"/>
    </sheetView>
  </sheetViews>
  <sheetFormatPr defaultRowHeight="15" x14ac:dyDescent="0.25"/>
  <cols>
    <col min="1" max="1" width="73.28515625" bestFit="1" customWidth="1"/>
    <col min="2" max="4" width="22.140625" bestFit="1" customWidth="1"/>
    <col min="5" max="10" width="21" bestFit="1" customWidth="1"/>
    <col min="11" max="13" width="22.42578125" bestFit="1" customWidth="1"/>
    <col min="14" max="16" width="20.5703125" bestFit="1" customWidth="1"/>
    <col min="17" max="19" width="14.7109375" bestFit="1" customWidth="1"/>
    <col min="20" max="23" width="20.28515625" bestFit="1" customWidth="1"/>
  </cols>
  <sheetData>
    <row r="2" spans="1:22" ht="39.75" customHeight="1" x14ac:dyDescent="0.25">
      <c r="A2" s="182" t="s">
        <v>335</v>
      </c>
      <c r="B2" s="190" t="s">
        <v>314</v>
      </c>
      <c r="C2" s="191" t="s">
        <v>315</v>
      </c>
      <c r="D2" s="192" t="s">
        <v>316</v>
      </c>
      <c r="E2" s="191" t="s">
        <v>317</v>
      </c>
      <c r="F2" s="191" t="s">
        <v>318</v>
      </c>
      <c r="G2" s="192" t="s">
        <v>319</v>
      </c>
      <c r="H2" s="192" t="s">
        <v>320</v>
      </c>
      <c r="I2" s="189" t="s">
        <v>321</v>
      </c>
      <c r="J2" s="189" t="s">
        <v>322</v>
      </c>
      <c r="K2" s="192" t="s">
        <v>323</v>
      </c>
      <c r="L2" s="189" t="s">
        <v>324</v>
      </c>
      <c r="M2" s="189" t="s">
        <v>325</v>
      </c>
      <c r="N2" s="189" t="s">
        <v>326</v>
      </c>
      <c r="O2" s="189" t="s">
        <v>327</v>
      </c>
      <c r="P2" s="189" t="s">
        <v>328</v>
      </c>
      <c r="Q2" s="189" t="s">
        <v>329</v>
      </c>
      <c r="R2" s="189" t="s">
        <v>330</v>
      </c>
      <c r="S2" s="189" t="s">
        <v>331</v>
      </c>
      <c r="T2" s="192" t="s">
        <v>332</v>
      </c>
      <c r="U2" s="189" t="s">
        <v>333</v>
      </c>
      <c r="V2" s="189" t="s">
        <v>334</v>
      </c>
    </row>
    <row r="3" spans="1:22" x14ac:dyDescent="0.25">
      <c r="A3" s="198" t="s">
        <v>276</v>
      </c>
      <c r="B3" s="199">
        <v>114</v>
      </c>
      <c r="C3" s="200">
        <v>100</v>
      </c>
      <c r="D3" s="200">
        <v>102</v>
      </c>
      <c r="E3" s="201">
        <v>2784973</v>
      </c>
      <c r="F3" s="201">
        <v>2823605</v>
      </c>
      <c r="G3" s="201">
        <v>2644527</v>
      </c>
      <c r="H3" s="202">
        <v>1386414</v>
      </c>
      <c r="I3" s="203">
        <v>1473753</v>
      </c>
      <c r="J3" s="204">
        <v>1403297</v>
      </c>
      <c r="K3" s="202">
        <v>1398559</v>
      </c>
      <c r="L3" s="203">
        <v>1349852</v>
      </c>
      <c r="M3" s="204">
        <v>1241230</v>
      </c>
      <c r="N3" s="202">
        <v>1037947</v>
      </c>
      <c r="O3" s="203">
        <v>1270341</v>
      </c>
      <c r="P3" s="204">
        <v>995799</v>
      </c>
      <c r="Q3" s="202">
        <v>-341598</v>
      </c>
      <c r="R3" s="203">
        <v>-331199</v>
      </c>
      <c r="S3" s="204">
        <v>-607461</v>
      </c>
      <c r="T3" s="202">
        <v>14960</v>
      </c>
      <c r="U3" s="203">
        <v>48062</v>
      </c>
      <c r="V3" s="204">
        <v>-64676</v>
      </c>
    </row>
    <row r="4" spans="1:22" x14ac:dyDescent="0.25">
      <c r="A4" s="215" t="s">
        <v>89</v>
      </c>
      <c r="B4" s="193">
        <v>38</v>
      </c>
      <c r="C4" s="194">
        <v>35</v>
      </c>
      <c r="D4" s="194">
        <v>35</v>
      </c>
      <c r="E4" s="185">
        <v>228556</v>
      </c>
      <c r="F4" s="185">
        <v>269306</v>
      </c>
      <c r="G4" s="185">
        <v>251367</v>
      </c>
      <c r="H4" s="195">
        <v>-132176</v>
      </c>
      <c r="I4" s="196">
        <v>-86631</v>
      </c>
      <c r="J4" s="197">
        <v>-65339</v>
      </c>
      <c r="K4" s="187">
        <v>360732</v>
      </c>
      <c r="L4" s="186">
        <v>355937</v>
      </c>
      <c r="M4" s="188">
        <v>316706</v>
      </c>
      <c r="N4" s="195">
        <v>428376</v>
      </c>
      <c r="O4" s="196">
        <v>467189</v>
      </c>
      <c r="P4" s="197">
        <v>238167</v>
      </c>
      <c r="Q4" s="187">
        <v>-251004</v>
      </c>
      <c r="R4" s="186">
        <v>-235070</v>
      </c>
      <c r="S4" s="188">
        <v>-214707</v>
      </c>
      <c r="T4" s="195">
        <v>-15004</v>
      </c>
      <c r="U4" s="196">
        <v>930</v>
      </c>
      <c r="V4" s="197">
        <v>21292</v>
      </c>
    </row>
    <row r="5" spans="1:22" x14ac:dyDescent="0.25">
      <c r="A5" s="215" t="s">
        <v>121</v>
      </c>
      <c r="B5" s="193">
        <v>10</v>
      </c>
      <c r="C5" s="194">
        <v>12</v>
      </c>
      <c r="D5" s="194">
        <v>0</v>
      </c>
      <c r="E5" s="185">
        <v>4433</v>
      </c>
      <c r="F5" s="185">
        <v>4891</v>
      </c>
      <c r="G5" s="185">
        <v>0</v>
      </c>
      <c r="H5" s="195">
        <v>3899</v>
      </c>
      <c r="I5" s="196">
        <v>4690</v>
      </c>
      <c r="J5" s="197">
        <v>0</v>
      </c>
      <c r="K5" s="187">
        <v>534</v>
      </c>
      <c r="L5" s="186">
        <v>201</v>
      </c>
      <c r="M5" s="188">
        <v>0</v>
      </c>
      <c r="N5" s="195">
        <v>94628</v>
      </c>
      <c r="O5" s="196">
        <v>108121</v>
      </c>
      <c r="P5" s="197">
        <v>0</v>
      </c>
      <c r="Q5" s="187">
        <v>0</v>
      </c>
      <c r="R5" s="186">
        <v>0</v>
      </c>
      <c r="S5" s="188">
        <v>0</v>
      </c>
      <c r="T5" s="195">
        <v>0</v>
      </c>
      <c r="U5" s="196">
        <v>0</v>
      </c>
      <c r="V5" s="197">
        <v>0</v>
      </c>
    </row>
    <row r="6" spans="1:22" x14ac:dyDescent="0.25">
      <c r="A6" s="215" t="s">
        <v>155</v>
      </c>
      <c r="B6" s="193">
        <v>23</v>
      </c>
      <c r="C6" s="194">
        <v>10</v>
      </c>
      <c r="D6" s="194">
        <v>19</v>
      </c>
      <c r="E6" s="185">
        <v>54048</v>
      </c>
      <c r="F6" s="185">
        <v>44885</v>
      </c>
      <c r="G6" s="185">
        <v>41751</v>
      </c>
      <c r="H6" s="195">
        <v>53291</v>
      </c>
      <c r="I6" s="196">
        <v>44857</v>
      </c>
      <c r="J6" s="197">
        <v>45219</v>
      </c>
      <c r="K6" s="187">
        <v>757</v>
      </c>
      <c r="L6" s="186">
        <v>28</v>
      </c>
      <c r="M6" s="188">
        <v>-3468</v>
      </c>
      <c r="N6" s="195">
        <v>147586</v>
      </c>
      <c r="O6" s="196">
        <v>163386</v>
      </c>
      <c r="P6" s="197">
        <v>165612</v>
      </c>
      <c r="Q6" s="187">
        <v>-131882</v>
      </c>
      <c r="R6" s="186">
        <v>-151651</v>
      </c>
      <c r="S6" s="188">
        <v>-136772</v>
      </c>
      <c r="T6" s="195">
        <v>-4716</v>
      </c>
      <c r="U6" s="196">
        <v>-8434</v>
      </c>
      <c r="V6" s="197">
        <v>362</v>
      </c>
    </row>
    <row r="7" spans="1:22" ht="30" x14ac:dyDescent="0.25">
      <c r="A7" s="215" t="s">
        <v>190</v>
      </c>
      <c r="B7" s="193">
        <v>12</v>
      </c>
      <c r="C7" s="194">
        <v>10</v>
      </c>
      <c r="D7" s="194">
        <v>12</v>
      </c>
      <c r="E7" s="185">
        <v>6</v>
      </c>
      <c r="F7" s="185">
        <v>1602</v>
      </c>
      <c r="G7" s="185">
        <v>4897</v>
      </c>
      <c r="H7" s="195">
        <v>3</v>
      </c>
      <c r="I7" s="196">
        <v>1602</v>
      </c>
      <c r="J7" s="197">
        <v>4924</v>
      </c>
      <c r="K7" s="187">
        <v>3</v>
      </c>
      <c r="L7" s="186">
        <v>0</v>
      </c>
      <c r="M7" s="188">
        <v>-27</v>
      </c>
      <c r="N7" s="195">
        <v>73600</v>
      </c>
      <c r="O7" s="196">
        <v>104705</v>
      </c>
      <c r="P7" s="197">
        <v>118590</v>
      </c>
      <c r="Q7" s="187">
        <v>2</v>
      </c>
      <c r="R7" s="186">
        <v>1602</v>
      </c>
      <c r="S7" s="188">
        <v>4409</v>
      </c>
      <c r="T7" s="195">
        <v>2</v>
      </c>
      <c r="U7" s="196">
        <v>1602</v>
      </c>
      <c r="V7" s="197">
        <v>4409</v>
      </c>
    </row>
    <row r="8" spans="1:22" x14ac:dyDescent="0.25">
      <c r="A8" s="215" t="s">
        <v>222</v>
      </c>
      <c r="B8" s="193">
        <v>31</v>
      </c>
      <c r="C8" s="194">
        <v>33</v>
      </c>
      <c r="D8" s="194">
        <v>36</v>
      </c>
      <c r="E8" s="185">
        <v>2497930</v>
      </c>
      <c r="F8" s="185">
        <v>2502921</v>
      </c>
      <c r="G8" s="185">
        <v>2346512</v>
      </c>
      <c r="H8" s="195">
        <v>1461397</v>
      </c>
      <c r="I8" s="196">
        <v>1509235</v>
      </c>
      <c r="J8" s="197">
        <v>1418493</v>
      </c>
      <c r="K8" s="187">
        <v>1036533</v>
      </c>
      <c r="L8" s="186">
        <v>993686</v>
      </c>
      <c r="M8" s="188">
        <v>928019</v>
      </c>
      <c r="N8" s="195">
        <v>293757</v>
      </c>
      <c r="O8" s="196">
        <v>426940</v>
      </c>
      <c r="P8" s="197">
        <v>473430</v>
      </c>
      <c r="Q8" s="187">
        <v>41286</v>
      </c>
      <c r="R8" s="186">
        <v>53920</v>
      </c>
      <c r="S8" s="188">
        <v>-260391</v>
      </c>
      <c r="T8" s="195">
        <v>34678</v>
      </c>
      <c r="U8" s="196">
        <v>53964</v>
      </c>
      <c r="V8" s="197">
        <v>-90739</v>
      </c>
    </row>
    <row r="9" spans="1:22" x14ac:dyDescent="0.25">
      <c r="A9" s="198" t="s">
        <v>272</v>
      </c>
      <c r="B9" s="199">
        <v>541</v>
      </c>
      <c r="C9" s="200">
        <v>554</v>
      </c>
      <c r="D9" s="200">
        <v>566</v>
      </c>
      <c r="E9" s="201">
        <v>55163137</v>
      </c>
      <c r="F9" s="201">
        <v>54490411</v>
      </c>
      <c r="G9" s="201">
        <v>55057373</v>
      </c>
      <c r="H9" s="205">
        <v>4989173</v>
      </c>
      <c r="I9" s="206">
        <v>4993376</v>
      </c>
      <c r="J9" s="207">
        <v>5287824</v>
      </c>
      <c r="K9" s="205">
        <v>50173964</v>
      </c>
      <c r="L9" s="206">
        <v>49497035</v>
      </c>
      <c r="M9" s="207">
        <v>49769549</v>
      </c>
      <c r="N9" s="205">
        <v>12017104</v>
      </c>
      <c r="O9" s="206">
        <v>11733467</v>
      </c>
      <c r="P9" s="207">
        <v>13246540</v>
      </c>
      <c r="Q9" s="205">
        <v>-49079</v>
      </c>
      <c r="R9" s="206">
        <v>54094</v>
      </c>
      <c r="S9" s="207">
        <v>311421</v>
      </c>
      <c r="T9" s="205">
        <v>88576</v>
      </c>
      <c r="U9" s="206">
        <v>111499</v>
      </c>
      <c r="V9" s="207">
        <v>455721</v>
      </c>
    </row>
    <row r="10" spans="1:22" x14ac:dyDescent="0.25">
      <c r="A10" s="184" t="s">
        <v>71</v>
      </c>
      <c r="B10" s="193">
        <v>314</v>
      </c>
      <c r="C10" s="194">
        <v>316</v>
      </c>
      <c r="D10" s="194">
        <v>326</v>
      </c>
      <c r="E10" s="185">
        <v>4982580</v>
      </c>
      <c r="F10" s="185">
        <v>5113080</v>
      </c>
      <c r="G10" s="185">
        <v>5946585</v>
      </c>
      <c r="H10" s="195">
        <v>1822125</v>
      </c>
      <c r="I10" s="196">
        <v>1873779</v>
      </c>
      <c r="J10" s="197">
        <v>2117558</v>
      </c>
      <c r="K10" s="187">
        <v>3160455</v>
      </c>
      <c r="L10" s="186">
        <v>3239301</v>
      </c>
      <c r="M10" s="188">
        <v>3829027</v>
      </c>
      <c r="N10" s="195">
        <v>5056849</v>
      </c>
      <c r="O10" s="196">
        <v>5426071</v>
      </c>
      <c r="P10" s="197">
        <v>6654200</v>
      </c>
      <c r="Q10" s="187">
        <v>58767</v>
      </c>
      <c r="R10" s="186">
        <v>71571</v>
      </c>
      <c r="S10" s="188">
        <v>431081</v>
      </c>
      <c r="T10" s="195">
        <v>5902</v>
      </c>
      <c r="U10" s="196">
        <v>39502</v>
      </c>
      <c r="V10" s="197">
        <v>392456</v>
      </c>
    </row>
    <row r="11" spans="1:22" x14ac:dyDescent="0.25">
      <c r="A11" s="184" t="s">
        <v>123</v>
      </c>
      <c r="B11" s="193">
        <v>23</v>
      </c>
      <c r="C11" s="194">
        <v>23</v>
      </c>
      <c r="D11" s="194">
        <v>22</v>
      </c>
      <c r="E11" s="185">
        <v>225973</v>
      </c>
      <c r="F11" s="185">
        <v>239277</v>
      </c>
      <c r="G11" s="185">
        <v>233492</v>
      </c>
      <c r="H11" s="195">
        <v>214914</v>
      </c>
      <c r="I11" s="196">
        <v>227399</v>
      </c>
      <c r="J11" s="197">
        <v>221199</v>
      </c>
      <c r="K11" s="187">
        <v>11059</v>
      </c>
      <c r="L11" s="186">
        <v>11878</v>
      </c>
      <c r="M11" s="188">
        <v>12293</v>
      </c>
      <c r="N11" s="195">
        <v>329443</v>
      </c>
      <c r="O11" s="196">
        <v>347530</v>
      </c>
      <c r="P11" s="197">
        <v>338098</v>
      </c>
      <c r="Q11" s="187">
        <v>1161</v>
      </c>
      <c r="R11" s="186">
        <v>15430</v>
      </c>
      <c r="S11" s="188">
        <v>-8508</v>
      </c>
      <c r="T11" s="195">
        <v>1520</v>
      </c>
      <c r="U11" s="196">
        <v>14431</v>
      </c>
      <c r="V11" s="197">
        <v>-6200</v>
      </c>
    </row>
    <row r="12" spans="1:22" x14ac:dyDescent="0.25">
      <c r="A12" s="184" t="s">
        <v>141</v>
      </c>
      <c r="B12" s="193">
        <v>12</v>
      </c>
      <c r="C12" s="194">
        <v>13</v>
      </c>
      <c r="D12" s="194">
        <v>18</v>
      </c>
      <c r="E12" s="185">
        <v>20146</v>
      </c>
      <c r="F12" s="185">
        <v>5781</v>
      </c>
      <c r="G12" s="185">
        <v>95092</v>
      </c>
      <c r="H12" s="195">
        <v>20117</v>
      </c>
      <c r="I12" s="196">
        <v>5781</v>
      </c>
      <c r="J12" s="197">
        <v>45327</v>
      </c>
      <c r="K12" s="187">
        <v>29</v>
      </c>
      <c r="L12" s="186">
        <v>0</v>
      </c>
      <c r="M12" s="188">
        <v>49765</v>
      </c>
      <c r="N12" s="195">
        <v>144350</v>
      </c>
      <c r="O12" s="196">
        <v>152549</v>
      </c>
      <c r="P12" s="197">
        <v>336708</v>
      </c>
      <c r="Q12" s="187">
        <v>-218</v>
      </c>
      <c r="R12" s="186">
        <v>-24849</v>
      </c>
      <c r="S12" s="188">
        <v>38118</v>
      </c>
      <c r="T12" s="195">
        <v>293</v>
      </c>
      <c r="U12" s="196">
        <v>-14336</v>
      </c>
      <c r="V12" s="197">
        <v>39546</v>
      </c>
    </row>
    <row r="13" spans="1:22" x14ac:dyDescent="0.25">
      <c r="A13" s="184" t="s">
        <v>0</v>
      </c>
      <c r="B13" s="193">
        <v>0</v>
      </c>
      <c r="C13" s="194">
        <v>0</v>
      </c>
      <c r="D13" s="194">
        <v>0</v>
      </c>
      <c r="E13" s="185">
        <v>0</v>
      </c>
      <c r="F13" s="185">
        <v>0</v>
      </c>
      <c r="G13" s="185">
        <v>0</v>
      </c>
      <c r="H13" s="195">
        <v>0</v>
      </c>
      <c r="I13" s="196">
        <v>0</v>
      </c>
      <c r="J13" s="197">
        <v>0</v>
      </c>
      <c r="K13" s="187"/>
      <c r="L13" s="186"/>
      <c r="M13" s="188"/>
      <c r="N13" s="195">
        <v>0</v>
      </c>
      <c r="O13" s="196">
        <v>0</v>
      </c>
      <c r="P13" s="197">
        <v>0</v>
      </c>
      <c r="Q13" s="187">
        <v>0</v>
      </c>
      <c r="R13" s="186">
        <v>0</v>
      </c>
      <c r="S13" s="188">
        <v>0</v>
      </c>
      <c r="T13" s="195">
        <v>0</v>
      </c>
      <c r="U13" s="196">
        <v>0</v>
      </c>
      <c r="V13" s="197">
        <v>0</v>
      </c>
    </row>
    <row r="14" spans="1:22" x14ac:dyDescent="0.25">
      <c r="A14" s="184" t="s">
        <v>208</v>
      </c>
      <c r="B14" s="193">
        <v>23</v>
      </c>
      <c r="C14" s="194">
        <v>29</v>
      </c>
      <c r="D14" s="194">
        <v>29</v>
      </c>
      <c r="E14" s="185">
        <v>160261</v>
      </c>
      <c r="F14" s="185">
        <v>181710</v>
      </c>
      <c r="G14" s="185">
        <v>359031</v>
      </c>
      <c r="H14" s="195">
        <v>110985</v>
      </c>
      <c r="I14" s="196">
        <v>139064</v>
      </c>
      <c r="J14" s="197">
        <v>127059</v>
      </c>
      <c r="K14" s="187">
        <v>49276</v>
      </c>
      <c r="L14" s="186">
        <v>42646</v>
      </c>
      <c r="M14" s="188">
        <v>231972</v>
      </c>
      <c r="N14" s="195">
        <v>485536</v>
      </c>
      <c r="O14" s="196">
        <v>542326</v>
      </c>
      <c r="P14" s="197">
        <v>692877</v>
      </c>
      <c r="Q14" s="187">
        <v>34775</v>
      </c>
      <c r="R14" s="186">
        <v>30842</v>
      </c>
      <c r="S14" s="188">
        <v>-23</v>
      </c>
      <c r="T14" s="195">
        <v>31510</v>
      </c>
      <c r="U14" s="196">
        <v>28088</v>
      </c>
      <c r="V14" s="197">
        <v>591</v>
      </c>
    </row>
    <row r="15" spans="1:22" x14ac:dyDescent="0.25">
      <c r="A15" s="184" t="s">
        <v>224</v>
      </c>
      <c r="B15" s="193">
        <v>169</v>
      </c>
      <c r="C15" s="194">
        <v>173</v>
      </c>
      <c r="D15" s="194">
        <v>171</v>
      </c>
      <c r="E15" s="185">
        <v>49774177</v>
      </c>
      <c r="F15" s="185">
        <v>48950563</v>
      </c>
      <c r="G15" s="185">
        <v>48423173</v>
      </c>
      <c r="H15" s="195">
        <v>2821032</v>
      </c>
      <c r="I15" s="196">
        <v>2747353</v>
      </c>
      <c r="J15" s="197">
        <v>2776681</v>
      </c>
      <c r="K15" s="187">
        <v>46953145</v>
      </c>
      <c r="L15" s="186">
        <v>46203210</v>
      </c>
      <c r="M15" s="188">
        <v>45646492</v>
      </c>
      <c r="N15" s="195">
        <v>6000926</v>
      </c>
      <c r="O15" s="196">
        <v>5264991</v>
      </c>
      <c r="P15" s="197">
        <v>5224657</v>
      </c>
      <c r="Q15" s="187">
        <v>-143564</v>
      </c>
      <c r="R15" s="186">
        <v>-38900</v>
      </c>
      <c r="S15" s="188">
        <v>-149247</v>
      </c>
      <c r="T15" s="195">
        <v>49351</v>
      </c>
      <c r="U15" s="196">
        <v>43814</v>
      </c>
      <c r="V15" s="197">
        <v>29328</v>
      </c>
    </row>
    <row r="16" spans="1:22" x14ac:dyDescent="0.25">
      <c r="A16" s="198" t="s">
        <v>261</v>
      </c>
      <c r="B16" s="199">
        <v>365</v>
      </c>
      <c r="C16" s="200">
        <v>368</v>
      </c>
      <c r="D16" s="200">
        <v>376</v>
      </c>
      <c r="E16" s="201">
        <v>5700666</v>
      </c>
      <c r="F16" s="201">
        <v>5973452</v>
      </c>
      <c r="G16" s="201">
        <v>5209602</v>
      </c>
      <c r="H16" s="205">
        <v>-2887677</v>
      </c>
      <c r="I16" s="206">
        <v>-2758033</v>
      </c>
      <c r="J16" s="207">
        <v>-3100290</v>
      </c>
      <c r="K16" s="205">
        <v>8588343</v>
      </c>
      <c r="L16" s="206">
        <v>8731485</v>
      </c>
      <c r="M16" s="207">
        <v>8309892</v>
      </c>
      <c r="N16" s="205">
        <v>3707281</v>
      </c>
      <c r="O16" s="206">
        <v>4243075</v>
      </c>
      <c r="P16" s="207">
        <v>4646217</v>
      </c>
      <c r="Q16" s="205">
        <v>-271076</v>
      </c>
      <c r="R16" s="206">
        <v>-86198</v>
      </c>
      <c r="S16" s="207">
        <v>-378949</v>
      </c>
      <c r="T16" s="205">
        <v>-277069</v>
      </c>
      <c r="U16" s="206">
        <v>-105051</v>
      </c>
      <c r="V16" s="207">
        <v>-377818</v>
      </c>
    </row>
    <row r="17" spans="1:22" x14ac:dyDescent="0.25">
      <c r="A17" s="184" t="s">
        <v>8</v>
      </c>
      <c r="B17" s="193">
        <v>70</v>
      </c>
      <c r="C17" s="194">
        <v>75</v>
      </c>
      <c r="D17" s="194">
        <v>79</v>
      </c>
      <c r="E17" s="185">
        <v>1073246</v>
      </c>
      <c r="F17" s="185">
        <v>1284511</v>
      </c>
      <c r="G17" s="185">
        <v>463647</v>
      </c>
      <c r="H17" s="195">
        <v>-263263</v>
      </c>
      <c r="I17" s="196">
        <v>-242160</v>
      </c>
      <c r="J17" s="197">
        <v>-242036</v>
      </c>
      <c r="K17" s="187">
        <v>1336509</v>
      </c>
      <c r="L17" s="186">
        <v>1526671</v>
      </c>
      <c r="M17" s="188">
        <v>705683</v>
      </c>
      <c r="N17" s="195">
        <v>871984</v>
      </c>
      <c r="O17" s="196">
        <v>1068159</v>
      </c>
      <c r="P17" s="197">
        <v>1444066</v>
      </c>
      <c r="Q17" s="187">
        <v>-142023</v>
      </c>
      <c r="R17" s="186">
        <v>21103</v>
      </c>
      <c r="S17" s="188">
        <v>124</v>
      </c>
      <c r="T17" s="195">
        <v>-142023</v>
      </c>
      <c r="U17" s="196">
        <v>21103</v>
      </c>
      <c r="V17" s="197">
        <v>124</v>
      </c>
    </row>
    <row r="18" spans="1:22" x14ac:dyDescent="0.25">
      <c r="A18" s="184" t="s">
        <v>34</v>
      </c>
      <c r="B18" s="193">
        <v>9</v>
      </c>
      <c r="C18" s="194">
        <v>10</v>
      </c>
      <c r="D18" s="194">
        <v>11</v>
      </c>
      <c r="E18" s="185">
        <v>689700</v>
      </c>
      <c r="F18" s="185">
        <v>650599</v>
      </c>
      <c r="G18" s="185">
        <v>614763</v>
      </c>
      <c r="H18" s="195">
        <v>-261055</v>
      </c>
      <c r="I18" s="196">
        <v>-58154</v>
      </c>
      <c r="J18" s="197">
        <v>37392</v>
      </c>
      <c r="K18" s="187">
        <v>950755</v>
      </c>
      <c r="L18" s="186">
        <v>708753</v>
      </c>
      <c r="M18" s="188">
        <v>577371</v>
      </c>
      <c r="N18" s="195">
        <v>105800</v>
      </c>
      <c r="O18" s="196">
        <v>337526</v>
      </c>
      <c r="P18" s="197">
        <v>259810</v>
      </c>
      <c r="Q18" s="187">
        <v>-19731</v>
      </c>
      <c r="R18" s="186">
        <v>202829</v>
      </c>
      <c r="S18" s="188">
        <v>95617</v>
      </c>
      <c r="T18" s="195">
        <v>-22530</v>
      </c>
      <c r="U18" s="196">
        <v>178733</v>
      </c>
      <c r="V18" s="197">
        <v>95546</v>
      </c>
    </row>
    <row r="19" spans="1:22" x14ac:dyDescent="0.25">
      <c r="A19" s="184" t="s">
        <v>91</v>
      </c>
      <c r="B19" s="193">
        <v>143</v>
      </c>
      <c r="C19" s="194">
        <v>140</v>
      </c>
      <c r="D19" s="194">
        <v>143</v>
      </c>
      <c r="E19" s="185">
        <v>1880809</v>
      </c>
      <c r="F19" s="185">
        <v>1735277</v>
      </c>
      <c r="G19" s="185">
        <v>1743561</v>
      </c>
      <c r="H19" s="195">
        <v>-2415712</v>
      </c>
      <c r="I19" s="196">
        <v>-2652727</v>
      </c>
      <c r="J19" s="197">
        <v>-2971437</v>
      </c>
      <c r="K19" s="187">
        <v>4296521</v>
      </c>
      <c r="L19" s="186">
        <v>4388004</v>
      </c>
      <c r="M19" s="188">
        <v>4714998</v>
      </c>
      <c r="N19" s="195">
        <v>1270291</v>
      </c>
      <c r="O19" s="196">
        <v>1278799</v>
      </c>
      <c r="P19" s="197">
        <v>1318819</v>
      </c>
      <c r="Q19" s="187">
        <v>-9301</v>
      </c>
      <c r="R19" s="186">
        <v>-237294</v>
      </c>
      <c r="S19" s="188">
        <v>-350294</v>
      </c>
      <c r="T19" s="195">
        <v>-9166</v>
      </c>
      <c r="U19" s="196">
        <v>-237015</v>
      </c>
      <c r="V19" s="197">
        <v>-348058</v>
      </c>
    </row>
    <row r="20" spans="1:22" x14ac:dyDescent="0.25">
      <c r="A20" s="184" t="s">
        <v>125</v>
      </c>
      <c r="B20" s="193">
        <v>21</v>
      </c>
      <c r="C20" s="194">
        <v>22</v>
      </c>
      <c r="D20" s="194">
        <v>22</v>
      </c>
      <c r="E20" s="185">
        <v>35317</v>
      </c>
      <c r="F20" s="185">
        <v>42463</v>
      </c>
      <c r="G20" s="185">
        <v>24811</v>
      </c>
      <c r="H20" s="195">
        <v>-868755</v>
      </c>
      <c r="I20" s="196">
        <v>-908643</v>
      </c>
      <c r="J20" s="197">
        <v>-1013744</v>
      </c>
      <c r="K20" s="187">
        <v>904072</v>
      </c>
      <c r="L20" s="186">
        <v>951106</v>
      </c>
      <c r="M20" s="188">
        <v>1038555</v>
      </c>
      <c r="N20" s="195">
        <v>153097</v>
      </c>
      <c r="O20" s="196">
        <v>167629</v>
      </c>
      <c r="P20" s="197">
        <v>182577</v>
      </c>
      <c r="Q20" s="187">
        <v>-64408</v>
      </c>
      <c r="R20" s="186">
        <v>-39367</v>
      </c>
      <c r="S20" s="188">
        <v>-104217</v>
      </c>
      <c r="T20" s="195">
        <v>-64408</v>
      </c>
      <c r="U20" s="196">
        <v>-39888</v>
      </c>
      <c r="V20" s="197">
        <v>-105100</v>
      </c>
    </row>
    <row r="21" spans="1:22" x14ac:dyDescent="0.25">
      <c r="A21" s="184" t="s">
        <v>162</v>
      </c>
      <c r="B21" s="193">
        <v>13</v>
      </c>
      <c r="C21" s="194">
        <v>12</v>
      </c>
      <c r="D21" s="194">
        <v>12</v>
      </c>
      <c r="E21" s="185">
        <v>13971</v>
      </c>
      <c r="F21" s="185">
        <v>8012</v>
      </c>
      <c r="G21" s="185">
        <v>20084</v>
      </c>
      <c r="H21" s="195">
        <v>-62884</v>
      </c>
      <c r="I21" s="196">
        <v>-89404</v>
      </c>
      <c r="J21" s="197">
        <v>-102273</v>
      </c>
      <c r="K21" s="187">
        <v>76855</v>
      </c>
      <c r="L21" s="186">
        <v>97416</v>
      </c>
      <c r="M21" s="188">
        <v>122357</v>
      </c>
      <c r="N21" s="195">
        <v>87671</v>
      </c>
      <c r="O21" s="196">
        <v>115424</v>
      </c>
      <c r="P21" s="197">
        <v>120178</v>
      </c>
      <c r="Q21" s="187">
        <v>-22796</v>
      </c>
      <c r="R21" s="186">
        <v>-26520</v>
      </c>
      <c r="S21" s="188">
        <v>-12869</v>
      </c>
      <c r="T21" s="195">
        <v>-22796</v>
      </c>
      <c r="U21" s="196">
        <v>-26520</v>
      </c>
      <c r="V21" s="197">
        <v>-12869</v>
      </c>
    </row>
    <row r="22" spans="1:22" x14ac:dyDescent="0.25">
      <c r="A22" s="184" t="s">
        <v>196</v>
      </c>
      <c r="B22" s="193">
        <v>48</v>
      </c>
      <c r="C22" s="194">
        <v>47</v>
      </c>
      <c r="D22" s="194">
        <v>48</v>
      </c>
      <c r="E22" s="185">
        <v>96498</v>
      </c>
      <c r="F22" s="185">
        <v>97609</v>
      </c>
      <c r="G22" s="185">
        <v>135722</v>
      </c>
      <c r="H22" s="195">
        <v>-548761</v>
      </c>
      <c r="I22" s="196">
        <v>-554783</v>
      </c>
      <c r="J22" s="197">
        <v>-563772</v>
      </c>
      <c r="K22" s="187">
        <v>645259</v>
      </c>
      <c r="L22" s="186">
        <v>652392</v>
      </c>
      <c r="M22" s="188">
        <v>699494</v>
      </c>
      <c r="N22" s="195">
        <v>370684</v>
      </c>
      <c r="O22" s="196">
        <v>447147</v>
      </c>
      <c r="P22" s="197">
        <v>483907</v>
      </c>
      <c r="Q22" s="187">
        <v>-54830</v>
      </c>
      <c r="R22" s="186">
        <v>-11955</v>
      </c>
      <c r="S22" s="188">
        <v>-8989</v>
      </c>
      <c r="T22" s="195">
        <v>-54378</v>
      </c>
      <c r="U22" s="196">
        <v>-6019</v>
      </c>
      <c r="V22" s="197">
        <v>-8989</v>
      </c>
    </row>
    <row r="23" spans="1:22" x14ac:dyDescent="0.25">
      <c r="A23" s="184" t="s">
        <v>226</v>
      </c>
      <c r="B23" s="193">
        <v>61</v>
      </c>
      <c r="C23" s="194">
        <v>62</v>
      </c>
      <c r="D23" s="194">
        <v>61</v>
      </c>
      <c r="E23" s="185">
        <v>1911125</v>
      </c>
      <c r="F23" s="185">
        <v>2154981</v>
      </c>
      <c r="G23" s="185">
        <v>2207014</v>
      </c>
      <c r="H23" s="195">
        <v>1532753</v>
      </c>
      <c r="I23" s="196">
        <v>1747838</v>
      </c>
      <c r="J23" s="197">
        <v>1755580</v>
      </c>
      <c r="K23" s="187">
        <v>378372</v>
      </c>
      <c r="L23" s="186">
        <v>407143</v>
      </c>
      <c r="M23" s="188">
        <v>451434</v>
      </c>
      <c r="N23" s="195">
        <v>847754</v>
      </c>
      <c r="O23" s="196">
        <v>828391</v>
      </c>
      <c r="P23" s="197">
        <v>836860</v>
      </c>
      <c r="Q23" s="187">
        <v>42013</v>
      </c>
      <c r="R23" s="186">
        <v>5006</v>
      </c>
      <c r="S23" s="188">
        <v>1679</v>
      </c>
      <c r="T23" s="195">
        <v>38232</v>
      </c>
      <c r="U23" s="196">
        <v>4555</v>
      </c>
      <c r="V23" s="197">
        <v>1528</v>
      </c>
    </row>
    <row r="24" spans="1:22" x14ac:dyDescent="0.25">
      <c r="A24" s="198" t="s">
        <v>273</v>
      </c>
      <c r="B24" s="199">
        <v>236</v>
      </c>
      <c r="C24" s="200">
        <v>228</v>
      </c>
      <c r="D24" s="200">
        <v>241</v>
      </c>
      <c r="E24" s="201">
        <v>7372423</v>
      </c>
      <c r="F24" s="201">
        <v>7549922</v>
      </c>
      <c r="G24" s="201">
        <v>7255723</v>
      </c>
      <c r="H24" s="205">
        <v>1268135</v>
      </c>
      <c r="I24" s="206">
        <v>991350</v>
      </c>
      <c r="J24" s="207">
        <v>281876</v>
      </c>
      <c r="K24" s="205">
        <v>6104288</v>
      </c>
      <c r="L24" s="206">
        <v>6558572</v>
      </c>
      <c r="M24" s="207">
        <v>6973847</v>
      </c>
      <c r="N24" s="205">
        <v>3545261</v>
      </c>
      <c r="O24" s="206">
        <v>3792260</v>
      </c>
      <c r="P24" s="207">
        <v>3738067</v>
      </c>
      <c r="Q24" s="205">
        <v>-85262</v>
      </c>
      <c r="R24" s="206">
        <v>-211989</v>
      </c>
      <c r="S24" s="207">
        <v>-576676</v>
      </c>
      <c r="T24" s="205">
        <v>-124843</v>
      </c>
      <c r="U24" s="206">
        <v>-227014</v>
      </c>
      <c r="V24" s="207">
        <v>-597072</v>
      </c>
    </row>
    <row r="25" spans="1:22" x14ac:dyDescent="0.25">
      <c r="A25" s="184" t="s">
        <v>87</v>
      </c>
      <c r="B25" s="193">
        <v>148</v>
      </c>
      <c r="C25" s="194">
        <v>138</v>
      </c>
      <c r="D25" s="194">
        <v>149</v>
      </c>
      <c r="E25" s="185">
        <v>3657271</v>
      </c>
      <c r="F25" s="185">
        <v>3858653</v>
      </c>
      <c r="G25" s="185">
        <v>3760464</v>
      </c>
      <c r="H25" s="195">
        <v>-1012331</v>
      </c>
      <c r="I25" s="196">
        <v>-1159177</v>
      </c>
      <c r="J25" s="197">
        <v>-1636610</v>
      </c>
      <c r="K25" s="187">
        <v>4669602</v>
      </c>
      <c r="L25" s="186">
        <v>5017830</v>
      </c>
      <c r="M25" s="188">
        <v>5397074</v>
      </c>
      <c r="N25" s="195">
        <v>2108105</v>
      </c>
      <c r="O25" s="196">
        <v>2361166</v>
      </c>
      <c r="P25" s="197">
        <v>2253426</v>
      </c>
      <c r="Q25" s="187">
        <v>-56371</v>
      </c>
      <c r="R25" s="186">
        <v>-81333</v>
      </c>
      <c r="S25" s="188">
        <v>-349743</v>
      </c>
      <c r="T25" s="195">
        <v>-78298</v>
      </c>
      <c r="U25" s="196">
        <v>-97156</v>
      </c>
      <c r="V25" s="197">
        <v>-365146</v>
      </c>
    </row>
    <row r="26" spans="1:22" x14ac:dyDescent="0.25">
      <c r="A26" s="184" t="s">
        <v>164</v>
      </c>
      <c r="B26" s="193">
        <v>24</v>
      </c>
      <c r="C26" s="194">
        <v>21</v>
      </c>
      <c r="D26" s="194">
        <v>20</v>
      </c>
      <c r="E26" s="185">
        <v>111715</v>
      </c>
      <c r="F26" s="185">
        <v>124640</v>
      </c>
      <c r="G26" s="185">
        <v>130530</v>
      </c>
      <c r="H26" s="195">
        <v>-173143</v>
      </c>
      <c r="I26" s="196">
        <v>-184665</v>
      </c>
      <c r="J26" s="197">
        <v>-145730</v>
      </c>
      <c r="K26" s="187">
        <v>284858</v>
      </c>
      <c r="L26" s="186">
        <v>309305</v>
      </c>
      <c r="M26" s="188">
        <v>276260</v>
      </c>
      <c r="N26" s="195">
        <v>181036</v>
      </c>
      <c r="O26" s="196">
        <v>252634</v>
      </c>
      <c r="P26" s="197">
        <v>316516</v>
      </c>
      <c r="Q26" s="187">
        <v>-35543</v>
      </c>
      <c r="R26" s="186">
        <v>-8034</v>
      </c>
      <c r="S26" s="188">
        <v>43230</v>
      </c>
      <c r="T26" s="195">
        <v>-38038</v>
      </c>
      <c r="U26" s="196">
        <v>-11442</v>
      </c>
      <c r="V26" s="197">
        <v>39050</v>
      </c>
    </row>
    <row r="27" spans="1:22" x14ac:dyDescent="0.25">
      <c r="A27" s="184" t="s">
        <v>216</v>
      </c>
      <c r="B27" s="193">
        <v>64</v>
      </c>
      <c r="C27" s="194">
        <v>69</v>
      </c>
      <c r="D27" s="194">
        <v>72</v>
      </c>
      <c r="E27" s="185">
        <v>3603437</v>
      </c>
      <c r="F27" s="185">
        <v>3566629</v>
      </c>
      <c r="G27" s="185">
        <v>3364729</v>
      </c>
      <c r="H27" s="195">
        <v>2453609</v>
      </c>
      <c r="I27" s="196">
        <v>2335192</v>
      </c>
      <c r="J27" s="197">
        <v>2064216</v>
      </c>
      <c r="K27" s="187">
        <v>1149828</v>
      </c>
      <c r="L27" s="186">
        <v>1231437</v>
      </c>
      <c r="M27" s="188">
        <v>1300513</v>
      </c>
      <c r="N27" s="195">
        <v>1256120</v>
      </c>
      <c r="O27" s="196">
        <v>1178460</v>
      </c>
      <c r="P27" s="197">
        <v>1168125</v>
      </c>
      <c r="Q27" s="187">
        <v>6652</v>
      </c>
      <c r="R27" s="186">
        <v>-122622</v>
      </c>
      <c r="S27" s="188">
        <v>-270163</v>
      </c>
      <c r="T27" s="195">
        <v>-8507</v>
      </c>
      <c r="U27" s="196">
        <v>-118416</v>
      </c>
      <c r="V27" s="197">
        <v>-270976</v>
      </c>
    </row>
    <row r="28" spans="1:22" x14ac:dyDescent="0.25">
      <c r="A28" s="198" t="s">
        <v>266</v>
      </c>
      <c r="B28" s="199">
        <v>700</v>
      </c>
      <c r="C28" s="200">
        <v>732</v>
      </c>
      <c r="D28" s="200">
        <v>777</v>
      </c>
      <c r="E28" s="201">
        <v>40680887</v>
      </c>
      <c r="F28" s="201">
        <v>43491925</v>
      </c>
      <c r="G28" s="201">
        <v>49412360</v>
      </c>
      <c r="H28" s="205">
        <v>21386331</v>
      </c>
      <c r="I28" s="206">
        <v>25050129</v>
      </c>
      <c r="J28" s="207">
        <v>30308571</v>
      </c>
      <c r="K28" s="205">
        <v>19294556</v>
      </c>
      <c r="L28" s="206">
        <v>18441796</v>
      </c>
      <c r="M28" s="207">
        <v>19103789</v>
      </c>
      <c r="N28" s="205">
        <v>18687029</v>
      </c>
      <c r="O28" s="206">
        <v>22334016</v>
      </c>
      <c r="P28" s="207">
        <v>23832529</v>
      </c>
      <c r="Q28" s="205">
        <v>-487546</v>
      </c>
      <c r="R28" s="206">
        <v>1138569</v>
      </c>
      <c r="S28" s="207">
        <v>-543052</v>
      </c>
      <c r="T28" s="205">
        <v>-935309</v>
      </c>
      <c r="U28" s="206">
        <v>1507113</v>
      </c>
      <c r="V28" s="207">
        <v>-1479159</v>
      </c>
    </row>
    <row r="29" spans="1:22" x14ac:dyDescent="0.25">
      <c r="A29" s="184" t="s">
        <v>26</v>
      </c>
      <c r="B29" s="193">
        <v>14</v>
      </c>
      <c r="C29" s="194">
        <v>15</v>
      </c>
      <c r="D29" s="194">
        <v>18</v>
      </c>
      <c r="E29" s="185">
        <v>133117</v>
      </c>
      <c r="F29" s="185">
        <v>152695</v>
      </c>
      <c r="G29" s="185">
        <v>205549</v>
      </c>
      <c r="H29" s="195">
        <v>-90572</v>
      </c>
      <c r="I29" s="196">
        <v>-49938</v>
      </c>
      <c r="J29" s="197">
        <v>-744</v>
      </c>
      <c r="K29" s="187">
        <v>223689</v>
      </c>
      <c r="L29" s="186">
        <v>202633</v>
      </c>
      <c r="M29" s="188">
        <v>206293</v>
      </c>
      <c r="N29" s="195">
        <v>308380</v>
      </c>
      <c r="O29" s="196">
        <v>314425</v>
      </c>
      <c r="P29" s="197">
        <v>343632</v>
      </c>
      <c r="Q29" s="187">
        <v>87391</v>
      </c>
      <c r="R29" s="186">
        <v>44885</v>
      </c>
      <c r="S29" s="188">
        <v>54346</v>
      </c>
      <c r="T29" s="195">
        <v>80481</v>
      </c>
      <c r="U29" s="196">
        <v>40634</v>
      </c>
      <c r="V29" s="197">
        <v>49194</v>
      </c>
    </row>
    <row r="30" spans="1:22" x14ac:dyDescent="0.25">
      <c r="A30" s="184" t="s">
        <v>28</v>
      </c>
      <c r="B30" s="193">
        <v>1</v>
      </c>
      <c r="C30" s="194">
        <v>1</v>
      </c>
      <c r="D30" s="194">
        <v>1</v>
      </c>
      <c r="E30" s="185">
        <v>11974566</v>
      </c>
      <c r="F30" s="185">
        <v>11974566</v>
      </c>
      <c r="G30" s="185">
        <v>11974566</v>
      </c>
      <c r="H30" s="195">
        <v>-607664</v>
      </c>
      <c r="I30" s="196">
        <v>-626971</v>
      </c>
      <c r="J30" s="197">
        <v>-646407</v>
      </c>
      <c r="K30" s="187">
        <v>12582230</v>
      </c>
      <c r="L30" s="186">
        <v>12601537</v>
      </c>
      <c r="M30" s="188">
        <v>12620973</v>
      </c>
      <c r="N30" s="195">
        <v>0</v>
      </c>
      <c r="O30" s="196">
        <v>0</v>
      </c>
      <c r="P30" s="197">
        <v>0</v>
      </c>
      <c r="Q30" s="187">
        <v>-235437</v>
      </c>
      <c r="R30" s="186">
        <v>-19307</v>
      </c>
      <c r="S30" s="188">
        <v>-19435</v>
      </c>
      <c r="T30" s="195">
        <v>-235437</v>
      </c>
      <c r="U30" s="196">
        <v>-19307</v>
      </c>
      <c r="V30" s="197">
        <v>-19435</v>
      </c>
    </row>
    <row r="31" spans="1:22" x14ac:dyDescent="0.25">
      <c r="A31" s="184" t="s">
        <v>67</v>
      </c>
      <c r="B31" s="193">
        <v>55</v>
      </c>
      <c r="C31" s="194">
        <v>55</v>
      </c>
      <c r="D31" s="194">
        <v>58</v>
      </c>
      <c r="E31" s="185">
        <v>618816</v>
      </c>
      <c r="F31" s="185">
        <v>637044</v>
      </c>
      <c r="G31" s="185">
        <v>575868</v>
      </c>
      <c r="H31" s="195">
        <v>282416</v>
      </c>
      <c r="I31" s="196">
        <v>381080</v>
      </c>
      <c r="J31" s="197">
        <v>312158</v>
      </c>
      <c r="K31" s="187">
        <v>336400</v>
      </c>
      <c r="L31" s="186">
        <v>255964</v>
      </c>
      <c r="M31" s="188">
        <v>263710</v>
      </c>
      <c r="N31" s="195">
        <v>1057826</v>
      </c>
      <c r="O31" s="196">
        <v>1148558</v>
      </c>
      <c r="P31" s="197">
        <v>1034784</v>
      </c>
      <c r="Q31" s="187">
        <v>131337</v>
      </c>
      <c r="R31" s="186">
        <v>109492</v>
      </c>
      <c r="S31" s="188">
        <v>-69079</v>
      </c>
      <c r="T31" s="195">
        <v>119318</v>
      </c>
      <c r="U31" s="196">
        <v>98665</v>
      </c>
      <c r="V31" s="197">
        <v>-68923</v>
      </c>
    </row>
    <row r="32" spans="1:22" x14ac:dyDescent="0.25">
      <c r="A32" s="184" t="s">
        <v>93</v>
      </c>
      <c r="B32" s="193">
        <v>161</v>
      </c>
      <c r="C32" s="194">
        <v>171</v>
      </c>
      <c r="D32" s="194">
        <v>183</v>
      </c>
      <c r="E32" s="185">
        <v>4474674</v>
      </c>
      <c r="F32" s="185">
        <v>6423898</v>
      </c>
      <c r="G32" s="185">
        <v>7008332</v>
      </c>
      <c r="H32" s="195">
        <v>3383182</v>
      </c>
      <c r="I32" s="196">
        <v>5497089</v>
      </c>
      <c r="J32" s="197">
        <v>5549828</v>
      </c>
      <c r="K32" s="187">
        <v>1091492</v>
      </c>
      <c r="L32" s="186">
        <v>926809</v>
      </c>
      <c r="M32" s="188">
        <v>1458504</v>
      </c>
      <c r="N32" s="195">
        <v>5240189</v>
      </c>
      <c r="O32" s="196">
        <v>6734904</v>
      </c>
      <c r="P32" s="197">
        <v>6535632</v>
      </c>
      <c r="Q32" s="187">
        <v>-356799</v>
      </c>
      <c r="R32" s="186">
        <v>-73411</v>
      </c>
      <c r="S32" s="188">
        <v>-797466</v>
      </c>
      <c r="T32" s="195">
        <v>-240622</v>
      </c>
      <c r="U32" s="196">
        <v>16149</v>
      </c>
      <c r="V32" s="197">
        <v>-916083</v>
      </c>
    </row>
    <row r="33" spans="1:22" x14ac:dyDescent="0.25">
      <c r="A33" s="184" t="s">
        <v>145</v>
      </c>
      <c r="B33" s="193">
        <v>30</v>
      </c>
      <c r="C33" s="194">
        <v>35</v>
      </c>
      <c r="D33" s="194">
        <v>46</v>
      </c>
      <c r="E33" s="185">
        <v>1444794</v>
      </c>
      <c r="F33" s="185">
        <v>1337052</v>
      </c>
      <c r="G33" s="185">
        <v>1263265</v>
      </c>
      <c r="H33" s="195">
        <v>1355651</v>
      </c>
      <c r="I33" s="196">
        <v>1267790</v>
      </c>
      <c r="J33" s="197">
        <v>1224344</v>
      </c>
      <c r="K33" s="187">
        <v>89143</v>
      </c>
      <c r="L33" s="186">
        <v>69262</v>
      </c>
      <c r="M33" s="188">
        <v>38921</v>
      </c>
      <c r="N33" s="195">
        <v>521460</v>
      </c>
      <c r="O33" s="196">
        <v>627058</v>
      </c>
      <c r="P33" s="197">
        <v>892857</v>
      </c>
      <c r="Q33" s="187">
        <v>-123063</v>
      </c>
      <c r="R33" s="186">
        <v>-113545</v>
      </c>
      <c r="S33" s="188">
        <v>-45463</v>
      </c>
      <c r="T33" s="195">
        <v>-118770</v>
      </c>
      <c r="U33" s="196">
        <v>-87861</v>
      </c>
      <c r="V33" s="197">
        <v>-43446</v>
      </c>
    </row>
    <row r="34" spans="1:22" x14ac:dyDescent="0.25">
      <c r="A34" s="184" t="s">
        <v>147</v>
      </c>
      <c r="B34" s="193">
        <v>41</v>
      </c>
      <c r="C34" s="194">
        <v>45</v>
      </c>
      <c r="D34" s="194">
        <v>52</v>
      </c>
      <c r="E34" s="185">
        <v>365467</v>
      </c>
      <c r="F34" s="185">
        <v>385488</v>
      </c>
      <c r="G34" s="185">
        <v>329680</v>
      </c>
      <c r="H34" s="195">
        <v>138632</v>
      </c>
      <c r="I34" s="196">
        <v>204076</v>
      </c>
      <c r="J34" s="197">
        <v>129937</v>
      </c>
      <c r="K34" s="187">
        <v>226835</v>
      </c>
      <c r="L34" s="186">
        <v>181412</v>
      </c>
      <c r="M34" s="188">
        <v>199743</v>
      </c>
      <c r="N34" s="195">
        <v>632333</v>
      </c>
      <c r="O34" s="196">
        <v>762352</v>
      </c>
      <c r="P34" s="197">
        <v>767724</v>
      </c>
      <c r="Q34" s="187">
        <v>-48639</v>
      </c>
      <c r="R34" s="186">
        <v>72020</v>
      </c>
      <c r="S34" s="188">
        <v>-44875</v>
      </c>
      <c r="T34" s="195">
        <v>-49253</v>
      </c>
      <c r="U34" s="196">
        <v>65444</v>
      </c>
      <c r="V34" s="197">
        <v>-74139</v>
      </c>
    </row>
    <row r="35" spans="1:22" x14ac:dyDescent="0.25">
      <c r="A35" s="184" t="s">
        <v>151</v>
      </c>
      <c r="B35" s="193">
        <v>28</v>
      </c>
      <c r="C35" s="194">
        <v>29</v>
      </c>
      <c r="D35" s="194">
        <v>29</v>
      </c>
      <c r="E35" s="185">
        <v>402642</v>
      </c>
      <c r="F35" s="185">
        <v>444878</v>
      </c>
      <c r="G35" s="185">
        <v>579609</v>
      </c>
      <c r="H35" s="195">
        <v>372511</v>
      </c>
      <c r="I35" s="196">
        <v>376181</v>
      </c>
      <c r="J35" s="197">
        <v>370663</v>
      </c>
      <c r="K35" s="187">
        <v>30131</v>
      </c>
      <c r="L35" s="186">
        <v>68697</v>
      </c>
      <c r="M35" s="188">
        <v>208946</v>
      </c>
      <c r="N35" s="195">
        <v>778038</v>
      </c>
      <c r="O35" s="196">
        <v>881061</v>
      </c>
      <c r="P35" s="197">
        <v>1313717</v>
      </c>
      <c r="Q35" s="187">
        <v>7342</v>
      </c>
      <c r="R35" s="186">
        <v>-54129</v>
      </c>
      <c r="S35" s="188">
        <v>-1925</v>
      </c>
      <c r="T35" s="195">
        <v>6246</v>
      </c>
      <c r="U35" s="196">
        <v>-55257</v>
      </c>
      <c r="V35" s="197">
        <v>-5518</v>
      </c>
    </row>
    <row r="36" spans="1:22" x14ac:dyDescent="0.25">
      <c r="A36" s="184" t="s">
        <v>160</v>
      </c>
      <c r="B36" s="193">
        <v>88</v>
      </c>
      <c r="C36" s="194">
        <v>87</v>
      </c>
      <c r="D36" s="194">
        <v>89</v>
      </c>
      <c r="E36" s="185">
        <v>500857</v>
      </c>
      <c r="F36" s="185">
        <v>692885</v>
      </c>
      <c r="G36" s="185">
        <v>1285727</v>
      </c>
      <c r="H36" s="195">
        <v>6723</v>
      </c>
      <c r="I36" s="196">
        <v>333623</v>
      </c>
      <c r="J36" s="197">
        <v>812624</v>
      </c>
      <c r="K36" s="187">
        <v>494134</v>
      </c>
      <c r="L36" s="186">
        <v>359262</v>
      </c>
      <c r="M36" s="188">
        <v>473103</v>
      </c>
      <c r="N36" s="195">
        <v>1763720</v>
      </c>
      <c r="O36" s="196">
        <v>2296399</v>
      </c>
      <c r="P36" s="197">
        <v>2941651</v>
      </c>
      <c r="Q36" s="187">
        <v>218738</v>
      </c>
      <c r="R36" s="186">
        <v>361089</v>
      </c>
      <c r="S36" s="188">
        <v>480962</v>
      </c>
      <c r="T36" s="195">
        <v>198692</v>
      </c>
      <c r="U36" s="196">
        <v>326899</v>
      </c>
      <c r="V36" s="197">
        <v>434627</v>
      </c>
    </row>
    <row r="37" spans="1:22" x14ac:dyDescent="0.25">
      <c r="A37" s="184" t="s">
        <v>179</v>
      </c>
      <c r="B37" s="193">
        <v>16</v>
      </c>
      <c r="C37" s="194">
        <v>19</v>
      </c>
      <c r="D37" s="194">
        <v>23</v>
      </c>
      <c r="E37" s="185">
        <v>1557778</v>
      </c>
      <c r="F37" s="185">
        <v>1549623</v>
      </c>
      <c r="G37" s="185">
        <v>1626254</v>
      </c>
      <c r="H37" s="195">
        <v>1437798</v>
      </c>
      <c r="I37" s="196">
        <v>1492717</v>
      </c>
      <c r="J37" s="197">
        <v>1567495</v>
      </c>
      <c r="K37" s="187">
        <v>119980</v>
      </c>
      <c r="L37" s="186">
        <v>56906</v>
      </c>
      <c r="M37" s="188">
        <v>58759</v>
      </c>
      <c r="N37" s="195">
        <v>464595</v>
      </c>
      <c r="O37" s="196">
        <v>564175</v>
      </c>
      <c r="P37" s="197">
        <v>657717</v>
      </c>
      <c r="Q37" s="187">
        <v>26872</v>
      </c>
      <c r="R37" s="186">
        <v>60351</v>
      </c>
      <c r="S37" s="188">
        <v>82594</v>
      </c>
      <c r="T37" s="195">
        <v>33449</v>
      </c>
      <c r="U37" s="196">
        <v>54919</v>
      </c>
      <c r="V37" s="197">
        <v>74778</v>
      </c>
    </row>
    <row r="38" spans="1:22" x14ac:dyDescent="0.25">
      <c r="A38" s="184" t="s">
        <v>206</v>
      </c>
      <c r="B38" s="193">
        <v>39</v>
      </c>
      <c r="C38" s="194">
        <v>38</v>
      </c>
      <c r="D38" s="194">
        <v>37</v>
      </c>
      <c r="E38" s="185">
        <v>159466</v>
      </c>
      <c r="F38" s="185">
        <v>257741</v>
      </c>
      <c r="G38" s="185">
        <v>257553</v>
      </c>
      <c r="H38" s="195">
        <v>-129585</v>
      </c>
      <c r="I38" s="196">
        <v>52303</v>
      </c>
      <c r="J38" s="197">
        <v>199457</v>
      </c>
      <c r="K38" s="187">
        <v>289051</v>
      </c>
      <c r="L38" s="186">
        <v>205438</v>
      </c>
      <c r="M38" s="188">
        <v>58096</v>
      </c>
      <c r="N38" s="195">
        <v>650187</v>
      </c>
      <c r="O38" s="196">
        <v>810089</v>
      </c>
      <c r="P38" s="197">
        <v>803428</v>
      </c>
      <c r="Q38" s="187">
        <v>51766</v>
      </c>
      <c r="R38" s="186">
        <v>188192</v>
      </c>
      <c r="S38" s="188">
        <v>166660</v>
      </c>
      <c r="T38" s="195">
        <v>3523</v>
      </c>
      <c r="U38" s="196">
        <v>181888</v>
      </c>
      <c r="V38" s="197">
        <v>147155</v>
      </c>
    </row>
    <row r="39" spans="1:22" x14ac:dyDescent="0.25">
      <c r="A39" s="184" t="s">
        <v>214</v>
      </c>
      <c r="B39" s="193">
        <v>1</v>
      </c>
      <c r="C39" s="194">
        <v>1</v>
      </c>
      <c r="D39" s="194">
        <v>1</v>
      </c>
      <c r="E39" s="185">
        <v>1107172</v>
      </c>
      <c r="F39" s="185">
        <v>1107172</v>
      </c>
      <c r="G39" s="185">
        <v>1107172</v>
      </c>
      <c r="H39" s="195">
        <v>1057937</v>
      </c>
      <c r="I39" s="196">
        <v>1044796</v>
      </c>
      <c r="J39" s="197">
        <v>1031430</v>
      </c>
      <c r="K39" s="187">
        <v>49235</v>
      </c>
      <c r="L39" s="186">
        <v>62376</v>
      </c>
      <c r="M39" s="188">
        <v>75742</v>
      </c>
      <c r="N39" s="195">
        <v>980</v>
      </c>
      <c r="O39" s="196">
        <v>310</v>
      </c>
      <c r="P39" s="197">
        <v>60</v>
      </c>
      <c r="Q39" s="187">
        <v>-12903</v>
      </c>
      <c r="R39" s="186">
        <v>-13141</v>
      </c>
      <c r="S39" s="188">
        <v>-13366</v>
      </c>
      <c r="T39" s="195">
        <v>-12903</v>
      </c>
      <c r="U39" s="196">
        <v>-13141</v>
      </c>
      <c r="V39" s="197">
        <v>-13366</v>
      </c>
    </row>
    <row r="40" spans="1:22" x14ac:dyDescent="0.25">
      <c r="A40" s="184" t="s">
        <v>228</v>
      </c>
      <c r="B40" s="193">
        <v>226</v>
      </c>
      <c r="C40" s="194">
        <v>236</v>
      </c>
      <c r="D40" s="194">
        <v>240</v>
      </c>
      <c r="E40" s="185">
        <v>17941538</v>
      </c>
      <c r="F40" s="185">
        <v>18528883</v>
      </c>
      <c r="G40" s="185">
        <v>23198785</v>
      </c>
      <c r="H40" s="195">
        <v>14179302</v>
      </c>
      <c r="I40" s="196">
        <v>15077383</v>
      </c>
      <c r="J40" s="197">
        <v>19757786</v>
      </c>
      <c r="K40" s="187">
        <v>3762236</v>
      </c>
      <c r="L40" s="186">
        <v>3451500</v>
      </c>
      <c r="M40" s="188">
        <v>3440999</v>
      </c>
      <c r="N40" s="195">
        <v>7269321</v>
      </c>
      <c r="O40" s="196">
        <v>8194685</v>
      </c>
      <c r="P40" s="197">
        <v>8541327</v>
      </c>
      <c r="Q40" s="187">
        <v>-234151</v>
      </c>
      <c r="R40" s="186">
        <v>576073</v>
      </c>
      <c r="S40" s="188">
        <v>-336005</v>
      </c>
      <c r="T40" s="195">
        <v>-720033</v>
      </c>
      <c r="U40" s="196">
        <v>898081</v>
      </c>
      <c r="V40" s="197">
        <v>-1044003</v>
      </c>
    </row>
    <row r="41" spans="1:22" x14ac:dyDescent="0.25">
      <c r="A41" s="198" t="s">
        <v>275</v>
      </c>
      <c r="B41" s="199">
        <v>187</v>
      </c>
      <c r="C41" s="200">
        <v>178</v>
      </c>
      <c r="D41" s="200">
        <v>185</v>
      </c>
      <c r="E41" s="201">
        <v>14354060</v>
      </c>
      <c r="F41" s="201">
        <v>15182570</v>
      </c>
      <c r="G41" s="201">
        <v>15812343</v>
      </c>
      <c r="H41" s="205">
        <v>-6128119</v>
      </c>
      <c r="I41" s="206">
        <v>-7641286</v>
      </c>
      <c r="J41" s="207">
        <v>-9398314</v>
      </c>
      <c r="K41" s="205">
        <v>20482179</v>
      </c>
      <c r="L41" s="206">
        <v>22823856</v>
      </c>
      <c r="M41" s="207">
        <v>25210657</v>
      </c>
      <c r="N41" s="205">
        <v>3615501</v>
      </c>
      <c r="O41" s="206">
        <v>3548666</v>
      </c>
      <c r="P41" s="207">
        <v>3409202</v>
      </c>
      <c r="Q41" s="205">
        <v>-858210</v>
      </c>
      <c r="R41" s="206">
        <v>-1121298</v>
      </c>
      <c r="S41" s="207">
        <v>-1455712</v>
      </c>
      <c r="T41" s="205">
        <v>-2068462</v>
      </c>
      <c r="U41" s="206">
        <v>-1527350</v>
      </c>
      <c r="V41" s="207">
        <v>-1710318</v>
      </c>
    </row>
    <row r="42" spans="1:22" x14ac:dyDescent="0.25">
      <c r="A42" s="184" t="s">
        <v>18</v>
      </c>
      <c r="B42" s="193">
        <v>1</v>
      </c>
      <c r="C42" s="194">
        <v>1</v>
      </c>
      <c r="D42" s="194">
        <v>6</v>
      </c>
      <c r="E42" s="185">
        <v>529</v>
      </c>
      <c r="F42" s="185">
        <v>10425</v>
      </c>
      <c r="G42" s="185">
        <v>13674</v>
      </c>
      <c r="H42" s="195">
        <v>-3152</v>
      </c>
      <c r="I42" s="196">
        <v>10532</v>
      </c>
      <c r="J42" s="197">
        <v>12333</v>
      </c>
      <c r="K42" s="187">
        <v>3681</v>
      </c>
      <c r="L42" s="186">
        <v>-107</v>
      </c>
      <c r="M42" s="188">
        <v>1341</v>
      </c>
      <c r="N42" s="195">
        <v>2000</v>
      </c>
      <c r="O42" s="196">
        <v>115033</v>
      </c>
      <c r="P42" s="197">
        <v>101378</v>
      </c>
      <c r="Q42" s="187">
        <v>-13152</v>
      </c>
      <c r="R42" s="186">
        <v>585</v>
      </c>
      <c r="S42" s="188">
        <v>1979</v>
      </c>
      <c r="T42" s="195">
        <v>-13152</v>
      </c>
      <c r="U42" s="196">
        <v>532</v>
      </c>
      <c r="V42" s="197">
        <v>1801</v>
      </c>
    </row>
    <row r="43" spans="1:22" x14ac:dyDescent="0.25">
      <c r="A43" s="184" t="s">
        <v>95</v>
      </c>
      <c r="B43" s="193">
        <v>77</v>
      </c>
      <c r="C43" s="194">
        <v>67</v>
      </c>
      <c r="D43" s="194">
        <v>65</v>
      </c>
      <c r="E43" s="185">
        <v>2504596</v>
      </c>
      <c r="F43" s="185">
        <v>2524879</v>
      </c>
      <c r="G43" s="185">
        <v>2997820</v>
      </c>
      <c r="H43" s="195">
        <v>-1554361</v>
      </c>
      <c r="I43" s="196">
        <v>-1605866</v>
      </c>
      <c r="J43" s="197">
        <v>-1739519</v>
      </c>
      <c r="K43" s="187">
        <v>4058957</v>
      </c>
      <c r="L43" s="186">
        <v>4130745</v>
      </c>
      <c r="M43" s="188">
        <v>4737339</v>
      </c>
      <c r="N43" s="195">
        <v>1602787</v>
      </c>
      <c r="O43" s="196">
        <v>1591909</v>
      </c>
      <c r="P43" s="197">
        <v>1413404</v>
      </c>
      <c r="Q43" s="187">
        <v>19174</v>
      </c>
      <c r="R43" s="186">
        <v>-48316</v>
      </c>
      <c r="S43" s="188">
        <v>-130900</v>
      </c>
      <c r="T43" s="195">
        <v>17016</v>
      </c>
      <c r="U43" s="196">
        <v>-51504</v>
      </c>
      <c r="V43" s="197">
        <v>-133654</v>
      </c>
    </row>
    <row r="44" spans="1:22" x14ac:dyDescent="0.25">
      <c r="A44" s="184" t="s">
        <v>119</v>
      </c>
      <c r="B44" s="193">
        <v>14</v>
      </c>
      <c r="C44" s="194">
        <v>14</v>
      </c>
      <c r="D44" s="194">
        <v>16</v>
      </c>
      <c r="E44" s="185">
        <v>33604</v>
      </c>
      <c r="F44" s="185">
        <v>32593</v>
      </c>
      <c r="G44" s="185">
        <v>39257</v>
      </c>
      <c r="H44" s="195">
        <v>-484163</v>
      </c>
      <c r="I44" s="196">
        <v>-481890</v>
      </c>
      <c r="J44" s="197">
        <v>-466902</v>
      </c>
      <c r="K44" s="187">
        <v>517767</v>
      </c>
      <c r="L44" s="186">
        <v>514483</v>
      </c>
      <c r="M44" s="188">
        <v>506159</v>
      </c>
      <c r="N44" s="195">
        <v>156478</v>
      </c>
      <c r="O44" s="196">
        <v>183463</v>
      </c>
      <c r="P44" s="197">
        <v>209252</v>
      </c>
      <c r="Q44" s="187">
        <v>-37692</v>
      </c>
      <c r="R44" s="186">
        <v>5374</v>
      </c>
      <c r="S44" s="188">
        <v>12898</v>
      </c>
      <c r="T44" s="195">
        <v>-37416</v>
      </c>
      <c r="U44" s="196">
        <v>4774</v>
      </c>
      <c r="V44" s="197">
        <v>13080</v>
      </c>
    </row>
    <row r="45" spans="1:22" x14ac:dyDescent="0.25">
      <c r="A45" s="184" t="s">
        <v>194</v>
      </c>
      <c r="B45" s="193">
        <v>32</v>
      </c>
      <c r="C45" s="194">
        <v>31</v>
      </c>
      <c r="D45" s="194">
        <v>34</v>
      </c>
      <c r="E45" s="185">
        <v>5737842</v>
      </c>
      <c r="F45" s="185">
        <v>5773950</v>
      </c>
      <c r="G45" s="185">
        <v>5688623</v>
      </c>
      <c r="H45" s="195">
        <v>4497027</v>
      </c>
      <c r="I45" s="196">
        <v>4556881</v>
      </c>
      <c r="J45" s="197">
        <v>4457115</v>
      </c>
      <c r="K45" s="187">
        <v>1240815</v>
      </c>
      <c r="L45" s="186">
        <v>1217069</v>
      </c>
      <c r="M45" s="188">
        <v>1231508</v>
      </c>
      <c r="N45" s="195">
        <v>300541</v>
      </c>
      <c r="O45" s="196">
        <v>470502</v>
      </c>
      <c r="P45" s="197">
        <v>436503</v>
      </c>
      <c r="Q45" s="187">
        <v>-76784</v>
      </c>
      <c r="R45" s="186">
        <v>60275</v>
      </c>
      <c r="S45" s="188">
        <v>-50611</v>
      </c>
      <c r="T45" s="195">
        <v>-77884</v>
      </c>
      <c r="U45" s="196">
        <v>59854</v>
      </c>
      <c r="V45" s="197">
        <v>-50611</v>
      </c>
    </row>
    <row r="46" spans="1:22" x14ac:dyDescent="0.25">
      <c r="A46" s="184" t="s">
        <v>220</v>
      </c>
      <c r="B46" s="193">
        <v>63</v>
      </c>
      <c r="C46" s="194">
        <v>65</v>
      </c>
      <c r="D46" s="194">
        <v>64</v>
      </c>
      <c r="E46" s="185">
        <v>6077489</v>
      </c>
      <c r="F46" s="185">
        <v>6840723</v>
      </c>
      <c r="G46" s="185">
        <v>7072969</v>
      </c>
      <c r="H46" s="195">
        <v>-8583470</v>
      </c>
      <c r="I46" s="196">
        <v>-10120943</v>
      </c>
      <c r="J46" s="197">
        <v>-11661341</v>
      </c>
      <c r="K46" s="187">
        <v>14660959</v>
      </c>
      <c r="L46" s="186">
        <v>16961666</v>
      </c>
      <c r="M46" s="188">
        <v>18734310</v>
      </c>
      <c r="N46" s="195">
        <v>1553695</v>
      </c>
      <c r="O46" s="196">
        <v>1187759</v>
      </c>
      <c r="P46" s="197">
        <v>1248665</v>
      </c>
      <c r="Q46" s="187">
        <v>-749756</v>
      </c>
      <c r="R46" s="186">
        <v>-1139216</v>
      </c>
      <c r="S46" s="188">
        <v>-1289078</v>
      </c>
      <c r="T46" s="195">
        <v>-1957026</v>
      </c>
      <c r="U46" s="196">
        <v>-1541006</v>
      </c>
      <c r="V46" s="197">
        <v>-1540934</v>
      </c>
    </row>
    <row r="47" spans="1:22" x14ac:dyDescent="0.25">
      <c r="A47" s="198" t="s">
        <v>269</v>
      </c>
      <c r="B47" s="199">
        <v>138</v>
      </c>
      <c r="C47" s="200">
        <v>148</v>
      </c>
      <c r="D47" s="200">
        <v>138</v>
      </c>
      <c r="E47" s="201">
        <v>4445708</v>
      </c>
      <c r="F47" s="201">
        <v>3913279</v>
      </c>
      <c r="G47" s="201">
        <v>4008639</v>
      </c>
      <c r="H47" s="205">
        <v>1566345</v>
      </c>
      <c r="I47" s="206">
        <v>1269513</v>
      </c>
      <c r="J47" s="207">
        <v>1335724</v>
      </c>
      <c r="K47" s="205">
        <v>2879363</v>
      </c>
      <c r="L47" s="206">
        <v>2643766</v>
      </c>
      <c r="M47" s="207">
        <v>2672915</v>
      </c>
      <c r="N47" s="205">
        <v>2568216</v>
      </c>
      <c r="O47" s="206">
        <v>2578312</v>
      </c>
      <c r="P47" s="207">
        <v>2647121</v>
      </c>
      <c r="Q47" s="205">
        <v>-77881</v>
      </c>
      <c r="R47" s="206">
        <v>-245485</v>
      </c>
      <c r="S47" s="207">
        <v>118122</v>
      </c>
      <c r="T47" s="205">
        <v>-450074</v>
      </c>
      <c r="U47" s="206">
        <v>-258185</v>
      </c>
      <c r="V47" s="207">
        <v>90169</v>
      </c>
    </row>
    <row r="48" spans="1:22" x14ac:dyDescent="0.25">
      <c r="A48" s="184" t="s">
        <v>52</v>
      </c>
      <c r="B48" s="193">
        <v>5</v>
      </c>
      <c r="C48" s="194">
        <v>6</v>
      </c>
      <c r="D48" s="194">
        <v>6</v>
      </c>
      <c r="E48" s="185">
        <v>76889</v>
      </c>
      <c r="F48" s="185">
        <v>70034</v>
      </c>
      <c r="G48" s="185">
        <v>71902</v>
      </c>
      <c r="H48" s="195">
        <v>9867</v>
      </c>
      <c r="I48" s="196">
        <v>6890</v>
      </c>
      <c r="J48" s="197">
        <v>12438</v>
      </c>
      <c r="K48" s="187">
        <v>67022</v>
      </c>
      <c r="L48" s="186">
        <v>63144</v>
      </c>
      <c r="M48" s="188">
        <v>59464</v>
      </c>
      <c r="N48" s="195">
        <v>72813</v>
      </c>
      <c r="O48" s="196">
        <v>73923</v>
      </c>
      <c r="P48" s="197">
        <v>97887</v>
      </c>
      <c r="Q48" s="187">
        <v>-3653</v>
      </c>
      <c r="R48" s="186">
        <v>-2976</v>
      </c>
      <c r="S48" s="188">
        <v>5548</v>
      </c>
      <c r="T48" s="195">
        <v>-3653</v>
      </c>
      <c r="U48" s="196">
        <v>-2976</v>
      </c>
      <c r="V48" s="197">
        <v>5548</v>
      </c>
    </row>
    <row r="49" spans="1:22" x14ac:dyDescent="0.25">
      <c r="A49" s="184" t="s">
        <v>97</v>
      </c>
      <c r="B49" s="193">
        <v>53</v>
      </c>
      <c r="C49" s="194">
        <v>63</v>
      </c>
      <c r="D49" s="194">
        <v>51</v>
      </c>
      <c r="E49" s="185">
        <v>2080168</v>
      </c>
      <c r="F49" s="185">
        <v>1649892</v>
      </c>
      <c r="G49" s="185">
        <v>1783706</v>
      </c>
      <c r="H49" s="195">
        <v>240846</v>
      </c>
      <c r="I49" s="196">
        <v>-55222</v>
      </c>
      <c r="J49" s="197">
        <v>-33490</v>
      </c>
      <c r="K49" s="187">
        <v>1839322</v>
      </c>
      <c r="L49" s="186">
        <v>1705114</v>
      </c>
      <c r="M49" s="188">
        <v>1817196</v>
      </c>
      <c r="N49" s="195">
        <v>876580</v>
      </c>
      <c r="O49" s="196">
        <v>886413</v>
      </c>
      <c r="P49" s="197">
        <v>1030432</v>
      </c>
      <c r="Q49" s="187">
        <v>-84089</v>
      </c>
      <c r="R49" s="186">
        <v>-259020</v>
      </c>
      <c r="S49" s="188">
        <v>48649</v>
      </c>
      <c r="T49" s="195">
        <v>-490907</v>
      </c>
      <c r="U49" s="196">
        <v>-258243</v>
      </c>
      <c r="V49" s="197">
        <v>55253</v>
      </c>
    </row>
    <row r="50" spans="1:22" x14ac:dyDescent="0.25">
      <c r="A50" s="184" t="s">
        <v>127</v>
      </c>
      <c r="B50" s="193">
        <v>10</v>
      </c>
      <c r="C50" s="194">
        <v>10</v>
      </c>
      <c r="D50" s="194">
        <v>9</v>
      </c>
      <c r="E50" s="185">
        <v>821</v>
      </c>
      <c r="F50" s="185">
        <v>15</v>
      </c>
      <c r="G50" s="185">
        <v>69</v>
      </c>
      <c r="H50" s="195">
        <v>821</v>
      </c>
      <c r="I50" s="196">
        <v>15</v>
      </c>
      <c r="J50" s="197">
        <v>69</v>
      </c>
      <c r="K50" s="187">
        <v>0</v>
      </c>
      <c r="L50" s="186">
        <v>0</v>
      </c>
      <c r="M50" s="188">
        <v>0</v>
      </c>
      <c r="N50" s="195">
        <v>133306</v>
      </c>
      <c r="O50" s="196">
        <v>115160</v>
      </c>
      <c r="P50" s="197">
        <v>106156</v>
      </c>
      <c r="Q50" s="187">
        <v>821</v>
      </c>
      <c r="R50" s="186">
        <v>15</v>
      </c>
      <c r="S50" s="188">
        <v>69</v>
      </c>
      <c r="T50" s="195">
        <v>821</v>
      </c>
      <c r="U50" s="196">
        <v>15</v>
      </c>
      <c r="V50" s="197">
        <v>69</v>
      </c>
    </row>
    <row r="51" spans="1:22" x14ac:dyDescent="0.25">
      <c r="A51" s="184" t="s">
        <v>230</v>
      </c>
      <c r="B51" s="193">
        <v>70</v>
      </c>
      <c r="C51" s="194">
        <v>69</v>
      </c>
      <c r="D51" s="194">
        <v>72</v>
      </c>
      <c r="E51" s="185">
        <v>2287830</v>
      </c>
      <c r="F51" s="185">
        <v>2193338</v>
      </c>
      <c r="G51" s="185">
        <v>2152962</v>
      </c>
      <c r="H51" s="195">
        <v>1314811</v>
      </c>
      <c r="I51" s="196">
        <v>1317830</v>
      </c>
      <c r="J51" s="197">
        <v>1356707</v>
      </c>
      <c r="K51" s="187">
        <v>973019</v>
      </c>
      <c r="L51" s="186">
        <v>875508</v>
      </c>
      <c r="M51" s="188">
        <v>796255</v>
      </c>
      <c r="N51" s="195">
        <v>1485517</v>
      </c>
      <c r="O51" s="196">
        <v>1502816</v>
      </c>
      <c r="P51" s="197">
        <v>1412646</v>
      </c>
      <c r="Q51" s="187">
        <v>9040</v>
      </c>
      <c r="R51" s="186">
        <v>16496</v>
      </c>
      <c r="S51" s="188">
        <v>63856</v>
      </c>
      <c r="T51" s="195">
        <v>43665</v>
      </c>
      <c r="U51" s="196">
        <v>3019</v>
      </c>
      <c r="V51" s="197">
        <v>29299</v>
      </c>
    </row>
    <row r="52" spans="1:22" x14ac:dyDescent="0.25">
      <c r="A52" s="198" t="s">
        <v>283</v>
      </c>
      <c r="B52" s="199">
        <v>19</v>
      </c>
      <c r="C52" s="200">
        <v>21</v>
      </c>
      <c r="D52" s="200">
        <v>20</v>
      </c>
      <c r="E52" s="201">
        <v>236811</v>
      </c>
      <c r="F52" s="201">
        <v>217112</v>
      </c>
      <c r="G52" s="201">
        <v>200963</v>
      </c>
      <c r="H52" s="205">
        <v>198212</v>
      </c>
      <c r="I52" s="206">
        <v>170584</v>
      </c>
      <c r="J52" s="207">
        <v>146076</v>
      </c>
      <c r="K52" s="205">
        <v>38599</v>
      </c>
      <c r="L52" s="206">
        <v>46528</v>
      </c>
      <c r="M52" s="207">
        <v>54887</v>
      </c>
      <c r="N52" s="205">
        <v>187288</v>
      </c>
      <c r="O52" s="206">
        <v>222856</v>
      </c>
      <c r="P52" s="207">
        <v>243995</v>
      </c>
      <c r="Q52" s="205">
        <v>-36963</v>
      </c>
      <c r="R52" s="206">
        <v>-19151</v>
      </c>
      <c r="S52" s="207">
        <v>-24509</v>
      </c>
      <c r="T52" s="205">
        <v>-36963</v>
      </c>
      <c r="U52" s="206">
        <v>-19151</v>
      </c>
      <c r="V52" s="207">
        <v>-24509</v>
      </c>
    </row>
    <row r="53" spans="1:22" x14ac:dyDescent="0.25">
      <c r="A53" s="184" t="s">
        <v>73</v>
      </c>
      <c r="B53" s="193">
        <v>19</v>
      </c>
      <c r="C53" s="194">
        <v>21</v>
      </c>
      <c r="D53" s="194">
        <v>20</v>
      </c>
      <c r="E53" s="185">
        <v>236811</v>
      </c>
      <c r="F53" s="185">
        <v>217112</v>
      </c>
      <c r="G53" s="185">
        <v>200963</v>
      </c>
      <c r="H53" s="195">
        <v>198212</v>
      </c>
      <c r="I53" s="196">
        <v>170584</v>
      </c>
      <c r="J53" s="197">
        <v>146076</v>
      </c>
      <c r="K53" s="187">
        <v>38599</v>
      </c>
      <c r="L53" s="186">
        <v>46528</v>
      </c>
      <c r="M53" s="188">
        <v>54887</v>
      </c>
      <c r="N53" s="195">
        <v>187288</v>
      </c>
      <c r="O53" s="196">
        <v>222856</v>
      </c>
      <c r="P53" s="197">
        <v>243995</v>
      </c>
      <c r="Q53" s="187">
        <v>-36963</v>
      </c>
      <c r="R53" s="186">
        <v>-19151</v>
      </c>
      <c r="S53" s="188">
        <v>-24509</v>
      </c>
      <c r="T53" s="195">
        <v>-36963</v>
      </c>
      <c r="U53" s="196">
        <v>-19151</v>
      </c>
      <c r="V53" s="197">
        <v>-24509</v>
      </c>
    </row>
    <row r="54" spans="1:22" x14ac:dyDescent="0.25">
      <c r="A54" s="198" t="s">
        <v>260</v>
      </c>
      <c r="B54" s="199">
        <v>557</v>
      </c>
      <c r="C54" s="200">
        <v>564</v>
      </c>
      <c r="D54" s="200">
        <v>591</v>
      </c>
      <c r="E54" s="201">
        <v>74902976</v>
      </c>
      <c r="F54" s="201">
        <v>73935323</v>
      </c>
      <c r="G54" s="201">
        <v>74845986</v>
      </c>
      <c r="H54" s="205">
        <v>2779079</v>
      </c>
      <c r="I54" s="206">
        <v>2668365</v>
      </c>
      <c r="J54" s="207">
        <v>3635912</v>
      </c>
      <c r="K54" s="205">
        <v>72123897</v>
      </c>
      <c r="L54" s="206">
        <v>71266958</v>
      </c>
      <c r="M54" s="207">
        <v>71210074</v>
      </c>
      <c r="N54" s="205">
        <v>12107020</v>
      </c>
      <c r="O54" s="206">
        <v>13381056</v>
      </c>
      <c r="P54" s="207">
        <v>15262740</v>
      </c>
      <c r="Q54" s="205">
        <v>-56226</v>
      </c>
      <c r="R54" s="206">
        <v>236424</v>
      </c>
      <c r="S54" s="207">
        <v>26386</v>
      </c>
      <c r="T54" s="205">
        <v>-244175</v>
      </c>
      <c r="U54" s="206">
        <v>358025</v>
      </c>
      <c r="V54" s="207">
        <v>367500</v>
      </c>
    </row>
    <row r="55" spans="1:22" x14ac:dyDescent="0.25">
      <c r="A55" s="215" t="s">
        <v>6</v>
      </c>
      <c r="B55" s="193">
        <v>6</v>
      </c>
      <c r="C55" s="194">
        <v>6</v>
      </c>
      <c r="D55" s="194">
        <v>6</v>
      </c>
      <c r="E55" s="185">
        <v>63866</v>
      </c>
      <c r="F55" s="185">
        <v>60351</v>
      </c>
      <c r="G55" s="185">
        <v>83034</v>
      </c>
      <c r="H55" s="195">
        <v>10310</v>
      </c>
      <c r="I55" s="196">
        <v>20227</v>
      </c>
      <c r="J55" s="197">
        <v>60775</v>
      </c>
      <c r="K55" s="187">
        <v>53556</v>
      </c>
      <c r="L55" s="186">
        <v>40124</v>
      </c>
      <c r="M55" s="188">
        <v>22259</v>
      </c>
      <c r="N55" s="195">
        <v>117551</v>
      </c>
      <c r="O55" s="196">
        <v>110528</v>
      </c>
      <c r="P55" s="197">
        <v>145587</v>
      </c>
      <c r="Q55" s="187">
        <v>6794</v>
      </c>
      <c r="R55" s="186">
        <v>11701</v>
      </c>
      <c r="S55" s="188">
        <v>42538</v>
      </c>
      <c r="T55" s="195">
        <v>5352</v>
      </c>
      <c r="U55" s="196">
        <v>11719</v>
      </c>
      <c r="V55" s="197">
        <v>40548</v>
      </c>
    </row>
    <row r="56" spans="1:22" x14ac:dyDescent="0.25">
      <c r="A56" s="215" t="s">
        <v>12</v>
      </c>
      <c r="B56" s="193">
        <v>28</v>
      </c>
      <c r="C56" s="194">
        <v>20</v>
      </c>
      <c r="D56" s="194">
        <v>22</v>
      </c>
      <c r="E56" s="185">
        <v>471917</v>
      </c>
      <c r="F56" s="185">
        <v>440001</v>
      </c>
      <c r="G56" s="185">
        <v>328041</v>
      </c>
      <c r="H56" s="195">
        <v>5291</v>
      </c>
      <c r="I56" s="196">
        <v>2886</v>
      </c>
      <c r="J56" s="197">
        <v>11191</v>
      </c>
      <c r="K56" s="187">
        <v>466626</v>
      </c>
      <c r="L56" s="186">
        <v>437115</v>
      </c>
      <c r="M56" s="188">
        <v>316850</v>
      </c>
      <c r="N56" s="195">
        <v>329188</v>
      </c>
      <c r="O56" s="196">
        <v>314131</v>
      </c>
      <c r="P56" s="197">
        <v>377879</v>
      </c>
      <c r="Q56" s="187">
        <v>-29969</v>
      </c>
      <c r="R56" s="186">
        <v>-3175</v>
      </c>
      <c r="S56" s="188">
        <v>7417</v>
      </c>
      <c r="T56" s="195">
        <v>-29306</v>
      </c>
      <c r="U56" s="196">
        <v>-2406</v>
      </c>
      <c r="V56" s="197">
        <v>8304</v>
      </c>
    </row>
    <row r="57" spans="1:22" x14ac:dyDescent="0.25">
      <c r="A57" s="215" t="s">
        <v>20</v>
      </c>
      <c r="B57" s="193">
        <v>11</v>
      </c>
      <c r="C57" s="194">
        <v>18</v>
      </c>
      <c r="D57" s="194">
        <v>19</v>
      </c>
      <c r="E57" s="185">
        <v>64406</v>
      </c>
      <c r="F57" s="185">
        <v>51432</v>
      </c>
      <c r="G57" s="185">
        <v>25845</v>
      </c>
      <c r="H57" s="195">
        <v>-37304</v>
      </c>
      <c r="I57" s="196">
        <v>-18879</v>
      </c>
      <c r="J57" s="197">
        <v>-1945</v>
      </c>
      <c r="K57" s="187">
        <v>101710</v>
      </c>
      <c r="L57" s="186">
        <v>70311</v>
      </c>
      <c r="M57" s="188">
        <v>27790</v>
      </c>
      <c r="N57" s="195">
        <v>106842</v>
      </c>
      <c r="O57" s="196">
        <v>192889</v>
      </c>
      <c r="P57" s="197">
        <v>228434</v>
      </c>
      <c r="Q57" s="187">
        <v>-15421</v>
      </c>
      <c r="R57" s="186">
        <v>15555</v>
      </c>
      <c r="S57" s="188">
        <v>16163</v>
      </c>
      <c r="T57" s="195">
        <v>-16665</v>
      </c>
      <c r="U57" s="196">
        <v>18466</v>
      </c>
      <c r="V57" s="197">
        <v>17443</v>
      </c>
    </row>
    <row r="58" spans="1:22" x14ac:dyDescent="0.25">
      <c r="A58" s="215" t="s">
        <v>38</v>
      </c>
      <c r="B58" s="193">
        <v>163</v>
      </c>
      <c r="C58" s="194">
        <v>166</v>
      </c>
      <c r="D58" s="194">
        <v>178</v>
      </c>
      <c r="E58" s="185">
        <v>2099631</v>
      </c>
      <c r="F58" s="185">
        <v>1703253</v>
      </c>
      <c r="G58" s="185">
        <v>2512508</v>
      </c>
      <c r="H58" s="195">
        <v>1268287</v>
      </c>
      <c r="I58" s="196">
        <v>961536</v>
      </c>
      <c r="J58" s="197">
        <v>1362282</v>
      </c>
      <c r="K58" s="187">
        <v>831344</v>
      </c>
      <c r="L58" s="186">
        <v>741717</v>
      </c>
      <c r="M58" s="188">
        <v>1150226</v>
      </c>
      <c r="N58" s="195">
        <v>3261111</v>
      </c>
      <c r="O58" s="196">
        <v>3439747</v>
      </c>
      <c r="P58" s="197">
        <v>3911140</v>
      </c>
      <c r="Q58" s="187">
        <v>378558</v>
      </c>
      <c r="R58" s="186">
        <v>162420</v>
      </c>
      <c r="S58" s="188">
        <v>129997</v>
      </c>
      <c r="T58" s="195">
        <v>234751</v>
      </c>
      <c r="U58" s="196">
        <v>84112</v>
      </c>
      <c r="V58" s="197">
        <v>103755</v>
      </c>
    </row>
    <row r="59" spans="1:22" ht="30" x14ac:dyDescent="0.25">
      <c r="A59" s="215" t="s">
        <v>46</v>
      </c>
      <c r="B59" s="193">
        <v>2</v>
      </c>
      <c r="C59" s="194">
        <v>5</v>
      </c>
      <c r="D59" s="194">
        <v>6</v>
      </c>
      <c r="E59" s="185">
        <v>30466127</v>
      </c>
      <c r="F59" s="185">
        <v>30600066</v>
      </c>
      <c r="G59" s="185">
        <v>31369729</v>
      </c>
      <c r="H59" s="195">
        <v>-1795687</v>
      </c>
      <c r="I59" s="196">
        <v>-1820618</v>
      </c>
      <c r="J59" s="197">
        <v>-1843871</v>
      </c>
      <c r="K59" s="187">
        <v>32261814</v>
      </c>
      <c r="L59" s="186">
        <v>32420684</v>
      </c>
      <c r="M59" s="188">
        <v>33213600</v>
      </c>
      <c r="N59" s="195">
        <v>417898</v>
      </c>
      <c r="O59" s="196">
        <v>597889</v>
      </c>
      <c r="P59" s="197">
        <v>867775</v>
      </c>
      <c r="Q59" s="187">
        <v>-444009</v>
      </c>
      <c r="R59" s="186">
        <v>-212202</v>
      </c>
      <c r="S59" s="188">
        <v>-365145</v>
      </c>
      <c r="T59" s="195">
        <v>-446194</v>
      </c>
      <c r="U59" s="196">
        <v>-24931</v>
      </c>
      <c r="V59" s="197">
        <v>-23254</v>
      </c>
    </row>
    <row r="60" spans="1:22" x14ac:dyDescent="0.25">
      <c r="A60" s="215" t="s">
        <v>58</v>
      </c>
      <c r="B60" s="193">
        <v>34</v>
      </c>
      <c r="C60" s="194">
        <v>36</v>
      </c>
      <c r="D60" s="194">
        <v>37</v>
      </c>
      <c r="E60" s="185">
        <v>68984</v>
      </c>
      <c r="F60" s="185">
        <v>121152</v>
      </c>
      <c r="G60" s="185">
        <v>43985</v>
      </c>
      <c r="H60" s="195">
        <v>-123790</v>
      </c>
      <c r="I60" s="196">
        <v>-11622</v>
      </c>
      <c r="J60" s="197">
        <v>-71704</v>
      </c>
      <c r="K60" s="187">
        <v>192774</v>
      </c>
      <c r="L60" s="186">
        <v>132774</v>
      </c>
      <c r="M60" s="188">
        <v>115689</v>
      </c>
      <c r="N60" s="195">
        <v>446583</v>
      </c>
      <c r="O60" s="196">
        <v>595845</v>
      </c>
      <c r="P60" s="197">
        <v>532518</v>
      </c>
      <c r="Q60" s="187">
        <v>-34210</v>
      </c>
      <c r="R60" s="186">
        <v>127363</v>
      </c>
      <c r="S60" s="188">
        <v>-56728</v>
      </c>
      <c r="T60" s="195">
        <v>-34503</v>
      </c>
      <c r="U60" s="196">
        <v>112168</v>
      </c>
      <c r="V60" s="197">
        <v>-60082</v>
      </c>
    </row>
    <row r="61" spans="1:22" x14ac:dyDescent="0.25">
      <c r="A61" s="215" t="s">
        <v>115</v>
      </c>
      <c r="B61" s="193">
        <v>83</v>
      </c>
      <c r="C61" s="194">
        <v>83</v>
      </c>
      <c r="D61" s="194">
        <v>82</v>
      </c>
      <c r="E61" s="185">
        <v>846999</v>
      </c>
      <c r="F61" s="185">
        <v>650555</v>
      </c>
      <c r="G61" s="185">
        <v>874368</v>
      </c>
      <c r="H61" s="195">
        <v>414174</v>
      </c>
      <c r="I61" s="196">
        <v>421351</v>
      </c>
      <c r="J61" s="197">
        <v>425647</v>
      </c>
      <c r="K61" s="187">
        <v>432825</v>
      </c>
      <c r="L61" s="186">
        <v>229204</v>
      </c>
      <c r="M61" s="188">
        <v>448721</v>
      </c>
      <c r="N61" s="195">
        <v>1362179</v>
      </c>
      <c r="O61" s="196">
        <v>1245487</v>
      </c>
      <c r="P61" s="197">
        <v>1371702</v>
      </c>
      <c r="Q61" s="187">
        <v>54667</v>
      </c>
      <c r="R61" s="186">
        <v>7913</v>
      </c>
      <c r="S61" s="188">
        <v>7627</v>
      </c>
      <c r="T61" s="195">
        <v>45900</v>
      </c>
      <c r="U61" s="196">
        <v>7178</v>
      </c>
      <c r="V61" s="197">
        <v>4297</v>
      </c>
    </row>
    <row r="62" spans="1:22" x14ac:dyDescent="0.25">
      <c r="A62" s="215" t="s">
        <v>168</v>
      </c>
      <c r="B62" s="193">
        <v>38</v>
      </c>
      <c r="C62" s="194">
        <v>36</v>
      </c>
      <c r="D62" s="194">
        <v>40</v>
      </c>
      <c r="E62" s="185">
        <v>4878251</v>
      </c>
      <c r="F62" s="185">
        <v>4952948</v>
      </c>
      <c r="G62" s="185">
        <v>4810143</v>
      </c>
      <c r="H62" s="195">
        <v>194316</v>
      </c>
      <c r="I62" s="196">
        <v>242100</v>
      </c>
      <c r="J62" s="197">
        <v>297876</v>
      </c>
      <c r="K62" s="187">
        <v>4683935</v>
      </c>
      <c r="L62" s="186">
        <v>4710848</v>
      </c>
      <c r="M62" s="188">
        <v>4512267</v>
      </c>
      <c r="N62" s="195">
        <v>542313</v>
      </c>
      <c r="O62" s="196">
        <v>928917</v>
      </c>
      <c r="P62" s="197">
        <v>1163719</v>
      </c>
      <c r="Q62" s="187">
        <v>-39759</v>
      </c>
      <c r="R62" s="186">
        <v>57617</v>
      </c>
      <c r="S62" s="188">
        <v>74588</v>
      </c>
      <c r="T62" s="195">
        <v>-41110</v>
      </c>
      <c r="U62" s="196">
        <v>47787</v>
      </c>
      <c r="V62" s="197">
        <v>55776</v>
      </c>
    </row>
    <row r="63" spans="1:22" x14ac:dyDescent="0.25">
      <c r="A63" s="215" t="s">
        <v>200</v>
      </c>
      <c r="B63" s="193">
        <v>29</v>
      </c>
      <c r="C63" s="194">
        <v>30</v>
      </c>
      <c r="D63" s="194">
        <v>33</v>
      </c>
      <c r="E63" s="185">
        <v>114739</v>
      </c>
      <c r="F63" s="185">
        <v>310088</v>
      </c>
      <c r="G63" s="185">
        <v>324536</v>
      </c>
      <c r="H63" s="195">
        <v>-15500</v>
      </c>
      <c r="I63" s="196">
        <v>-64595</v>
      </c>
      <c r="J63" s="197">
        <v>-19160</v>
      </c>
      <c r="K63" s="187">
        <v>130239</v>
      </c>
      <c r="L63" s="186">
        <v>374683</v>
      </c>
      <c r="M63" s="188">
        <v>343696</v>
      </c>
      <c r="N63" s="195">
        <v>527679</v>
      </c>
      <c r="O63" s="196">
        <v>616047</v>
      </c>
      <c r="P63" s="197">
        <v>787348</v>
      </c>
      <c r="Q63" s="187">
        <v>-24909</v>
      </c>
      <c r="R63" s="186">
        <v>29599</v>
      </c>
      <c r="S63" s="188">
        <v>8829</v>
      </c>
      <c r="T63" s="195">
        <v>-74352</v>
      </c>
      <c r="U63" s="196">
        <v>26936</v>
      </c>
      <c r="V63" s="197">
        <v>8829</v>
      </c>
    </row>
    <row r="64" spans="1:22" x14ac:dyDescent="0.25">
      <c r="A64" s="215" t="s">
        <v>232</v>
      </c>
      <c r="B64" s="193">
        <v>163</v>
      </c>
      <c r="C64" s="194">
        <v>164</v>
      </c>
      <c r="D64" s="194">
        <v>168</v>
      </c>
      <c r="E64" s="185">
        <v>35828056</v>
      </c>
      <c r="F64" s="185">
        <v>35045477</v>
      </c>
      <c r="G64" s="185">
        <v>34473797</v>
      </c>
      <c r="H64" s="195">
        <v>2858982</v>
      </c>
      <c r="I64" s="196">
        <v>2935979</v>
      </c>
      <c r="J64" s="197">
        <v>3414821</v>
      </c>
      <c r="K64" s="187">
        <v>32969074</v>
      </c>
      <c r="L64" s="186">
        <v>32109498</v>
      </c>
      <c r="M64" s="188">
        <v>31058976</v>
      </c>
      <c r="N64" s="195">
        <v>4995676</v>
      </c>
      <c r="O64" s="196">
        <v>5339576</v>
      </c>
      <c r="P64" s="197">
        <v>5876638</v>
      </c>
      <c r="Q64" s="187">
        <v>92032</v>
      </c>
      <c r="R64" s="186">
        <v>39633</v>
      </c>
      <c r="S64" s="188">
        <v>161100</v>
      </c>
      <c r="T64" s="195">
        <v>111952</v>
      </c>
      <c r="U64" s="196">
        <v>76996</v>
      </c>
      <c r="V64" s="197">
        <v>211884</v>
      </c>
    </row>
    <row r="65" spans="1:22" x14ac:dyDescent="0.25">
      <c r="A65" s="198" t="s">
        <v>271</v>
      </c>
      <c r="B65" s="199">
        <v>57</v>
      </c>
      <c r="C65" s="200">
        <v>57</v>
      </c>
      <c r="D65" s="200">
        <v>59</v>
      </c>
      <c r="E65" s="201">
        <v>1681255</v>
      </c>
      <c r="F65" s="201">
        <v>1556625</v>
      </c>
      <c r="G65" s="201">
        <v>1750250</v>
      </c>
      <c r="H65" s="205">
        <v>104834</v>
      </c>
      <c r="I65" s="206">
        <v>83103</v>
      </c>
      <c r="J65" s="207">
        <v>200014</v>
      </c>
      <c r="K65" s="205">
        <v>1576421</v>
      </c>
      <c r="L65" s="206">
        <v>1473522</v>
      </c>
      <c r="M65" s="207">
        <v>1550236</v>
      </c>
      <c r="N65" s="205">
        <v>975825</v>
      </c>
      <c r="O65" s="206">
        <v>1070307</v>
      </c>
      <c r="P65" s="207">
        <v>1602199</v>
      </c>
      <c r="Q65" s="205">
        <v>116931</v>
      </c>
      <c r="R65" s="206">
        <v>57234</v>
      </c>
      <c r="S65" s="207">
        <v>119247</v>
      </c>
      <c r="T65" s="205">
        <v>84628</v>
      </c>
      <c r="U65" s="206">
        <v>-16059</v>
      </c>
      <c r="V65" s="207">
        <v>103084</v>
      </c>
    </row>
    <row r="66" spans="1:22" x14ac:dyDescent="0.25">
      <c r="A66" s="184" t="s">
        <v>99</v>
      </c>
      <c r="B66" s="193">
        <v>30</v>
      </c>
      <c r="C66" s="194">
        <v>30</v>
      </c>
      <c r="D66" s="194">
        <v>31</v>
      </c>
      <c r="E66" s="185">
        <v>1152808</v>
      </c>
      <c r="F66" s="185">
        <v>1049803</v>
      </c>
      <c r="G66" s="185">
        <v>1237881</v>
      </c>
      <c r="H66" s="195">
        <v>52616</v>
      </c>
      <c r="I66" s="196">
        <v>26333</v>
      </c>
      <c r="J66" s="197">
        <v>141268</v>
      </c>
      <c r="K66" s="187">
        <v>1100192</v>
      </c>
      <c r="L66" s="186">
        <v>1023470</v>
      </c>
      <c r="M66" s="188">
        <v>1096613</v>
      </c>
      <c r="N66" s="195">
        <v>626145</v>
      </c>
      <c r="O66" s="196">
        <v>679530</v>
      </c>
      <c r="P66" s="197">
        <v>1124143</v>
      </c>
      <c r="Q66" s="187">
        <v>108841</v>
      </c>
      <c r="R66" s="186">
        <v>52208</v>
      </c>
      <c r="S66" s="188">
        <v>113507</v>
      </c>
      <c r="T66" s="195">
        <v>75445</v>
      </c>
      <c r="U66" s="196">
        <v>-20612</v>
      </c>
      <c r="V66" s="197">
        <v>101108</v>
      </c>
    </row>
    <row r="67" spans="1:22" x14ac:dyDescent="0.25">
      <c r="A67" s="184" t="s">
        <v>234</v>
      </c>
      <c r="B67" s="193">
        <v>27</v>
      </c>
      <c r="C67" s="194">
        <v>27</v>
      </c>
      <c r="D67" s="194">
        <v>28</v>
      </c>
      <c r="E67" s="185">
        <v>528447</v>
      </c>
      <c r="F67" s="185">
        <v>506822</v>
      </c>
      <c r="G67" s="185">
        <v>512369</v>
      </c>
      <c r="H67" s="195">
        <v>52218</v>
      </c>
      <c r="I67" s="196">
        <v>56770</v>
      </c>
      <c r="J67" s="197">
        <v>58746</v>
      </c>
      <c r="K67" s="187">
        <v>476229</v>
      </c>
      <c r="L67" s="186">
        <v>450052</v>
      </c>
      <c r="M67" s="188">
        <v>453623</v>
      </c>
      <c r="N67" s="195">
        <v>349680</v>
      </c>
      <c r="O67" s="196">
        <v>390777</v>
      </c>
      <c r="P67" s="197">
        <v>478056</v>
      </c>
      <c r="Q67" s="187">
        <v>8090</v>
      </c>
      <c r="R67" s="186">
        <v>5026</v>
      </c>
      <c r="S67" s="188">
        <v>5740</v>
      </c>
      <c r="T67" s="195">
        <v>9183</v>
      </c>
      <c r="U67" s="196">
        <v>4553</v>
      </c>
      <c r="V67" s="197">
        <v>1976</v>
      </c>
    </row>
    <row r="68" spans="1:22" x14ac:dyDescent="0.25">
      <c r="A68" s="198" t="s">
        <v>277</v>
      </c>
      <c r="B68" s="199">
        <v>256</v>
      </c>
      <c r="C68" s="200">
        <v>270</v>
      </c>
      <c r="D68" s="200">
        <v>293</v>
      </c>
      <c r="E68" s="201">
        <v>38248308</v>
      </c>
      <c r="F68" s="201">
        <v>37659745</v>
      </c>
      <c r="G68" s="201">
        <v>38648670</v>
      </c>
      <c r="H68" s="205">
        <v>8422551</v>
      </c>
      <c r="I68" s="206">
        <v>8059201</v>
      </c>
      <c r="J68" s="207">
        <v>8827075</v>
      </c>
      <c r="K68" s="205">
        <v>29825757</v>
      </c>
      <c r="L68" s="206">
        <v>29600544</v>
      </c>
      <c r="M68" s="207">
        <v>29821595</v>
      </c>
      <c r="N68" s="205">
        <v>7206874</v>
      </c>
      <c r="O68" s="206">
        <v>8548010</v>
      </c>
      <c r="P68" s="207">
        <v>9123027</v>
      </c>
      <c r="Q68" s="205">
        <v>-226369</v>
      </c>
      <c r="R68" s="206">
        <v>572611</v>
      </c>
      <c r="S68" s="207">
        <v>324670</v>
      </c>
      <c r="T68" s="205">
        <v>-194767</v>
      </c>
      <c r="U68" s="206">
        <v>-357075</v>
      </c>
      <c r="V68" s="207">
        <v>58236</v>
      </c>
    </row>
    <row r="69" spans="1:22" x14ac:dyDescent="0.25">
      <c r="A69" s="184" t="s">
        <v>111</v>
      </c>
      <c r="B69" s="193">
        <v>148</v>
      </c>
      <c r="C69" s="194">
        <v>160</v>
      </c>
      <c r="D69" s="194">
        <v>180</v>
      </c>
      <c r="E69" s="185">
        <v>9193033</v>
      </c>
      <c r="F69" s="185">
        <v>9071386</v>
      </c>
      <c r="G69" s="185">
        <v>10383724</v>
      </c>
      <c r="H69" s="195">
        <v>6455534</v>
      </c>
      <c r="I69" s="196">
        <v>6486780</v>
      </c>
      <c r="J69" s="197">
        <v>7072447</v>
      </c>
      <c r="K69" s="187">
        <v>2737499</v>
      </c>
      <c r="L69" s="186">
        <v>2584606</v>
      </c>
      <c r="M69" s="188">
        <v>3311277</v>
      </c>
      <c r="N69" s="195">
        <v>3645332</v>
      </c>
      <c r="O69" s="196">
        <v>4115029</v>
      </c>
      <c r="P69" s="197">
        <v>4860951</v>
      </c>
      <c r="Q69" s="187">
        <v>109782</v>
      </c>
      <c r="R69" s="186">
        <v>50931</v>
      </c>
      <c r="S69" s="188">
        <v>-1877</v>
      </c>
      <c r="T69" s="195">
        <v>104898</v>
      </c>
      <c r="U69" s="196">
        <v>37302</v>
      </c>
      <c r="V69" s="197">
        <v>8461</v>
      </c>
    </row>
    <row r="70" spans="1:22" x14ac:dyDescent="0.25">
      <c r="A70" s="184" t="s">
        <v>117</v>
      </c>
      <c r="B70" s="193">
        <v>14</v>
      </c>
      <c r="C70" s="194">
        <v>13</v>
      </c>
      <c r="D70" s="194">
        <v>13</v>
      </c>
      <c r="E70" s="185">
        <v>10400</v>
      </c>
      <c r="F70" s="185">
        <v>19795</v>
      </c>
      <c r="G70" s="185">
        <v>23285</v>
      </c>
      <c r="H70" s="195">
        <v>4943</v>
      </c>
      <c r="I70" s="196">
        <v>7707</v>
      </c>
      <c r="J70" s="197">
        <v>7950</v>
      </c>
      <c r="K70" s="187">
        <v>5457</v>
      </c>
      <c r="L70" s="186">
        <v>12088</v>
      </c>
      <c r="M70" s="188">
        <v>15335</v>
      </c>
      <c r="N70" s="195">
        <v>196357</v>
      </c>
      <c r="O70" s="196">
        <v>204189</v>
      </c>
      <c r="P70" s="197">
        <v>207075</v>
      </c>
      <c r="Q70" s="187">
        <v>-1461</v>
      </c>
      <c r="R70" s="186">
        <v>2914</v>
      </c>
      <c r="S70" s="188">
        <v>328</v>
      </c>
      <c r="T70" s="195">
        <v>-1461</v>
      </c>
      <c r="U70" s="196">
        <v>2983</v>
      </c>
      <c r="V70" s="197">
        <v>243</v>
      </c>
    </row>
    <row r="71" spans="1:22" x14ac:dyDescent="0.25">
      <c r="A71" s="184" t="s">
        <v>246</v>
      </c>
      <c r="B71" s="193">
        <v>94</v>
      </c>
      <c r="C71" s="194">
        <v>97</v>
      </c>
      <c r="D71" s="194">
        <v>100</v>
      </c>
      <c r="E71" s="185">
        <v>29044875</v>
      </c>
      <c r="F71" s="185">
        <v>28568564</v>
      </c>
      <c r="G71" s="185">
        <v>28241661</v>
      </c>
      <c r="H71" s="195">
        <v>1962074</v>
      </c>
      <c r="I71" s="196">
        <v>1564714</v>
      </c>
      <c r="J71" s="197">
        <v>1746678</v>
      </c>
      <c r="K71" s="187">
        <v>27082801</v>
      </c>
      <c r="L71" s="186">
        <v>27003850</v>
      </c>
      <c r="M71" s="188">
        <v>26494983</v>
      </c>
      <c r="N71" s="195">
        <v>3365185</v>
      </c>
      <c r="O71" s="196">
        <v>4228792</v>
      </c>
      <c r="P71" s="197">
        <v>4055001</v>
      </c>
      <c r="Q71" s="187">
        <v>-334690</v>
      </c>
      <c r="R71" s="186">
        <v>518766</v>
      </c>
      <c r="S71" s="188">
        <v>326219</v>
      </c>
      <c r="T71" s="195">
        <v>-298204</v>
      </c>
      <c r="U71" s="196">
        <v>-397360</v>
      </c>
      <c r="V71" s="197">
        <v>49532</v>
      </c>
    </row>
    <row r="72" spans="1:22" x14ac:dyDescent="0.25">
      <c r="A72" s="183" t="s">
        <v>282</v>
      </c>
      <c r="B72" s="199">
        <v>62</v>
      </c>
      <c r="C72" s="200">
        <v>65</v>
      </c>
      <c r="D72" s="200">
        <v>67</v>
      </c>
      <c r="E72" s="201">
        <v>2063502</v>
      </c>
      <c r="F72" s="201">
        <v>2161873</v>
      </c>
      <c r="G72" s="201">
        <v>2285530</v>
      </c>
      <c r="H72" s="205">
        <v>-40798</v>
      </c>
      <c r="I72" s="206">
        <v>57265</v>
      </c>
      <c r="J72" s="207">
        <v>174348</v>
      </c>
      <c r="K72" s="187">
        <v>2104300</v>
      </c>
      <c r="L72" s="186">
        <v>2104608</v>
      </c>
      <c r="M72" s="188">
        <v>2111182</v>
      </c>
      <c r="N72" s="195">
        <v>790141</v>
      </c>
      <c r="O72" s="196">
        <v>998357</v>
      </c>
      <c r="P72" s="197">
        <v>1025538</v>
      </c>
      <c r="Q72" s="187">
        <v>11537</v>
      </c>
      <c r="R72" s="186">
        <v>99033</v>
      </c>
      <c r="S72" s="188">
        <v>117084</v>
      </c>
      <c r="T72" s="195">
        <v>9106</v>
      </c>
      <c r="U72" s="196">
        <v>98063</v>
      </c>
      <c r="V72" s="197">
        <v>117084</v>
      </c>
    </row>
    <row r="73" spans="1:22" x14ac:dyDescent="0.25">
      <c r="A73" s="184" t="s">
        <v>81</v>
      </c>
      <c r="B73" s="193">
        <v>62</v>
      </c>
      <c r="C73" s="194">
        <v>65</v>
      </c>
      <c r="D73" s="194">
        <v>67</v>
      </c>
      <c r="E73" s="185">
        <v>2063502</v>
      </c>
      <c r="F73" s="185">
        <v>2161873</v>
      </c>
      <c r="G73" s="185">
        <v>2285530</v>
      </c>
      <c r="H73" s="195">
        <v>-40798</v>
      </c>
      <c r="I73" s="196">
        <v>57265</v>
      </c>
      <c r="J73" s="197">
        <v>174348</v>
      </c>
      <c r="K73" s="187">
        <v>2104300</v>
      </c>
      <c r="L73" s="186">
        <v>2104608</v>
      </c>
      <c r="M73" s="188">
        <v>2111182</v>
      </c>
      <c r="N73" s="195">
        <v>790141</v>
      </c>
      <c r="O73" s="196">
        <v>998357</v>
      </c>
      <c r="P73" s="197">
        <v>1025538</v>
      </c>
      <c r="Q73" s="187">
        <v>11537</v>
      </c>
      <c r="R73" s="186">
        <v>99033</v>
      </c>
      <c r="S73" s="188">
        <v>117084</v>
      </c>
      <c r="T73" s="195">
        <v>9106</v>
      </c>
      <c r="U73" s="196">
        <v>98063</v>
      </c>
      <c r="V73" s="197">
        <v>117084</v>
      </c>
    </row>
    <row r="74" spans="1:22" x14ac:dyDescent="0.25">
      <c r="A74" s="198" t="s">
        <v>265</v>
      </c>
      <c r="B74" s="199">
        <v>583</v>
      </c>
      <c r="C74" s="200">
        <v>581</v>
      </c>
      <c r="D74" s="200">
        <v>568</v>
      </c>
      <c r="E74" s="201">
        <v>79958128</v>
      </c>
      <c r="F74" s="201">
        <v>78319978</v>
      </c>
      <c r="G74" s="201">
        <v>77962945</v>
      </c>
      <c r="H74" s="205">
        <v>9629254</v>
      </c>
      <c r="I74" s="206">
        <v>9308640</v>
      </c>
      <c r="J74" s="207">
        <v>10077748</v>
      </c>
      <c r="K74" s="205">
        <v>70328874</v>
      </c>
      <c r="L74" s="206">
        <v>69011338</v>
      </c>
      <c r="M74" s="207">
        <v>67885197</v>
      </c>
      <c r="N74" s="205">
        <v>10143851</v>
      </c>
      <c r="O74" s="206">
        <v>10242305</v>
      </c>
      <c r="P74" s="207">
        <v>11926774</v>
      </c>
      <c r="Q74" s="205">
        <v>-174707</v>
      </c>
      <c r="R74" s="206">
        <v>-208527</v>
      </c>
      <c r="S74" s="207">
        <v>646731</v>
      </c>
      <c r="T74" s="205">
        <v>-60420</v>
      </c>
      <c r="U74" s="206">
        <v>-92962</v>
      </c>
      <c r="V74" s="207">
        <v>701106</v>
      </c>
    </row>
    <row r="75" spans="1:22" x14ac:dyDescent="0.25">
      <c r="A75" s="184" t="s">
        <v>16</v>
      </c>
      <c r="B75" s="193">
        <v>1</v>
      </c>
      <c r="C75" s="194">
        <v>1</v>
      </c>
      <c r="D75" s="194">
        <v>1</v>
      </c>
      <c r="E75" s="185">
        <v>34631</v>
      </c>
      <c r="F75" s="185">
        <v>24967</v>
      </c>
      <c r="G75" s="185">
        <v>23670</v>
      </c>
      <c r="H75" s="195">
        <v>29624</v>
      </c>
      <c r="I75" s="196">
        <v>24967</v>
      </c>
      <c r="J75" s="197">
        <v>23670</v>
      </c>
      <c r="K75" s="187">
        <v>5007</v>
      </c>
      <c r="L75" s="186">
        <v>0</v>
      </c>
      <c r="M75" s="188">
        <v>0</v>
      </c>
      <c r="N75" s="195">
        <v>16663</v>
      </c>
      <c r="O75" s="196">
        <v>3323</v>
      </c>
      <c r="P75" s="197">
        <v>8561</v>
      </c>
      <c r="Q75" s="187">
        <v>13016</v>
      </c>
      <c r="R75" s="186">
        <v>-4625</v>
      </c>
      <c r="S75" s="188">
        <v>-1297</v>
      </c>
      <c r="T75" s="195">
        <v>11922</v>
      </c>
      <c r="U75" s="196">
        <v>-4625</v>
      </c>
      <c r="V75" s="197">
        <v>-1297</v>
      </c>
    </row>
    <row r="76" spans="1:22" x14ac:dyDescent="0.25">
      <c r="A76" s="184" t="s">
        <v>30</v>
      </c>
      <c r="B76" s="193">
        <v>24</v>
      </c>
      <c r="C76" s="194">
        <v>25</v>
      </c>
      <c r="D76" s="194">
        <v>21</v>
      </c>
      <c r="E76" s="185">
        <v>45313</v>
      </c>
      <c r="F76" s="185">
        <v>49976</v>
      </c>
      <c r="G76" s="185">
        <v>50449</v>
      </c>
      <c r="H76" s="195">
        <v>-61897</v>
      </c>
      <c r="I76" s="196">
        <v>-61791</v>
      </c>
      <c r="J76" s="197">
        <v>-106835</v>
      </c>
      <c r="K76" s="187">
        <v>107210</v>
      </c>
      <c r="L76" s="186">
        <v>111767</v>
      </c>
      <c r="M76" s="188">
        <v>157284</v>
      </c>
      <c r="N76" s="195">
        <v>107210</v>
      </c>
      <c r="O76" s="196">
        <v>111767</v>
      </c>
      <c r="P76" s="197">
        <v>49172</v>
      </c>
      <c r="Q76" s="187">
        <v>3172</v>
      </c>
      <c r="R76" s="186">
        <v>106</v>
      </c>
      <c r="S76" s="188">
        <v>-45043</v>
      </c>
      <c r="T76" s="195">
        <v>3172</v>
      </c>
      <c r="U76" s="196">
        <v>106</v>
      </c>
      <c r="V76" s="197">
        <v>-45043</v>
      </c>
    </row>
    <row r="77" spans="1:22" x14ac:dyDescent="0.25">
      <c r="A77" s="184" t="s">
        <v>64</v>
      </c>
      <c r="B77" s="193">
        <v>81</v>
      </c>
      <c r="C77" s="194">
        <v>81</v>
      </c>
      <c r="D77" s="194">
        <v>83</v>
      </c>
      <c r="E77" s="185">
        <v>10065526</v>
      </c>
      <c r="F77" s="185">
        <v>9840603</v>
      </c>
      <c r="G77" s="185">
        <v>9573900</v>
      </c>
      <c r="H77" s="195">
        <v>-306757</v>
      </c>
      <c r="I77" s="196">
        <v>-276968</v>
      </c>
      <c r="J77" s="197">
        <v>-304243</v>
      </c>
      <c r="K77" s="187">
        <v>10372283</v>
      </c>
      <c r="L77" s="186">
        <v>10117571</v>
      </c>
      <c r="M77" s="188">
        <v>9878143</v>
      </c>
      <c r="N77" s="195">
        <v>1139566</v>
      </c>
      <c r="O77" s="196">
        <v>1200172</v>
      </c>
      <c r="P77" s="197">
        <v>1155489</v>
      </c>
      <c r="Q77" s="187">
        <v>39245</v>
      </c>
      <c r="R77" s="186">
        <v>31676</v>
      </c>
      <c r="S77" s="188">
        <v>-25732</v>
      </c>
      <c r="T77" s="195">
        <v>35936</v>
      </c>
      <c r="U77" s="196">
        <v>29789</v>
      </c>
      <c r="V77" s="197">
        <v>-27275</v>
      </c>
    </row>
    <row r="78" spans="1:22" x14ac:dyDescent="0.25">
      <c r="A78" s="184" t="s">
        <v>62</v>
      </c>
      <c r="B78" s="193">
        <v>6</v>
      </c>
      <c r="C78" s="194">
        <v>5</v>
      </c>
      <c r="D78" s="194">
        <v>6</v>
      </c>
      <c r="E78" s="185">
        <v>153173</v>
      </c>
      <c r="F78" s="185">
        <v>149977</v>
      </c>
      <c r="G78" s="185">
        <v>155438</v>
      </c>
      <c r="H78" s="195">
        <v>129150</v>
      </c>
      <c r="I78" s="196">
        <v>129150</v>
      </c>
      <c r="J78" s="197">
        <v>129150</v>
      </c>
      <c r="K78" s="187">
        <v>24023</v>
      </c>
      <c r="L78" s="186">
        <v>20827</v>
      </c>
      <c r="M78" s="188">
        <v>26288</v>
      </c>
      <c r="N78" s="195">
        <v>35202</v>
      </c>
      <c r="O78" s="196">
        <v>44135</v>
      </c>
      <c r="P78" s="197">
        <v>58000</v>
      </c>
      <c r="Q78" s="187">
        <v>0</v>
      </c>
      <c r="R78" s="186">
        <v>0</v>
      </c>
      <c r="S78" s="188">
        <v>7059</v>
      </c>
      <c r="T78" s="195">
        <v>0</v>
      </c>
      <c r="U78" s="196">
        <v>0</v>
      </c>
      <c r="V78" s="197">
        <v>0</v>
      </c>
    </row>
    <row r="79" spans="1:22" x14ac:dyDescent="0.25">
      <c r="A79" s="184" t="s">
        <v>101</v>
      </c>
      <c r="B79" s="193">
        <v>173</v>
      </c>
      <c r="C79" s="194">
        <v>167</v>
      </c>
      <c r="D79" s="194">
        <v>160</v>
      </c>
      <c r="E79" s="185">
        <v>2016027</v>
      </c>
      <c r="F79" s="185">
        <v>1762354</v>
      </c>
      <c r="G79" s="185">
        <v>2005702</v>
      </c>
      <c r="H79" s="195">
        <v>-2292234</v>
      </c>
      <c r="I79" s="196">
        <v>-2371088</v>
      </c>
      <c r="J79" s="197">
        <v>-2317907</v>
      </c>
      <c r="K79" s="187">
        <v>4308261</v>
      </c>
      <c r="L79" s="186">
        <v>4133442</v>
      </c>
      <c r="M79" s="188">
        <v>4323609</v>
      </c>
      <c r="N79" s="195">
        <v>3326810</v>
      </c>
      <c r="O79" s="196">
        <v>3225722</v>
      </c>
      <c r="P79" s="197">
        <v>3702794</v>
      </c>
      <c r="Q79" s="187">
        <v>138740</v>
      </c>
      <c r="R79" s="186">
        <v>-12172</v>
      </c>
      <c r="S79" s="188">
        <v>120800</v>
      </c>
      <c r="T79" s="195">
        <v>25774</v>
      </c>
      <c r="U79" s="196">
        <v>-78854</v>
      </c>
      <c r="V79" s="197">
        <v>53181</v>
      </c>
    </row>
    <row r="80" spans="1:22" x14ac:dyDescent="0.25">
      <c r="A80" s="184" t="s">
        <v>129</v>
      </c>
      <c r="B80" s="193">
        <v>69</v>
      </c>
      <c r="C80" s="194">
        <v>64</v>
      </c>
      <c r="D80" s="194">
        <v>64</v>
      </c>
      <c r="E80" s="185">
        <v>1189522</v>
      </c>
      <c r="F80" s="185">
        <v>1232778</v>
      </c>
      <c r="G80" s="185">
        <v>1307310</v>
      </c>
      <c r="H80" s="195">
        <v>668562</v>
      </c>
      <c r="I80" s="196">
        <v>841733</v>
      </c>
      <c r="J80" s="197">
        <v>934267</v>
      </c>
      <c r="K80" s="187">
        <v>520960</v>
      </c>
      <c r="L80" s="186">
        <v>391045</v>
      </c>
      <c r="M80" s="188">
        <v>373043</v>
      </c>
      <c r="N80" s="195">
        <v>942054</v>
      </c>
      <c r="O80" s="196">
        <v>1105982</v>
      </c>
      <c r="P80" s="197">
        <v>1219599</v>
      </c>
      <c r="Q80" s="187">
        <v>101104</v>
      </c>
      <c r="R80" s="186">
        <v>188774</v>
      </c>
      <c r="S80" s="188">
        <v>105277</v>
      </c>
      <c r="T80" s="195">
        <v>91979</v>
      </c>
      <c r="U80" s="196">
        <v>173171</v>
      </c>
      <c r="V80" s="197">
        <v>92534</v>
      </c>
    </row>
    <row r="81" spans="1:22" x14ac:dyDescent="0.25">
      <c r="A81" s="184" t="s">
        <v>170</v>
      </c>
      <c r="B81" s="193">
        <v>14</v>
      </c>
      <c r="C81" s="194">
        <v>24</v>
      </c>
      <c r="D81" s="194">
        <v>26</v>
      </c>
      <c r="E81" s="185">
        <v>8335</v>
      </c>
      <c r="F81" s="185">
        <v>27589</v>
      </c>
      <c r="G81" s="185">
        <v>143594</v>
      </c>
      <c r="H81" s="195">
        <v>-43431</v>
      </c>
      <c r="I81" s="196">
        <v>12320</v>
      </c>
      <c r="J81" s="197">
        <v>32020</v>
      </c>
      <c r="K81" s="187">
        <v>51766</v>
      </c>
      <c r="L81" s="186">
        <v>15269</v>
      </c>
      <c r="M81" s="188">
        <v>111574</v>
      </c>
      <c r="N81" s="195">
        <v>174400</v>
      </c>
      <c r="O81" s="196">
        <v>246609</v>
      </c>
      <c r="P81" s="197">
        <v>254382</v>
      </c>
      <c r="Q81" s="187">
        <v>-3816</v>
      </c>
      <c r="R81" s="186">
        <v>57795</v>
      </c>
      <c r="S81" s="188">
        <v>21667</v>
      </c>
      <c r="T81" s="195">
        <v>-3816</v>
      </c>
      <c r="U81" s="196">
        <v>55751</v>
      </c>
      <c r="V81" s="197">
        <v>19700</v>
      </c>
    </row>
    <row r="82" spans="1:22" x14ac:dyDescent="0.25">
      <c r="A82" s="184" t="s">
        <v>210</v>
      </c>
      <c r="B82" s="193">
        <v>19</v>
      </c>
      <c r="C82" s="194">
        <v>19</v>
      </c>
      <c r="D82" s="194">
        <v>20</v>
      </c>
      <c r="E82" s="185">
        <v>2376705</v>
      </c>
      <c r="F82" s="185">
        <v>2362364</v>
      </c>
      <c r="G82" s="185">
        <v>2376342</v>
      </c>
      <c r="H82" s="195">
        <v>2070466</v>
      </c>
      <c r="I82" s="196">
        <v>2053988</v>
      </c>
      <c r="J82" s="197">
        <v>2063838</v>
      </c>
      <c r="K82" s="187">
        <v>306239</v>
      </c>
      <c r="L82" s="186">
        <v>308376</v>
      </c>
      <c r="M82" s="188">
        <v>312504</v>
      </c>
      <c r="N82" s="195">
        <v>311085</v>
      </c>
      <c r="O82" s="196">
        <v>351799</v>
      </c>
      <c r="P82" s="197">
        <v>389804</v>
      </c>
      <c r="Q82" s="187">
        <v>-62506</v>
      </c>
      <c r="R82" s="186">
        <v>-16481</v>
      </c>
      <c r="S82" s="188">
        <v>10326</v>
      </c>
      <c r="T82" s="195">
        <v>-62810</v>
      </c>
      <c r="U82" s="196">
        <v>-16478</v>
      </c>
      <c r="V82" s="197">
        <v>10330</v>
      </c>
    </row>
    <row r="83" spans="1:22" x14ac:dyDescent="0.25">
      <c r="A83" s="184" t="s">
        <v>236</v>
      </c>
      <c r="B83" s="193">
        <v>196</v>
      </c>
      <c r="C83" s="194">
        <v>195</v>
      </c>
      <c r="D83" s="194">
        <v>187</v>
      </c>
      <c r="E83" s="185">
        <v>64068896</v>
      </c>
      <c r="F83" s="185">
        <v>62869370</v>
      </c>
      <c r="G83" s="185">
        <v>62326540</v>
      </c>
      <c r="H83" s="195">
        <v>9435771</v>
      </c>
      <c r="I83" s="196">
        <v>8956329</v>
      </c>
      <c r="J83" s="197">
        <v>9623788</v>
      </c>
      <c r="K83" s="187">
        <v>54633125</v>
      </c>
      <c r="L83" s="186">
        <v>53913041</v>
      </c>
      <c r="M83" s="188">
        <v>52702752</v>
      </c>
      <c r="N83" s="195">
        <v>4090861</v>
      </c>
      <c r="O83" s="196">
        <v>3952796</v>
      </c>
      <c r="P83" s="197">
        <v>5088973</v>
      </c>
      <c r="Q83" s="187">
        <v>-403662</v>
      </c>
      <c r="R83" s="186">
        <v>-453600</v>
      </c>
      <c r="S83" s="188">
        <v>453674</v>
      </c>
      <c r="T83" s="195">
        <v>-162577</v>
      </c>
      <c r="U83" s="196">
        <v>-251822</v>
      </c>
      <c r="V83" s="197">
        <v>598976</v>
      </c>
    </row>
    <row r="84" spans="1:22" x14ac:dyDescent="0.25">
      <c r="A84" s="198" t="s">
        <v>284</v>
      </c>
      <c r="B84" s="199">
        <v>15</v>
      </c>
      <c r="C84" s="200">
        <v>16</v>
      </c>
      <c r="D84" s="200">
        <v>15</v>
      </c>
      <c r="E84" s="201">
        <v>51760</v>
      </c>
      <c r="F84" s="201">
        <v>43032</v>
      </c>
      <c r="G84" s="201">
        <v>23086</v>
      </c>
      <c r="H84" s="205">
        <v>34761</v>
      </c>
      <c r="I84" s="206">
        <v>2436</v>
      </c>
      <c r="J84" s="207">
        <v>-2604</v>
      </c>
      <c r="K84" s="205">
        <v>16999</v>
      </c>
      <c r="L84" s="206">
        <v>40596</v>
      </c>
      <c r="M84" s="207">
        <v>25690</v>
      </c>
      <c r="N84" s="205">
        <v>141506</v>
      </c>
      <c r="O84" s="206">
        <v>189239</v>
      </c>
      <c r="P84" s="207">
        <v>180523</v>
      </c>
      <c r="Q84" s="205">
        <v>-34028</v>
      </c>
      <c r="R84" s="206">
        <v>-30317</v>
      </c>
      <c r="S84" s="207">
        <v>-5038</v>
      </c>
      <c r="T84" s="205">
        <v>-34028</v>
      </c>
      <c r="U84" s="206">
        <v>-30384</v>
      </c>
      <c r="V84" s="207">
        <v>-5038</v>
      </c>
    </row>
    <row r="85" spans="1:22" x14ac:dyDescent="0.25">
      <c r="A85" s="184" t="s">
        <v>69</v>
      </c>
      <c r="B85" s="193">
        <v>15</v>
      </c>
      <c r="C85" s="194">
        <v>16</v>
      </c>
      <c r="D85" s="194">
        <v>15</v>
      </c>
      <c r="E85" s="185">
        <v>51760</v>
      </c>
      <c r="F85" s="185">
        <v>43032</v>
      </c>
      <c r="G85" s="185">
        <v>23086</v>
      </c>
      <c r="H85" s="195">
        <v>34761</v>
      </c>
      <c r="I85" s="196">
        <v>2436</v>
      </c>
      <c r="J85" s="197">
        <v>-2604</v>
      </c>
      <c r="K85" s="187">
        <v>16999</v>
      </c>
      <c r="L85" s="186">
        <v>40596</v>
      </c>
      <c r="M85" s="188">
        <v>25690</v>
      </c>
      <c r="N85" s="195">
        <v>141506</v>
      </c>
      <c r="O85" s="196">
        <v>189239</v>
      </c>
      <c r="P85" s="197">
        <v>180523</v>
      </c>
      <c r="Q85" s="187">
        <v>-34028</v>
      </c>
      <c r="R85" s="186">
        <v>-30317</v>
      </c>
      <c r="S85" s="188">
        <v>-5038</v>
      </c>
      <c r="T85" s="195">
        <v>-34028</v>
      </c>
      <c r="U85" s="196">
        <v>-30384</v>
      </c>
      <c r="V85" s="197">
        <v>-5038</v>
      </c>
    </row>
    <row r="86" spans="1:22" x14ac:dyDescent="0.25">
      <c r="A86" s="198" t="s">
        <v>285</v>
      </c>
      <c r="B86" s="199">
        <v>46</v>
      </c>
      <c r="C86" s="200">
        <v>44</v>
      </c>
      <c r="D86" s="200">
        <v>48</v>
      </c>
      <c r="E86" s="201">
        <v>1330730</v>
      </c>
      <c r="F86" s="201">
        <v>1653507</v>
      </c>
      <c r="G86" s="201">
        <v>1650788</v>
      </c>
      <c r="H86" s="205">
        <v>-809428</v>
      </c>
      <c r="I86" s="206">
        <v>-526658</v>
      </c>
      <c r="J86" s="207">
        <v>-540613</v>
      </c>
      <c r="K86" s="205">
        <v>2140158</v>
      </c>
      <c r="L86" s="206">
        <v>2180165</v>
      </c>
      <c r="M86" s="207">
        <v>2191401</v>
      </c>
      <c r="N86" s="205">
        <v>541472</v>
      </c>
      <c r="O86" s="206">
        <v>559696</v>
      </c>
      <c r="P86" s="207">
        <v>628266</v>
      </c>
      <c r="Q86" s="205">
        <v>32097</v>
      </c>
      <c r="R86" s="206">
        <v>-89555</v>
      </c>
      <c r="S86" s="207">
        <v>-10334</v>
      </c>
      <c r="T86" s="205">
        <v>30972</v>
      </c>
      <c r="U86" s="206">
        <v>-90934</v>
      </c>
      <c r="V86" s="207">
        <v>-13955</v>
      </c>
    </row>
    <row r="87" spans="1:22" x14ac:dyDescent="0.25">
      <c r="A87" s="184" t="s">
        <v>75</v>
      </c>
      <c r="B87" s="193">
        <v>46</v>
      </c>
      <c r="C87" s="194">
        <v>44</v>
      </c>
      <c r="D87" s="194">
        <v>48</v>
      </c>
      <c r="E87" s="185">
        <v>1330730</v>
      </c>
      <c r="F87" s="185">
        <v>1653507</v>
      </c>
      <c r="G87" s="185">
        <v>1650788</v>
      </c>
      <c r="H87" s="195">
        <v>-809428</v>
      </c>
      <c r="I87" s="196">
        <v>-526658</v>
      </c>
      <c r="J87" s="197">
        <v>-540613</v>
      </c>
      <c r="K87" s="187">
        <v>2140158</v>
      </c>
      <c r="L87" s="186">
        <v>2180165</v>
      </c>
      <c r="M87" s="188">
        <v>2191401</v>
      </c>
      <c r="N87" s="195">
        <v>541472</v>
      </c>
      <c r="O87" s="196">
        <v>559696</v>
      </c>
      <c r="P87" s="197">
        <v>628266</v>
      </c>
      <c r="Q87" s="187">
        <v>32097</v>
      </c>
      <c r="R87" s="186">
        <v>-89555</v>
      </c>
      <c r="S87" s="188">
        <v>-10334</v>
      </c>
      <c r="T87" s="195">
        <v>30972</v>
      </c>
      <c r="U87" s="196">
        <v>-90934</v>
      </c>
      <c r="V87" s="197">
        <v>-13955</v>
      </c>
    </row>
    <row r="88" spans="1:22" x14ac:dyDescent="0.25">
      <c r="A88" s="198" t="s">
        <v>268</v>
      </c>
      <c r="B88" s="199">
        <v>423</v>
      </c>
      <c r="C88" s="200">
        <v>422</v>
      </c>
      <c r="D88" s="200">
        <v>463</v>
      </c>
      <c r="E88" s="201">
        <v>13643118</v>
      </c>
      <c r="F88" s="201">
        <v>14806159</v>
      </c>
      <c r="G88" s="201">
        <v>14938244</v>
      </c>
      <c r="H88" s="205">
        <v>3315344</v>
      </c>
      <c r="I88" s="206">
        <v>5284577</v>
      </c>
      <c r="J88" s="207">
        <v>5573799</v>
      </c>
      <c r="K88" s="205">
        <v>10327774</v>
      </c>
      <c r="L88" s="206">
        <v>9521582</v>
      </c>
      <c r="M88" s="207">
        <v>9364445</v>
      </c>
      <c r="N88" s="205">
        <v>6337552</v>
      </c>
      <c r="O88" s="206">
        <v>7193003</v>
      </c>
      <c r="P88" s="207">
        <v>7548985</v>
      </c>
      <c r="Q88" s="205">
        <v>560549</v>
      </c>
      <c r="R88" s="206">
        <v>511307</v>
      </c>
      <c r="S88" s="207">
        <v>236064</v>
      </c>
      <c r="T88" s="205">
        <v>426823</v>
      </c>
      <c r="U88" s="206">
        <v>390243</v>
      </c>
      <c r="V88" s="207">
        <v>217860</v>
      </c>
    </row>
    <row r="89" spans="1:22" x14ac:dyDescent="0.25">
      <c r="A89" s="184" t="s">
        <v>36</v>
      </c>
      <c r="B89" s="193">
        <v>13</v>
      </c>
      <c r="C89" s="194">
        <v>11</v>
      </c>
      <c r="D89" s="194">
        <v>14</v>
      </c>
      <c r="E89" s="185">
        <v>231593</v>
      </c>
      <c r="F89" s="185">
        <v>239330</v>
      </c>
      <c r="G89" s="185">
        <v>240946</v>
      </c>
      <c r="H89" s="195">
        <v>-100959</v>
      </c>
      <c r="I89" s="196">
        <v>-16364</v>
      </c>
      <c r="J89" s="197">
        <v>36617</v>
      </c>
      <c r="K89" s="187">
        <v>332552</v>
      </c>
      <c r="L89" s="186">
        <v>255694</v>
      </c>
      <c r="M89" s="188">
        <v>204329</v>
      </c>
      <c r="N89" s="195">
        <v>241434</v>
      </c>
      <c r="O89" s="196">
        <v>224549</v>
      </c>
      <c r="P89" s="197">
        <v>247551</v>
      </c>
      <c r="Q89" s="187">
        <v>52161</v>
      </c>
      <c r="R89" s="186">
        <v>87873</v>
      </c>
      <c r="S89" s="188">
        <v>55272</v>
      </c>
      <c r="T89" s="195">
        <v>52161</v>
      </c>
      <c r="U89" s="196">
        <v>83935</v>
      </c>
      <c r="V89" s="197">
        <v>52981</v>
      </c>
    </row>
    <row r="90" spans="1:22" x14ac:dyDescent="0.25">
      <c r="A90" s="184" t="s">
        <v>40</v>
      </c>
      <c r="B90" s="193">
        <v>167</v>
      </c>
      <c r="C90" s="194">
        <v>172</v>
      </c>
      <c r="D90" s="194">
        <v>196</v>
      </c>
      <c r="E90" s="185">
        <v>2577988</v>
      </c>
      <c r="F90" s="185">
        <v>2410029</v>
      </c>
      <c r="G90" s="185">
        <v>2403804</v>
      </c>
      <c r="H90" s="195">
        <v>130343</v>
      </c>
      <c r="I90" s="196">
        <v>385358</v>
      </c>
      <c r="J90" s="197">
        <v>444942</v>
      </c>
      <c r="K90" s="187">
        <v>2447645</v>
      </c>
      <c r="L90" s="186">
        <v>2024671</v>
      </c>
      <c r="M90" s="188">
        <v>1958862</v>
      </c>
      <c r="N90" s="195">
        <v>2365899</v>
      </c>
      <c r="O90" s="196">
        <v>2814896</v>
      </c>
      <c r="P90" s="197">
        <v>3102296</v>
      </c>
      <c r="Q90" s="187">
        <v>324911</v>
      </c>
      <c r="R90" s="186">
        <v>358200</v>
      </c>
      <c r="S90" s="188">
        <v>59775</v>
      </c>
      <c r="T90" s="195">
        <v>198332</v>
      </c>
      <c r="U90" s="196">
        <v>255016</v>
      </c>
      <c r="V90" s="197">
        <v>59584</v>
      </c>
    </row>
    <row r="91" spans="1:22" x14ac:dyDescent="0.25">
      <c r="A91" s="184" t="s">
        <v>54</v>
      </c>
      <c r="B91" s="193">
        <v>29</v>
      </c>
      <c r="C91" s="194">
        <v>25</v>
      </c>
      <c r="D91" s="194">
        <v>33</v>
      </c>
      <c r="E91" s="185">
        <v>363099</v>
      </c>
      <c r="F91" s="185">
        <v>521790</v>
      </c>
      <c r="G91" s="185">
        <v>364382</v>
      </c>
      <c r="H91" s="195">
        <v>-212599</v>
      </c>
      <c r="I91" s="196">
        <v>-8177</v>
      </c>
      <c r="J91" s="197">
        <v>-182879</v>
      </c>
      <c r="K91" s="187">
        <v>575698</v>
      </c>
      <c r="L91" s="186">
        <v>529967</v>
      </c>
      <c r="M91" s="188">
        <v>547261</v>
      </c>
      <c r="N91" s="195">
        <v>496695</v>
      </c>
      <c r="O91" s="196">
        <v>481360</v>
      </c>
      <c r="P91" s="197">
        <v>500003</v>
      </c>
      <c r="Q91" s="187">
        <v>60589</v>
      </c>
      <c r="R91" s="186">
        <v>65237</v>
      </c>
      <c r="S91" s="188">
        <v>-30570</v>
      </c>
      <c r="T91" s="195">
        <v>59474</v>
      </c>
      <c r="U91" s="196">
        <v>60740</v>
      </c>
      <c r="V91" s="197">
        <v>-31019</v>
      </c>
    </row>
    <row r="92" spans="1:22" x14ac:dyDescent="0.25">
      <c r="A92" s="184" t="s">
        <v>83</v>
      </c>
      <c r="B92" s="193">
        <v>30</v>
      </c>
      <c r="C92" s="194">
        <v>34</v>
      </c>
      <c r="D92" s="194">
        <v>32</v>
      </c>
      <c r="E92" s="185">
        <v>486291</v>
      </c>
      <c r="F92" s="185">
        <v>1491702</v>
      </c>
      <c r="G92" s="185">
        <v>1422514</v>
      </c>
      <c r="H92" s="195">
        <v>-1364310</v>
      </c>
      <c r="I92" s="196">
        <v>-264941</v>
      </c>
      <c r="J92" s="197">
        <v>-254822</v>
      </c>
      <c r="K92" s="187">
        <v>1850601</v>
      </c>
      <c r="L92" s="186">
        <v>1756643</v>
      </c>
      <c r="M92" s="188">
        <v>1677336</v>
      </c>
      <c r="N92" s="195">
        <v>364834</v>
      </c>
      <c r="O92" s="196">
        <v>505288</v>
      </c>
      <c r="P92" s="197">
        <v>540056</v>
      </c>
      <c r="Q92" s="187">
        <v>-23933</v>
      </c>
      <c r="R92" s="186">
        <v>-18879</v>
      </c>
      <c r="S92" s="188">
        <v>-68475</v>
      </c>
      <c r="T92" s="195">
        <v>-23933</v>
      </c>
      <c r="U92" s="196">
        <v>-18879</v>
      </c>
      <c r="V92" s="197">
        <v>-68475</v>
      </c>
    </row>
    <row r="93" spans="1:22" x14ac:dyDescent="0.25">
      <c r="A93" s="184" t="s">
        <v>131</v>
      </c>
      <c r="B93" s="193">
        <v>32</v>
      </c>
      <c r="C93" s="194">
        <v>33</v>
      </c>
      <c r="D93" s="194">
        <v>33</v>
      </c>
      <c r="E93" s="185">
        <v>49247</v>
      </c>
      <c r="F93" s="185">
        <v>30315</v>
      </c>
      <c r="G93" s="185">
        <v>38947</v>
      </c>
      <c r="H93" s="195">
        <v>-952524</v>
      </c>
      <c r="I93" s="196">
        <v>-810955</v>
      </c>
      <c r="J93" s="197">
        <v>-737562</v>
      </c>
      <c r="K93" s="187">
        <v>1001771</v>
      </c>
      <c r="L93" s="186">
        <v>841270</v>
      </c>
      <c r="M93" s="188">
        <v>776509</v>
      </c>
      <c r="N93" s="195">
        <v>358483</v>
      </c>
      <c r="O93" s="196">
        <v>508386</v>
      </c>
      <c r="P93" s="197">
        <v>482457</v>
      </c>
      <c r="Q93" s="187">
        <v>-29360</v>
      </c>
      <c r="R93" s="186">
        <v>141519</v>
      </c>
      <c r="S93" s="188">
        <v>73392</v>
      </c>
      <c r="T93" s="195">
        <v>-29470</v>
      </c>
      <c r="U93" s="196">
        <v>141569</v>
      </c>
      <c r="V93" s="197">
        <v>73392</v>
      </c>
    </row>
    <row r="94" spans="1:22" x14ac:dyDescent="0.25">
      <c r="A94" s="184" t="s">
        <v>139</v>
      </c>
      <c r="B94" s="193">
        <v>32</v>
      </c>
      <c r="C94" s="194">
        <v>32</v>
      </c>
      <c r="D94" s="194">
        <v>33</v>
      </c>
      <c r="E94" s="185">
        <v>289494</v>
      </c>
      <c r="F94" s="185">
        <v>267658</v>
      </c>
      <c r="G94" s="185">
        <v>418805</v>
      </c>
      <c r="H94" s="195">
        <v>-565119</v>
      </c>
      <c r="I94" s="196">
        <v>-462349</v>
      </c>
      <c r="J94" s="197">
        <v>-239281</v>
      </c>
      <c r="K94" s="187">
        <v>854613</v>
      </c>
      <c r="L94" s="186">
        <v>730007</v>
      </c>
      <c r="M94" s="188">
        <v>658086</v>
      </c>
      <c r="N94" s="195">
        <v>639279</v>
      </c>
      <c r="O94" s="196">
        <v>711760</v>
      </c>
      <c r="P94" s="197">
        <v>975196</v>
      </c>
      <c r="Q94" s="187">
        <v>149338</v>
      </c>
      <c r="R94" s="186">
        <v>102771</v>
      </c>
      <c r="S94" s="188">
        <v>223068</v>
      </c>
      <c r="T94" s="195">
        <v>149338</v>
      </c>
      <c r="U94" s="196">
        <v>102771</v>
      </c>
      <c r="V94" s="197">
        <v>223068</v>
      </c>
    </row>
    <row r="95" spans="1:22" x14ac:dyDescent="0.25">
      <c r="A95" s="184" t="s">
        <v>218</v>
      </c>
      <c r="B95" s="193">
        <v>120</v>
      </c>
      <c r="C95" s="194">
        <v>115</v>
      </c>
      <c r="D95" s="194">
        <v>122</v>
      </c>
      <c r="E95" s="185">
        <v>9645406</v>
      </c>
      <c r="F95" s="185">
        <v>9845335</v>
      </c>
      <c r="G95" s="185">
        <v>10048846</v>
      </c>
      <c r="H95" s="195">
        <v>6380512</v>
      </c>
      <c r="I95" s="196">
        <v>6462005</v>
      </c>
      <c r="J95" s="197">
        <v>6506784</v>
      </c>
      <c r="K95" s="187">
        <v>3264894</v>
      </c>
      <c r="L95" s="186">
        <v>3383330</v>
      </c>
      <c r="M95" s="188">
        <v>3542062</v>
      </c>
      <c r="N95" s="195">
        <v>1870928</v>
      </c>
      <c r="O95" s="196">
        <v>1946764</v>
      </c>
      <c r="P95" s="197">
        <v>1701426</v>
      </c>
      <c r="Q95" s="187">
        <v>26843</v>
      </c>
      <c r="R95" s="186">
        <v>-225414</v>
      </c>
      <c r="S95" s="188">
        <v>-76398</v>
      </c>
      <c r="T95" s="195">
        <v>20921</v>
      </c>
      <c r="U95" s="196">
        <v>-234909</v>
      </c>
      <c r="V95" s="197">
        <v>-91671</v>
      </c>
    </row>
    <row r="96" spans="1:22" x14ac:dyDescent="0.25">
      <c r="A96" s="198" t="s">
        <v>281</v>
      </c>
      <c r="B96" s="199">
        <v>34</v>
      </c>
      <c r="C96" s="200">
        <v>35</v>
      </c>
      <c r="D96" s="200">
        <v>44</v>
      </c>
      <c r="E96" s="201">
        <v>487790</v>
      </c>
      <c r="F96" s="201">
        <v>691580</v>
      </c>
      <c r="G96" s="201">
        <v>891157</v>
      </c>
      <c r="H96" s="205">
        <v>330150</v>
      </c>
      <c r="I96" s="206">
        <v>387862</v>
      </c>
      <c r="J96" s="207">
        <v>410232</v>
      </c>
      <c r="K96" s="205">
        <v>157640</v>
      </c>
      <c r="L96" s="206">
        <v>303718</v>
      </c>
      <c r="M96" s="207">
        <v>480925</v>
      </c>
      <c r="N96" s="205">
        <v>640630</v>
      </c>
      <c r="O96" s="206">
        <v>674171</v>
      </c>
      <c r="P96" s="207">
        <v>890696</v>
      </c>
      <c r="Q96" s="205">
        <v>32943</v>
      </c>
      <c r="R96" s="206">
        <v>67848</v>
      </c>
      <c r="S96" s="207">
        <v>26677</v>
      </c>
      <c r="T96" s="205">
        <v>25027</v>
      </c>
      <c r="U96" s="206">
        <v>57709</v>
      </c>
      <c r="V96" s="207">
        <v>22270</v>
      </c>
    </row>
    <row r="97" spans="1:22" x14ac:dyDescent="0.25">
      <c r="A97" s="184" t="s">
        <v>113</v>
      </c>
      <c r="B97" s="193">
        <v>25</v>
      </c>
      <c r="C97" s="194">
        <v>26</v>
      </c>
      <c r="D97" s="194">
        <v>33</v>
      </c>
      <c r="E97" s="185">
        <v>445303</v>
      </c>
      <c r="F97" s="185">
        <v>606706</v>
      </c>
      <c r="G97" s="185">
        <v>814789</v>
      </c>
      <c r="H97" s="195">
        <v>333456</v>
      </c>
      <c r="I97" s="196">
        <v>334068</v>
      </c>
      <c r="J97" s="197">
        <v>342820</v>
      </c>
      <c r="K97" s="187">
        <v>111847</v>
      </c>
      <c r="L97" s="186">
        <v>272638</v>
      </c>
      <c r="M97" s="188">
        <v>471969</v>
      </c>
      <c r="N97" s="195">
        <v>465870</v>
      </c>
      <c r="O97" s="196">
        <v>431787</v>
      </c>
      <c r="P97" s="197">
        <v>664675</v>
      </c>
      <c r="Q97" s="187">
        <v>13232</v>
      </c>
      <c r="R97" s="186">
        <v>2574</v>
      </c>
      <c r="S97" s="188">
        <v>9029</v>
      </c>
      <c r="T97" s="195">
        <v>9173</v>
      </c>
      <c r="U97" s="196">
        <v>611</v>
      </c>
      <c r="V97" s="197">
        <v>8752</v>
      </c>
    </row>
    <row r="98" spans="1:22" x14ac:dyDescent="0.25">
      <c r="A98" s="184" t="s">
        <v>157</v>
      </c>
      <c r="B98" s="193">
        <v>9</v>
      </c>
      <c r="C98" s="194">
        <v>9</v>
      </c>
      <c r="D98" s="194">
        <v>11</v>
      </c>
      <c r="E98" s="185">
        <v>42487</v>
      </c>
      <c r="F98" s="185">
        <v>84874</v>
      </c>
      <c r="G98" s="185">
        <v>76368</v>
      </c>
      <c r="H98" s="195">
        <v>-3306</v>
      </c>
      <c r="I98" s="196">
        <v>53794</v>
      </c>
      <c r="J98" s="197">
        <v>67412</v>
      </c>
      <c r="K98" s="187">
        <v>45793</v>
      </c>
      <c r="L98" s="186">
        <v>31080</v>
      </c>
      <c r="M98" s="188">
        <v>8956</v>
      </c>
      <c r="N98" s="195">
        <v>174760</v>
      </c>
      <c r="O98" s="196">
        <v>242384</v>
      </c>
      <c r="P98" s="197">
        <v>226021</v>
      </c>
      <c r="Q98" s="187">
        <v>19711</v>
      </c>
      <c r="R98" s="186">
        <v>65274</v>
      </c>
      <c r="S98" s="188">
        <v>17648</v>
      </c>
      <c r="T98" s="195">
        <v>15854</v>
      </c>
      <c r="U98" s="196">
        <v>57098</v>
      </c>
      <c r="V98" s="197">
        <v>13518</v>
      </c>
    </row>
    <row r="99" spans="1:22" x14ac:dyDescent="0.25">
      <c r="A99" s="198" t="s">
        <v>262</v>
      </c>
      <c r="B99" s="199">
        <v>2283</v>
      </c>
      <c r="C99" s="200">
        <v>2404</v>
      </c>
      <c r="D99" s="200">
        <v>2634</v>
      </c>
      <c r="E99" s="201">
        <v>127997639</v>
      </c>
      <c r="F99" s="201">
        <v>124463532</v>
      </c>
      <c r="G99" s="201">
        <v>126174207</v>
      </c>
      <c r="H99" s="205">
        <v>90756194</v>
      </c>
      <c r="I99" s="206">
        <v>88445097</v>
      </c>
      <c r="J99" s="207">
        <v>80628907</v>
      </c>
      <c r="K99" s="205">
        <v>37241445</v>
      </c>
      <c r="L99" s="206">
        <v>36018435</v>
      </c>
      <c r="M99" s="207">
        <v>45545300</v>
      </c>
      <c r="N99" s="205">
        <v>56709273</v>
      </c>
      <c r="O99" s="206">
        <v>60080522</v>
      </c>
      <c r="P99" s="207">
        <v>59096431</v>
      </c>
      <c r="Q99" s="205">
        <v>3091508</v>
      </c>
      <c r="R99" s="206">
        <v>2077536</v>
      </c>
      <c r="S99" s="207">
        <v>-2785471</v>
      </c>
      <c r="T99" s="205">
        <v>1352710</v>
      </c>
      <c r="U99" s="206">
        <v>819312</v>
      </c>
      <c r="V99" s="207">
        <v>-4766286</v>
      </c>
    </row>
    <row r="100" spans="1:22" x14ac:dyDescent="0.25">
      <c r="A100" s="215" t="s">
        <v>10</v>
      </c>
      <c r="B100" s="193">
        <v>51</v>
      </c>
      <c r="C100" s="194">
        <v>54</v>
      </c>
      <c r="D100" s="194">
        <v>55</v>
      </c>
      <c r="E100" s="185">
        <v>1293488</v>
      </c>
      <c r="F100" s="185">
        <v>909783</v>
      </c>
      <c r="G100" s="185">
        <v>1738593</v>
      </c>
      <c r="H100" s="195">
        <v>141633</v>
      </c>
      <c r="I100" s="196">
        <v>74521</v>
      </c>
      <c r="J100" s="197">
        <v>99984</v>
      </c>
      <c r="K100" s="187">
        <v>1151855</v>
      </c>
      <c r="L100" s="186">
        <v>835262</v>
      </c>
      <c r="M100" s="188">
        <v>1638609</v>
      </c>
      <c r="N100" s="195">
        <v>1069091</v>
      </c>
      <c r="O100" s="196">
        <v>1126566</v>
      </c>
      <c r="P100" s="197">
        <v>1144877</v>
      </c>
      <c r="Q100" s="187">
        <v>6689</v>
      </c>
      <c r="R100" s="186">
        <v>-70948</v>
      </c>
      <c r="S100" s="188">
        <v>36376</v>
      </c>
      <c r="T100" s="195">
        <v>6369</v>
      </c>
      <c r="U100" s="196">
        <v>-64083</v>
      </c>
      <c r="V100" s="197">
        <v>34923</v>
      </c>
    </row>
    <row r="101" spans="1:22" x14ac:dyDescent="0.25">
      <c r="A101" s="215" t="s">
        <v>22</v>
      </c>
      <c r="B101" s="193">
        <v>97</v>
      </c>
      <c r="C101" s="194">
        <v>98</v>
      </c>
      <c r="D101" s="194">
        <v>102</v>
      </c>
      <c r="E101" s="185">
        <v>2145434</v>
      </c>
      <c r="F101" s="185">
        <v>2405266</v>
      </c>
      <c r="G101" s="185">
        <v>2604771</v>
      </c>
      <c r="H101" s="195">
        <v>1890751</v>
      </c>
      <c r="I101" s="196">
        <v>1774110</v>
      </c>
      <c r="J101" s="197">
        <v>1963113</v>
      </c>
      <c r="K101" s="187">
        <v>254683</v>
      </c>
      <c r="L101" s="186">
        <v>631156</v>
      </c>
      <c r="M101" s="188">
        <v>641658</v>
      </c>
      <c r="N101" s="195">
        <v>2980264</v>
      </c>
      <c r="O101" s="196">
        <v>3281038</v>
      </c>
      <c r="P101" s="197">
        <v>2840876</v>
      </c>
      <c r="Q101" s="187">
        <v>248508</v>
      </c>
      <c r="R101" s="186">
        <v>230502</v>
      </c>
      <c r="S101" s="188">
        <v>209340</v>
      </c>
      <c r="T101" s="195">
        <v>225630</v>
      </c>
      <c r="U101" s="196">
        <v>205151</v>
      </c>
      <c r="V101" s="197">
        <v>189351</v>
      </c>
    </row>
    <row r="102" spans="1:22" ht="30" x14ac:dyDescent="0.25">
      <c r="A102" s="215" t="s">
        <v>24</v>
      </c>
      <c r="B102" s="193">
        <v>3</v>
      </c>
      <c r="C102" s="194">
        <v>7</v>
      </c>
      <c r="D102" s="194">
        <v>8</v>
      </c>
      <c r="E102" s="185">
        <v>48609</v>
      </c>
      <c r="F102" s="185">
        <v>60040</v>
      </c>
      <c r="G102" s="185">
        <v>111757</v>
      </c>
      <c r="H102" s="195">
        <v>44399</v>
      </c>
      <c r="I102" s="196">
        <v>55859</v>
      </c>
      <c r="J102" s="197">
        <v>98314</v>
      </c>
      <c r="K102" s="187">
        <v>4210</v>
      </c>
      <c r="L102" s="186">
        <v>4181</v>
      </c>
      <c r="M102" s="188">
        <v>13443</v>
      </c>
      <c r="N102" s="195">
        <v>124642</v>
      </c>
      <c r="O102" s="196">
        <v>152463</v>
      </c>
      <c r="P102" s="197">
        <v>249433</v>
      </c>
      <c r="Q102" s="187">
        <v>31297</v>
      </c>
      <c r="R102" s="186">
        <v>12811</v>
      </c>
      <c r="S102" s="188">
        <v>47438</v>
      </c>
      <c r="T102" s="195">
        <v>28488</v>
      </c>
      <c r="U102" s="196">
        <v>11460</v>
      </c>
      <c r="V102" s="197">
        <v>42456</v>
      </c>
    </row>
    <row r="103" spans="1:22" x14ac:dyDescent="0.25">
      <c r="A103" s="215" t="s">
        <v>42</v>
      </c>
      <c r="B103" s="193">
        <v>533</v>
      </c>
      <c r="C103" s="194">
        <v>568</v>
      </c>
      <c r="D103" s="194">
        <v>641</v>
      </c>
      <c r="E103" s="185">
        <v>16728397</v>
      </c>
      <c r="F103" s="185">
        <v>17550330</v>
      </c>
      <c r="G103" s="185">
        <v>18429221</v>
      </c>
      <c r="H103" s="195">
        <v>12690851</v>
      </c>
      <c r="I103" s="196">
        <v>12886404</v>
      </c>
      <c r="J103" s="197">
        <v>11311081</v>
      </c>
      <c r="K103" s="187">
        <v>4037546</v>
      </c>
      <c r="L103" s="186">
        <v>4663926</v>
      </c>
      <c r="M103" s="188">
        <v>7118140</v>
      </c>
      <c r="N103" s="195">
        <v>8783657</v>
      </c>
      <c r="O103" s="196">
        <v>8323602</v>
      </c>
      <c r="P103" s="197">
        <v>8358632</v>
      </c>
      <c r="Q103" s="187">
        <v>244143</v>
      </c>
      <c r="R103" s="186">
        <v>38910</v>
      </c>
      <c r="S103" s="188">
        <v>-1755503</v>
      </c>
      <c r="T103" s="195">
        <v>51083</v>
      </c>
      <c r="U103" s="196">
        <v>36021</v>
      </c>
      <c r="V103" s="197">
        <v>-1755016</v>
      </c>
    </row>
    <row r="104" spans="1:22" x14ac:dyDescent="0.25">
      <c r="A104" s="215" t="s">
        <v>44</v>
      </c>
      <c r="B104" s="193">
        <v>162</v>
      </c>
      <c r="C104" s="194">
        <v>173</v>
      </c>
      <c r="D104" s="194">
        <v>190</v>
      </c>
      <c r="E104" s="185">
        <v>21094234</v>
      </c>
      <c r="F104" s="185">
        <v>18147433</v>
      </c>
      <c r="G104" s="185">
        <v>18248186</v>
      </c>
      <c r="H104" s="195">
        <v>11204192</v>
      </c>
      <c r="I104" s="196">
        <v>8906498</v>
      </c>
      <c r="J104" s="197">
        <v>8821779</v>
      </c>
      <c r="K104" s="187">
        <v>9890042</v>
      </c>
      <c r="L104" s="186">
        <v>9240935</v>
      </c>
      <c r="M104" s="188">
        <v>9426407</v>
      </c>
      <c r="N104" s="195">
        <v>5783356</v>
      </c>
      <c r="O104" s="196">
        <v>6163395</v>
      </c>
      <c r="P104" s="197">
        <v>6250779</v>
      </c>
      <c r="Q104" s="187">
        <v>549600</v>
      </c>
      <c r="R104" s="186">
        <v>489350</v>
      </c>
      <c r="S104" s="188">
        <v>313023</v>
      </c>
      <c r="T104" s="195">
        <v>441078</v>
      </c>
      <c r="U104" s="196">
        <v>698804</v>
      </c>
      <c r="V104" s="197">
        <v>301792</v>
      </c>
    </row>
    <row r="105" spans="1:22" x14ac:dyDescent="0.25">
      <c r="A105" s="215" t="s">
        <v>85</v>
      </c>
      <c r="B105" s="193">
        <v>96</v>
      </c>
      <c r="C105" s="194">
        <v>104</v>
      </c>
      <c r="D105" s="194">
        <v>120</v>
      </c>
      <c r="E105" s="185">
        <v>8309583</v>
      </c>
      <c r="F105" s="185">
        <v>7997850</v>
      </c>
      <c r="G105" s="185">
        <v>7922004</v>
      </c>
      <c r="H105" s="195">
        <v>2174115</v>
      </c>
      <c r="I105" s="196">
        <v>2813928</v>
      </c>
      <c r="J105" s="197">
        <v>3351660</v>
      </c>
      <c r="K105" s="187">
        <v>6135468</v>
      </c>
      <c r="L105" s="186">
        <v>5183922</v>
      </c>
      <c r="M105" s="188">
        <v>4570344</v>
      </c>
      <c r="N105" s="195">
        <v>4762308</v>
      </c>
      <c r="O105" s="196">
        <v>5572328</v>
      </c>
      <c r="P105" s="197">
        <v>5767511</v>
      </c>
      <c r="Q105" s="187">
        <v>23111</v>
      </c>
      <c r="R105" s="186">
        <v>514045</v>
      </c>
      <c r="S105" s="188">
        <v>586667</v>
      </c>
      <c r="T105" s="195">
        <v>3476</v>
      </c>
      <c r="U105" s="196">
        <v>414978</v>
      </c>
      <c r="V105" s="197">
        <v>481273</v>
      </c>
    </row>
    <row r="106" spans="1:22" x14ac:dyDescent="0.25">
      <c r="A106" s="215" t="s">
        <v>133</v>
      </c>
      <c r="B106" s="193">
        <v>80</v>
      </c>
      <c r="C106" s="194">
        <v>53</v>
      </c>
      <c r="D106" s="194">
        <v>79</v>
      </c>
      <c r="E106" s="185">
        <v>986599</v>
      </c>
      <c r="F106" s="185">
        <v>931686</v>
      </c>
      <c r="G106" s="185">
        <v>870544</v>
      </c>
      <c r="H106" s="195">
        <v>866644</v>
      </c>
      <c r="I106" s="196">
        <v>706194</v>
      </c>
      <c r="J106" s="197">
        <v>664077</v>
      </c>
      <c r="K106" s="187">
        <v>119955</v>
      </c>
      <c r="L106" s="186">
        <v>225492</v>
      </c>
      <c r="M106" s="188">
        <v>206467</v>
      </c>
      <c r="N106" s="195">
        <v>1080697</v>
      </c>
      <c r="O106" s="196">
        <v>1909577</v>
      </c>
      <c r="P106" s="197">
        <v>1781749</v>
      </c>
      <c r="Q106" s="187">
        <v>875</v>
      </c>
      <c r="R106" s="186">
        <v>-137006</v>
      </c>
      <c r="S106" s="188">
        <v>-40840</v>
      </c>
      <c r="T106" s="195">
        <v>12341</v>
      </c>
      <c r="U106" s="196">
        <v>-137239</v>
      </c>
      <c r="V106" s="197">
        <v>-42117</v>
      </c>
    </row>
    <row r="107" spans="1:22" x14ac:dyDescent="0.25">
      <c r="A107" s="215" t="s">
        <v>172</v>
      </c>
      <c r="B107" s="193">
        <v>132</v>
      </c>
      <c r="C107" s="194">
        <v>136</v>
      </c>
      <c r="D107" s="194">
        <v>135</v>
      </c>
      <c r="E107" s="185">
        <v>1853882</v>
      </c>
      <c r="F107" s="185">
        <v>1979044</v>
      </c>
      <c r="G107" s="185">
        <v>1444301</v>
      </c>
      <c r="H107" s="195">
        <v>1368917</v>
      </c>
      <c r="I107" s="196">
        <v>1493387</v>
      </c>
      <c r="J107" s="197">
        <v>931702</v>
      </c>
      <c r="K107" s="187">
        <v>484965</v>
      </c>
      <c r="L107" s="186">
        <v>485657</v>
      </c>
      <c r="M107" s="188">
        <v>512599</v>
      </c>
      <c r="N107" s="195">
        <v>2317282</v>
      </c>
      <c r="O107" s="196">
        <v>2534350</v>
      </c>
      <c r="P107" s="197">
        <v>2449180</v>
      </c>
      <c r="Q107" s="187">
        <v>200634</v>
      </c>
      <c r="R107" s="186">
        <v>363879</v>
      </c>
      <c r="S107" s="188">
        <v>430030</v>
      </c>
      <c r="T107" s="195">
        <v>168990</v>
      </c>
      <c r="U107" s="196">
        <v>239567</v>
      </c>
      <c r="V107" s="197">
        <v>71551</v>
      </c>
    </row>
    <row r="108" spans="1:22" x14ac:dyDescent="0.25">
      <c r="A108" s="215" t="s">
        <v>181</v>
      </c>
      <c r="B108" s="193">
        <v>80</v>
      </c>
      <c r="C108" s="194">
        <v>101</v>
      </c>
      <c r="D108" s="194">
        <v>111</v>
      </c>
      <c r="E108" s="185">
        <v>2337080</v>
      </c>
      <c r="F108" s="185">
        <v>3466384</v>
      </c>
      <c r="G108" s="185">
        <v>3754258</v>
      </c>
      <c r="H108" s="195">
        <v>1816503</v>
      </c>
      <c r="I108" s="196">
        <v>1821000</v>
      </c>
      <c r="J108" s="197">
        <v>1593980</v>
      </c>
      <c r="K108" s="187">
        <v>520577</v>
      </c>
      <c r="L108" s="186">
        <v>1645384</v>
      </c>
      <c r="M108" s="188">
        <v>2160278</v>
      </c>
      <c r="N108" s="195">
        <v>1845312</v>
      </c>
      <c r="O108" s="196">
        <v>1913703</v>
      </c>
      <c r="P108" s="197">
        <v>2015288</v>
      </c>
      <c r="Q108" s="187">
        <v>256111</v>
      </c>
      <c r="R108" s="186">
        <v>35024</v>
      </c>
      <c r="S108" s="188">
        <v>53728</v>
      </c>
      <c r="T108" s="195">
        <v>231401</v>
      </c>
      <c r="U108" s="196">
        <v>4496</v>
      </c>
      <c r="V108" s="197">
        <v>48279</v>
      </c>
    </row>
    <row r="109" spans="1:22" x14ac:dyDescent="0.25">
      <c r="A109" s="215" t="s">
        <v>186</v>
      </c>
      <c r="B109" s="193">
        <v>98</v>
      </c>
      <c r="C109" s="194">
        <v>136</v>
      </c>
      <c r="D109" s="194">
        <v>209</v>
      </c>
      <c r="E109" s="185">
        <v>5672573</v>
      </c>
      <c r="F109" s="185">
        <v>6345792</v>
      </c>
      <c r="G109" s="185">
        <v>7120067</v>
      </c>
      <c r="H109" s="195">
        <v>4303474</v>
      </c>
      <c r="I109" s="196">
        <v>4369742</v>
      </c>
      <c r="J109" s="197">
        <v>4256046</v>
      </c>
      <c r="K109" s="187">
        <v>1369099</v>
      </c>
      <c r="L109" s="186">
        <v>1976050</v>
      </c>
      <c r="M109" s="188">
        <v>2864021</v>
      </c>
      <c r="N109" s="195">
        <v>6463627</v>
      </c>
      <c r="O109" s="196">
        <v>7472524</v>
      </c>
      <c r="P109" s="197">
        <v>9017070</v>
      </c>
      <c r="Q109" s="187">
        <v>36616</v>
      </c>
      <c r="R109" s="186">
        <v>83372</v>
      </c>
      <c r="S109" s="188">
        <v>458381</v>
      </c>
      <c r="T109" s="195">
        <v>25873</v>
      </c>
      <c r="U109" s="196">
        <v>65441</v>
      </c>
      <c r="V109" s="197">
        <v>141192</v>
      </c>
    </row>
    <row r="110" spans="1:22" x14ac:dyDescent="0.25">
      <c r="A110" s="215" t="s">
        <v>204</v>
      </c>
      <c r="B110" s="193">
        <v>103</v>
      </c>
      <c r="C110" s="194">
        <v>108</v>
      </c>
      <c r="D110" s="194">
        <v>109</v>
      </c>
      <c r="E110" s="185">
        <v>4262547</v>
      </c>
      <c r="F110" s="185">
        <v>2262993</v>
      </c>
      <c r="G110" s="185">
        <v>2318093</v>
      </c>
      <c r="H110" s="195">
        <v>1876332</v>
      </c>
      <c r="I110" s="196">
        <v>1829918</v>
      </c>
      <c r="J110" s="197">
        <v>1526269</v>
      </c>
      <c r="K110" s="187">
        <v>2386215</v>
      </c>
      <c r="L110" s="186">
        <v>433075</v>
      </c>
      <c r="M110" s="188">
        <v>791824</v>
      </c>
      <c r="N110" s="195">
        <v>1895961</v>
      </c>
      <c r="O110" s="196">
        <v>2209850</v>
      </c>
      <c r="P110" s="197">
        <v>1767987</v>
      </c>
      <c r="Q110" s="187">
        <v>26399</v>
      </c>
      <c r="R110" s="186">
        <v>-126182</v>
      </c>
      <c r="S110" s="188">
        <v>-282190</v>
      </c>
      <c r="T110" s="195">
        <v>449</v>
      </c>
      <c r="U110" s="196">
        <v>9563</v>
      </c>
      <c r="V110" s="197">
        <v>-303647</v>
      </c>
    </row>
    <row r="111" spans="1:22" x14ac:dyDescent="0.25">
      <c r="A111" s="215" t="s">
        <v>212</v>
      </c>
      <c r="B111" s="193">
        <v>151</v>
      </c>
      <c r="C111" s="194">
        <v>149</v>
      </c>
      <c r="D111" s="194">
        <v>150</v>
      </c>
      <c r="E111" s="185">
        <v>2300199</v>
      </c>
      <c r="F111" s="185">
        <v>2437526</v>
      </c>
      <c r="G111" s="185">
        <v>2509140</v>
      </c>
      <c r="H111" s="195">
        <v>1786668</v>
      </c>
      <c r="I111" s="196">
        <v>1809251</v>
      </c>
      <c r="J111" s="197">
        <v>558154</v>
      </c>
      <c r="K111" s="187">
        <v>513531</v>
      </c>
      <c r="L111" s="186">
        <v>628275</v>
      </c>
      <c r="M111" s="188">
        <v>1950986</v>
      </c>
      <c r="N111" s="195">
        <v>2245673</v>
      </c>
      <c r="O111" s="196">
        <v>2248175</v>
      </c>
      <c r="P111" s="197">
        <v>2345111</v>
      </c>
      <c r="Q111" s="187">
        <v>5517</v>
      </c>
      <c r="R111" s="186">
        <v>22797</v>
      </c>
      <c r="S111" s="188">
        <v>-268538</v>
      </c>
      <c r="T111" s="195">
        <v>3018</v>
      </c>
      <c r="U111" s="196">
        <v>22583</v>
      </c>
      <c r="V111" s="197">
        <v>-272970</v>
      </c>
    </row>
    <row r="112" spans="1:22" x14ac:dyDescent="0.25">
      <c r="A112" s="215" t="s">
        <v>238</v>
      </c>
      <c r="B112" s="193">
        <v>567</v>
      </c>
      <c r="C112" s="194">
        <v>578</v>
      </c>
      <c r="D112" s="194">
        <v>568</v>
      </c>
      <c r="E112" s="185">
        <v>59083403</v>
      </c>
      <c r="F112" s="185">
        <v>57888997</v>
      </c>
      <c r="G112" s="185">
        <v>56874484</v>
      </c>
      <c r="H112" s="195">
        <v>49583361</v>
      </c>
      <c r="I112" s="196">
        <v>48689828</v>
      </c>
      <c r="J112" s="197">
        <v>44118881</v>
      </c>
      <c r="K112" s="187">
        <v>9500042</v>
      </c>
      <c r="L112" s="186">
        <v>9199169</v>
      </c>
      <c r="M112" s="188">
        <v>12755603</v>
      </c>
      <c r="N112" s="195">
        <v>14532118</v>
      </c>
      <c r="O112" s="196">
        <v>13949786</v>
      </c>
      <c r="P112" s="197">
        <v>11999604</v>
      </c>
      <c r="Q112" s="187">
        <v>1313762</v>
      </c>
      <c r="R112" s="186">
        <v>400723</v>
      </c>
      <c r="S112" s="188">
        <v>-2659231</v>
      </c>
      <c r="T112" s="195">
        <v>13594</v>
      </c>
      <c r="U112" s="196">
        <v>-893534</v>
      </c>
      <c r="V112" s="197">
        <v>-3822762</v>
      </c>
    </row>
    <row r="113" spans="1:22" x14ac:dyDescent="0.25">
      <c r="A113" s="184" t="s">
        <v>250</v>
      </c>
      <c r="B113" s="193">
        <v>130</v>
      </c>
      <c r="C113" s="194">
        <v>139</v>
      </c>
      <c r="D113" s="194">
        <v>157</v>
      </c>
      <c r="E113" s="185">
        <v>1881611</v>
      </c>
      <c r="F113" s="185">
        <v>2080408</v>
      </c>
      <c r="G113" s="185">
        <v>2228788</v>
      </c>
      <c r="H113" s="195">
        <v>1008354</v>
      </c>
      <c r="I113" s="196">
        <v>1214457</v>
      </c>
      <c r="J113" s="197">
        <v>1333867</v>
      </c>
      <c r="K113" s="187">
        <v>873257</v>
      </c>
      <c r="L113" s="186">
        <v>865951</v>
      </c>
      <c r="M113" s="188">
        <v>894921</v>
      </c>
      <c r="N113" s="195">
        <v>2825285</v>
      </c>
      <c r="O113" s="196">
        <v>3223165</v>
      </c>
      <c r="P113" s="197">
        <v>3108334</v>
      </c>
      <c r="Q113" s="187">
        <v>148246</v>
      </c>
      <c r="R113" s="186">
        <v>220259</v>
      </c>
      <c r="S113" s="188">
        <v>85848</v>
      </c>
      <c r="T113" s="195">
        <v>140920</v>
      </c>
      <c r="U113" s="196">
        <v>206104</v>
      </c>
      <c r="V113" s="197">
        <v>119409</v>
      </c>
    </row>
    <row r="114" spans="1:22" x14ac:dyDescent="0.25">
      <c r="A114" s="198" t="s">
        <v>264</v>
      </c>
      <c r="B114" s="199">
        <v>183</v>
      </c>
      <c r="C114" s="200">
        <v>194</v>
      </c>
      <c r="D114" s="200">
        <v>203</v>
      </c>
      <c r="E114" s="201">
        <v>5678068</v>
      </c>
      <c r="F114" s="201">
        <v>5599247</v>
      </c>
      <c r="G114" s="201">
        <v>5640108</v>
      </c>
      <c r="H114" s="205">
        <v>2304722</v>
      </c>
      <c r="I114" s="206">
        <v>2017575</v>
      </c>
      <c r="J114" s="207">
        <v>1661972</v>
      </c>
      <c r="K114" s="205">
        <v>3373346</v>
      </c>
      <c r="L114" s="206">
        <v>3581672</v>
      </c>
      <c r="M114" s="207">
        <v>3978136</v>
      </c>
      <c r="N114" s="205">
        <v>1664438</v>
      </c>
      <c r="O114" s="206">
        <v>1718045</v>
      </c>
      <c r="P114" s="207">
        <v>1859657</v>
      </c>
      <c r="Q114" s="205">
        <v>-357976</v>
      </c>
      <c r="R114" s="206">
        <v>-295349</v>
      </c>
      <c r="S114" s="207">
        <v>-345064</v>
      </c>
      <c r="T114" s="205">
        <v>-357595</v>
      </c>
      <c r="U114" s="206">
        <v>-295713</v>
      </c>
      <c r="V114" s="207">
        <v>-342263</v>
      </c>
    </row>
    <row r="115" spans="1:22" x14ac:dyDescent="0.25">
      <c r="A115" s="184" t="s">
        <v>103</v>
      </c>
      <c r="B115" s="193">
        <v>78</v>
      </c>
      <c r="C115" s="194">
        <v>82</v>
      </c>
      <c r="D115" s="194">
        <v>82</v>
      </c>
      <c r="E115" s="185">
        <v>2789096</v>
      </c>
      <c r="F115" s="185">
        <v>2727918</v>
      </c>
      <c r="G115" s="185">
        <v>2743884</v>
      </c>
      <c r="H115" s="195">
        <v>1376084</v>
      </c>
      <c r="I115" s="196">
        <v>1248086</v>
      </c>
      <c r="J115" s="197">
        <v>1154040</v>
      </c>
      <c r="K115" s="187">
        <v>1413012</v>
      </c>
      <c r="L115" s="186">
        <v>1479832</v>
      </c>
      <c r="M115" s="188">
        <v>1589844</v>
      </c>
      <c r="N115" s="195">
        <v>710903</v>
      </c>
      <c r="O115" s="196">
        <v>728138</v>
      </c>
      <c r="P115" s="197">
        <v>776047</v>
      </c>
      <c r="Q115" s="187">
        <v>-44699</v>
      </c>
      <c r="R115" s="186">
        <v>-126877</v>
      </c>
      <c r="S115" s="188">
        <v>-97021</v>
      </c>
      <c r="T115" s="195">
        <v>-45302</v>
      </c>
      <c r="U115" s="196">
        <v>-127997</v>
      </c>
      <c r="V115" s="197">
        <v>-94049</v>
      </c>
    </row>
    <row r="116" spans="1:22" x14ac:dyDescent="0.25">
      <c r="A116" s="184" t="s">
        <v>135</v>
      </c>
      <c r="B116" s="193">
        <v>28</v>
      </c>
      <c r="C116" s="194">
        <v>25</v>
      </c>
      <c r="D116" s="194">
        <v>27</v>
      </c>
      <c r="E116" s="185">
        <v>34123</v>
      </c>
      <c r="F116" s="185">
        <v>17142</v>
      </c>
      <c r="G116" s="185">
        <v>17473</v>
      </c>
      <c r="H116" s="195">
        <v>-577731</v>
      </c>
      <c r="I116" s="196">
        <v>-628230</v>
      </c>
      <c r="J116" s="197">
        <v>-736027</v>
      </c>
      <c r="K116" s="187">
        <v>611854</v>
      </c>
      <c r="L116" s="186">
        <v>645372</v>
      </c>
      <c r="M116" s="188">
        <v>753500</v>
      </c>
      <c r="N116" s="195">
        <v>195661</v>
      </c>
      <c r="O116" s="196">
        <v>222708</v>
      </c>
      <c r="P116" s="197">
        <v>250191</v>
      </c>
      <c r="Q116" s="187">
        <v>-138715</v>
      </c>
      <c r="R116" s="186">
        <v>-52115</v>
      </c>
      <c r="S116" s="188">
        <v>-91651</v>
      </c>
      <c r="T116" s="195">
        <v>-137728</v>
      </c>
      <c r="U116" s="196">
        <v>-50499</v>
      </c>
      <c r="V116" s="197">
        <v>-90923</v>
      </c>
    </row>
    <row r="117" spans="1:22" x14ac:dyDescent="0.25">
      <c r="A117" s="184" t="s">
        <v>192</v>
      </c>
      <c r="B117" s="193">
        <v>9</v>
      </c>
      <c r="C117" s="194">
        <v>11</v>
      </c>
      <c r="D117" s="194">
        <v>14</v>
      </c>
      <c r="E117" s="185">
        <v>41742</v>
      </c>
      <c r="F117" s="185">
        <v>36996</v>
      </c>
      <c r="G117" s="185">
        <v>40567</v>
      </c>
      <c r="H117" s="195">
        <v>-231076</v>
      </c>
      <c r="I117" s="196">
        <v>-216079</v>
      </c>
      <c r="J117" s="197">
        <v>-227885</v>
      </c>
      <c r="K117" s="187">
        <v>272818</v>
      </c>
      <c r="L117" s="186">
        <v>253075</v>
      </c>
      <c r="M117" s="188">
        <v>268452</v>
      </c>
      <c r="N117" s="195">
        <v>93002</v>
      </c>
      <c r="O117" s="196">
        <v>109000</v>
      </c>
      <c r="P117" s="197">
        <v>131385</v>
      </c>
      <c r="Q117" s="187">
        <v>-103463</v>
      </c>
      <c r="R117" s="186">
        <v>-325</v>
      </c>
      <c r="S117" s="188">
        <v>-15336</v>
      </c>
      <c r="T117" s="195">
        <v>-103463</v>
      </c>
      <c r="U117" s="196">
        <v>-325</v>
      </c>
      <c r="V117" s="197">
        <v>-15336</v>
      </c>
    </row>
    <row r="118" spans="1:22" x14ac:dyDescent="0.25">
      <c r="A118" s="184" t="s">
        <v>198</v>
      </c>
      <c r="B118" s="193">
        <v>23</v>
      </c>
      <c r="C118" s="194">
        <v>25</v>
      </c>
      <c r="D118" s="194">
        <v>27</v>
      </c>
      <c r="E118" s="185">
        <v>26868</v>
      </c>
      <c r="F118" s="185">
        <v>19768</v>
      </c>
      <c r="G118" s="185">
        <v>17849</v>
      </c>
      <c r="H118" s="195">
        <v>-317495</v>
      </c>
      <c r="I118" s="196">
        <v>-350654</v>
      </c>
      <c r="J118" s="197">
        <v>-397674</v>
      </c>
      <c r="K118" s="187">
        <v>344363</v>
      </c>
      <c r="L118" s="186">
        <v>370422</v>
      </c>
      <c r="M118" s="188">
        <v>415523</v>
      </c>
      <c r="N118" s="195">
        <v>133047</v>
      </c>
      <c r="O118" s="196">
        <v>183970</v>
      </c>
      <c r="P118" s="197">
        <v>203725</v>
      </c>
      <c r="Q118" s="187">
        <v>-73427</v>
      </c>
      <c r="R118" s="186">
        <v>-33159</v>
      </c>
      <c r="S118" s="188">
        <v>-47021</v>
      </c>
      <c r="T118" s="195">
        <v>-73427</v>
      </c>
      <c r="U118" s="196">
        <v>-33159</v>
      </c>
      <c r="V118" s="197">
        <v>-47021</v>
      </c>
    </row>
    <row r="119" spans="1:22" x14ac:dyDescent="0.25">
      <c r="A119" s="184" t="s">
        <v>240</v>
      </c>
      <c r="B119" s="193">
        <v>45</v>
      </c>
      <c r="C119" s="194">
        <v>51</v>
      </c>
      <c r="D119" s="194">
        <v>53</v>
      </c>
      <c r="E119" s="185">
        <v>2786239</v>
      </c>
      <c r="F119" s="185">
        <v>2797423</v>
      </c>
      <c r="G119" s="185">
        <v>2820335</v>
      </c>
      <c r="H119" s="195">
        <v>2054940</v>
      </c>
      <c r="I119" s="196">
        <v>1964452</v>
      </c>
      <c r="J119" s="197">
        <v>1869518</v>
      </c>
      <c r="K119" s="187">
        <v>731299</v>
      </c>
      <c r="L119" s="186">
        <v>832971</v>
      </c>
      <c r="M119" s="188">
        <v>950817</v>
      </c>
      <c r="N119" s="195">
        <v>531825</v>
      </c>
      <c r="O119" s="196">
        <v>474229</v>
      </c>
      <c r="P119" s="197">
        <v>498309</v>
      </c>
      <c r="Q119" s="187">
        <v>2328</v>
      </c>
      <c r="R119" s="186">
        <v>-82873</v>
      </c>
      <c r="S119" s="188">
        <v>-94035</v>
      </c>
      <c r="T119" s="195">
        <v>2325</v>
      </c>
      <c r="U119" s="196">
        <v>-83733</v>
      </c>
      <c r="V119" s="197">
        <v>-94934</v>
      </c>
    </row>
    <row r="120" spans="1:22" x14ac:dyDescent="0.25">
      <c r="A120" s="198" t="s">
        <v>280</v>
      </c>
      <c r="B120" s="199">
        <v>35</v>
      </c>
      <c r="C120" s="200">
        <v>39</v>
      </c>
      <c r="D120" s="200">
        <v>38</v>
      </c>
      <c r="E120" s="201">
        <v>162491</v>
      </c>
      <c r="F120" s="201">
        <v>123444</v>
      </c>
      <c r="G120" s="201">
        <v>114453</v>
      </c>
      <c r="H120" s="205">
        <v>-113207</v>
      </c>
      <c r="I120" s="206">
        <v>-100334</v>
      </c>
      <c r="J120" s="207">
        <v>-98010</v>
      </c>
      <c r="K120" s="205">
        <v>275698</v>
      </c>
      <c r="L120" s="206">
        <v>223778</v>
      </c>
      <c r="M120" s="207">
        <v>212463</v>
      </c>
      <c r="N120" s="205">
        <v>449243</v>
      </c>
      <c r="O120" s="206">
        <v>521654</v>
      </c>
      <c r="P120" s="207">
        <v>480410</v>
      </c>
      <c r="Q120" s="205">
        <v>58574</v>
      </c>
      <c r="R120" s="206">
        <v>13511</v>
      </c>
      <c r="S120" s="207">
        <v>2334</v>
      </c>
      <c r="T120" s="205">
        <v>52835</v>
      </c>
      <c r="U120" s="206">
        <v>14354</v>
      </c>
      <c r="V120" s="207">
        <v>2384</v>
      </c>
    </row>
    <row r="121" spans="1:22" x14ac:dyDescent="0.25">
      <c r="A121" s="184" t="s">
        <v>77</v>
      </c>
      <c r="B121" s="193">
        <v>31</v>
      </c>
      <c r="C121" s="194">
        <v>29</v>
      </c>
      <c r="D121" s="194">
        <v>31</v>
      </c>
      <c r="E121" s="185">
        <v>145830</v>
      </c>
      <c r="F121" s="185">
        <v>109103</v>
      </c>
      <c r="G121" s="185">
        <v>101271</v>
      </c>
      <c r="H121" s="195">
        <v>-110241</v>
      </c>
      <c r="I121" s="196">
        <v>-102951</v>
      </c>
      <c r="J121" s="197">
        <v>-102323</v>
      </c>
      <c r="K121" s="187">
        <v>256071</v>
      </c>
      <c r="L121" s="186">
        <v>212054</v>
      </c>
      <c r="M121" s="188">
        <v>203594</v>
      </c>
      <c r="N121" s="195">
        <v>395600</v>
      </c>
      <c r="O121" s="196">
        <v>403112</v>
      </c>
      <c r="P121" s="197">
        <v>383327</v>
      </c>
      <c r="Q121" s="187">
        <v>62952</v>
      </c>
      <c r="R121" s="186">
        <v>9637</v>
      </c>
      <c r="S121" s="188">
        <v>706</v>
      </c>
      <c r="T121" s="195">
        <v>57259</v>
      </c>
      <c r="U121" s="196">
        <v>8770</v>
      </c>
      <c r="V121" s="197">
        <v>628</v>
      </c>
    </row>
    <row r="122" spans="1:22" x14ac:dyDescent="0.25">
      <c r="A122" s="184" t="s">
        <v>153</v>
      </c>
      <c r="B122" s="193">
        <v>4</v>
      </c>
      <c r="C122" s="194">
        <v>10</v>
      </c>
      <c r="D122" s="194">
        <v>7</v>
      </c>
      <c r="E122" s="185">
        <v>16661</v>
      </c>
      <c r="F122" s="185">
        <v>14341</v>
      </c>
      <c r="G122" s="185">
        <v>13182</v>
      </c>
      <c r="H122" s="195">
        <v>-2966</v>
      </c>
      <c r="I122" s="196">
        <v>2617</v>
      </c>
      <c r="J122" s="197">
        <v>4313</v>
      </c>
      <c r="K122" s="187">
        <v>19627</v>
      </c>
      <c r="L122" s="186">
        <v>11724</v>
      </c>
      <c r="M122" s="188">
        <v>8869</v>
      </c>
      <c r="N122" s="195">
        <v>53643</v>
      </c>
      <c r="O122" s="196">
        <v>118542</v>
      </c>
      <c r="P122" s="197">
        <v>97083</v>
      </c>
      <c r="Q122" s="187">
        <v>-4378</v>
      </c>
      <c r="R122" s="186">
        <v>3874</v>
      </c>
      <c r="S122" s="188">
        <v>1628</v>
      </c>
      <c r="T122" s="195">
        <v>-4424</v>
      </c>
      <c r="U122" s="196">
        <v>5584</v>
      </c>
      <c r="V122" s="197">
        <v>1756</v>
      </c>
    </row>
    <row r="123" spans="1:22" x14ac:dyDescent="0.25">
      <c r="A123" s="198" t="s">
        <v>267</v>
      </c>
      <c r="B123" s="199">
        <v>220</v>
      </c>
      <c r="C123" s="200">
        <v>282</v>
      </c>
      <c r="D123" s="200">
        <v>287</v>
      </c>
      <c r="E123" s="201">
        <v>30417364</v>
      </c>
      <c r="F123" s="201">
        <v>30571121</v>
      </c>
      <c r="G123" s="201">
        <v>31474370</v>
      </c>
      <c r="H123" s="205">
        <v>2844224</v>
      </c>
      <c r="I123" s="206">
        <v>3132989</v>
      </c>
      <c r="J123" s="207">
        <v>3625506</v>
      </c>
      <c r="K123" s="205">
        <v>27573140</v>
      </c>
      <c r="L123" s="206">
        <v>27438132</v>
      </c>
      <c r="M123" s="207">
        <v>27848864</v>
      </c>
      <c r="N123" s="205">
        <v>7154688</v>
      </c>
      <c r="O123" s="206">
        <v>7803216</v>
      </c>
      <c r="P123" s="207">
        <v>8066092</v>
      </c>
      <c r="Q123" s="205">
        <v>344076</v>
      </c>
      <c r="R123" s="206">
        <v>731470</v>
      </c>
      <c r="S123" s="207">
        <v>636824</v>
      </c>
      <c r="T123" s="205">
        <v>146346</v>
      </c>
      <c r="U123" s="206">
        <v>323263</v>
      </c>
      <c r="V123" s="207">
        <v>350945</v>
      </c>
    </row>
    <row r="124" spans="1:22" x14ac:dyDescent="0.25">
      <c r="A124" s="184" t="s">
        <v>32</v>
      </c>
      <c r="B124" s="193">
        <v>16</v>
      </c>
      <c r="C124" s="194">
        <v>15</v>
      </c>
      <c r="D124" s="194">
        <v>12</v>
      </c>
      <c r="E124" s="185">
        <v>134315</v>
      </c>
      <c r="F124" s="185">
        <v>168531</v>
      </c>
      <c r="G124" s="185">
        <v>237744</v>
      </c>
      <c r="H124" s="195">
        <v>42834</v>
      </c>
      <c r="I124" s="196">
        <v>67854</v>
      </c>
      <c r="J124" s="197">
        <v>127578</v>
      </c>
      <c r="K124" s="187">
        <v>91481</v>
      </c>
      <c r="L124" s="186">
        <v>100677</v>
      </c>
      <c r="M124" s="188">
        <v>110166</v>
      </c>
      <c r="N124" s="195">
        <v>254159</v>
      </c>
      <c r="O124" s="196">
        <v>252896</v>
      </c>
      <c r="P124" s="197">
        <v>286628</v>
      </c>
      <c r="Q124" s="187">
        <v>9668</v>
      </c>
      <c r="R124" s="186">
        <v>29738</v>
      </c>
      <c r="S124" s="188">
        <v>71832</v>
      </c>
      <c r="T124" s="195">
        <v>13706</v>
      </c>
      <c r="U124" s="196">
        <v>25019</v>
      </c>
      <c r="V124" s="197">
        <v>59723</v>
      </c>
    </row>
    <row r="125" spans="1:22" x14ac:dyDescent="0.25">
      <c r="A125" s="184" t="s">
        <v>296</v>
      </c>
      <c r="B125" s="193">
        <v>15</v>
      </c>
      <c r="C125" s="194">
        <v>15</v>
      </c>
      <c r="D125" s="194">
        <v>16</v>
      </c>
      <c r="E125" s="185">
        <v>18211</v>
      </c>
      <c r="F125" s="185">
        <v>9214</v>
      </c>
      <c r="G125" s="185">
        <v>86921</v>
      </c>
      <c r="H125" s="195">
        <v>-2663</v>
      </c>
      <c r="I125" s="196">
        <v>6258</v>
      </c>
      <c r="J125" s="197">
        <v>791</v>
      </c>
      <c r="K125" s="187">
        <v>20874</v>
      </c>
      <c r="L125" s="186">
        <v>2956</v>
      </c>
      <c r="M125" s="188">
        <v>86130</v>
      </c>
      <c r="N125" s="195">
        <v>239361</v>
      </c>
      <c r="O125" s="196">
        <v>233679</v>
      </c>
      <c r="P125" s="197">
        <v>248437</v>
      </c>
      <c r="Q125" s="187">
        <v>3951</v>
      </c>
      <c r="R125" s="186">
        <v>9025</v>
      </c>
      <c r="S125" s="188">
        <v>-4983</v>
      </c>
      <c r="T125" s="195">
        <v>2868</v>
      </c>
      <c r="U125" s="196">
        <v>8921</v>
      </c>
      <c r="V125" s="197">
        <v>-5466</v>
      </c>
    </row>
    <row r="126" spans="1:22" x14ac:dyDescent="0.25">
      <c r="A126" s="184" t="s">
        <v>105</v>
      </c>
      <c r="B126" s="193">
        <v>114</v>
      </c>
      <c r="C126" s="194">
        <v>165</v>
      </c>
      <c r="D126" s="194">
        <v>171</v>
      </c>
      <c r="E126" s="185">
        <v>1124628</v>
      </c>
      <c r="F126" s="185">
        <v>1331878</v>
      </c>
      <c r="G126" s="185">
        <v>2037511</v>
      </c>
      <c r="H126" s="195">
        <v>505492</v>
      </c>
      <c r="I126" s="196">
        <v>529702</v>
      </c>
      <c r="J126" s="197">
        <v>680762</v>
      </c>
      <c r="K126" s="187">
        <v>619136</v>
      </c>
      <c r="L126" s="186">
        <v>802176</v>
      </c>
      <c r="M126" s="188">
        <v>1356749</v>
      </c>
      <c r="N126" s="195">
        <v>2667383</v>
      </c>
      <c r="O126" s="196">
        <v>3075666</v>
      </c>
      <c r="P126" s="197">
        <v>3473057</v>
      </c>
      <c r="Q126" s="187">
        <v>38785</v>
      </c>
      <c r="R126" s="186">
        <v>97550</v>
      </c>
      <c r="S126" s="188">
        <v>74643</v>
      </c>
      <c r="T126" s="195">
        <v>15151</v>
      </c>
      <c r="U126" s="196">
        <v>24209</v>
      </c>
      <c r="V126" s="197">
        <v>9488</v>
      </c>
    </row>
    <row r="127" spans="1:22" x14ac:dyDescent="0.25">
      <c r="A127" s="184" t="s">
        <v>166</v>
      </c>
      <c r="B127" s="193">
        <v>18</v>
      </c>
      <c r="C127" s="194">
        <v>25</v>
      </c>
      <c r="D127" s="194">
        <v>25</v>
      </c>
      <c r="E127" s="185">
        <v>282972</v>
      </c>
      <c r="F127" s="185">
        <v>451145</v>
      </c>
      <c r="G127" s="185">
        <v>631973</v>
      </c>
      <c r="H127" s="195">
        <v>259922</v>
      </c>
      <c r="I127" s="196">
        <v>412037</v>
      </c>
      <c r="J127" s="197">
        <v>582309</v>
      </c>
      <c r="K127" s="187">
        <v>23050</v>
      </c>
      <c r="L127" s="186">
        <v>39108</v>
      </c>
      <c r="M127" s="188">
        <v>49664</v>
      </c>
      <c r="N127" s="195">
        <v>514339</v>
      </c>
      <c r="O127" s="196">
        <v>621390</v>
      </c>
      <c r="P127" s="197">
        <v>755044</v>
      </c>
      <c r="Q127" s="187">
        <v>89170</v>
      </c>
      <c r="R127" s="186">
        <v>169785</v>
      </c>
      <c r="S127" s="188">
        <v>228523</v>
      </c>
      <c r="T127" s="195">
        <v>85220</v>
      </c>
      <c r="U127" s="196">
        <v>152115</v>
      </c>
      <c r="V127" s="197">
        <v>170272</v>
      </c>
    </row>
    <row r="128" spans="1:22" x14ac:dyDescent="0.25">
      <c r="A128" s="184" t="s">
        <v>242</v>
      </c>
      <c r="B128" s="193">
        <v>57</v>
      </c>
      <c r="C128" s="194">
        <v>62</v>
      </c>
      <c r="D128" s="194">
        <v>63</v>
      </c>
      <c r="E128" s="185">
        <v>28857238</v>
      </c>
      <c r="F128" s="185">
        <v>28610353</v>
      </c>
      <c r="G128" s="185">
        <v>28480221</v>
      </c>
      <c r="H128" s="195">
        <v>2038639</v>
      </c>
      <c r="I128" s="196">
        <v>2117138</v>
      </c>
      <c r="J128" s="197">
        <v>2234066</v>
      </c>
      <c r="K128" s="187">
        <v>26818599</v>
      </c>
      <c r="L128" s="186">
        <v>26493215</v>
      </c>
      <c r="M128" s="188">
        <v>26246155</v>
      </c>
      <c r="N128" s="195">
        <v>3479446</v>
      </c>
      <c r="O128" s="196">
        <v>3619585</v>
      </c>
      <c r="P128" s="197">
        <v>3302926</v>
      </c>
      <c r="Q128" s="187">
        <v>202502</v>
      </c>
      <c r="R128" s="186">
        <v>425372</v>
      </c>
      <c r="S128" s="188">
        <v>266809</v>
      </c>
      <c r="T128" s="195">
        <v>29401</v>
      </c>
      <c r="U128" s="196">
        <v>112999</v>
      </c>
      <c r="V128" s="197">
        <v>116928</v>
      </c>
    </row>
    <row r="129" spans="1:22" x14ac:dyDescent="0.25">
      <c r="A129" s="198" t="s">
        <v>278</v>
      </c>
      <c r="B129" s="199">
        <v>21</v>
      </c>
      <c r="C129" s="200">
        <v>101</v>
      </c>
      <c r="D129" s="200">
        <v>132</v>
      </c>
      <c r="E129" s="201">
        <v>197865</v>
      </c>
      <c r="F129" s="201">
        <v>451082</v>
      </c>
      <c r="G129" s="201">
        <v>564368</v>
      </c>
      <c r="H129" s="205">
        <v>90765</v>
      </c>
      <c r="I129" s="206">
        <v>252071</v>
      </c>
      <c r="J129" s="207">
        <v>358952</v>
      </c>
      <c r="K129" s="205">
        <v>107100</v>
      </c>
      <c r="L129" s="206">
        <v>199011</v>
      </c>
      <c r="M129" s="207">
        <v>205416</v>
      </c>
      <c r="N129" s="205">
        <v>629283</v>
      </c>
      <c r="O129" s="206">
        <v>1566467</v>
      </c>
      <c r="P129" s="207">
        <v>1759909</v>
      </c>
      <c r="Q129" s="205">
        <v>97571</v>
      </c>
      <c r="R129" s="206">
        <v>166109</v>
      </c>
      <c r="S129" s="207">
        <v>119124</v>
      </c>
      <c r="T129" s="205">
        <v>97571</v>
      </c>
      <c r="U129" s="206">
        <v>148531</v>
      </c>
      <c r="V129" s="207">
        <v>98315</v>
      </c>
    </row>
    <row r="130" spans="1:22" x14ac:dyDescent="0.25">
      <c r="A130" s="184" t="s">
        <v>107</v>
      </c>
      <c r="B130" s="193">
        <v>20</v>
      </c>
      <c r="C130" s="194">
        <v>32</v>
      </c>
      <c r="D130" s="194">
        <v>48</v>
      </c>
      <c r="E130" s="185">
        <v>197855</v>
      </c>
      <c r="F130" s="185">
        <v>272887</v>
      </c>
      <c r="G130" s="185">
        <v>345428</v>
      </c>
      <c r="H130" s="195">
        <v>91920</v>
      </c>
      <c r="I130" s="196">
        <v>139763</v>
      </c>
      <c r="J130" s="197">
        <v>234931</v>
      </c>
      <c r="K130" s="187">
        <v>105935</v>
      </c>
      <c r="L130" s="186">
        <v>133124</v>
      </c>
      <c r="M130" s="188">
        <v>110497</v>
      </c>
      <c r="N130" s="195">
        <v>629283</v>
      </c>
      <c r="O130" s="196">
        <v>573621</v>
      </c>
      <c r="P130" s="197">
        <v>730396</v>
      </c>
      <c r="Q130" s="187">
        <v>98726</v>
      </c>
      <c r="R130" s="186">
        <v>40866</v>
      </c>
      <c r="S130" s="188">
        <v>96781</v>
      </c>
      <c r="T130" s="195">
        <v>98726</v>
      </c>
      <c r="U130" s="196">
        <v>35068</v>
      </c>
      <c r="V130" s="197">
        <v>86602</v>
      </c>
    </row>
    <row r="131" spans="1:22" x14ac:dyDescent="0.25">
      <c r="A131" s="184" t="s">
        <v>177</v>
      </c>
      <c r="B131" s="193">
        <v>1</v>
      </c>
      <c r="C131" s="194">
        <v>36</v>
      </c>
      <c r="D131" s="194">
        <v>41</v>
      </c>
      <c r="E131" s="185">
        <v>10</v>
      </c>
      <c r="F131" s="185">
        <v>18115</v>
      </c>
      <c r="G131" s="185">
        <v>22483</v>
      </c>
      <c r="H131" s="195">
        <v>-1155</v>
      </c>
      <c r="I131" s="196">
        <v>6909</v>
      </c>
      <c r="J131" s="197">
        <v>-17273</v>
      </c>
      <c r="K131" s="187">
        <v>1165</v>
      </c>
      <c r="L131" s="186">
        <v>11206</v>
      </c>
      <c r="M131" s="188">
        <v>39756</v>
      </c>
      <c r="N131" s="195">
        <v>0</v>
      </c>
      <c r="O131" s="196">
        <v>436708</v>
      </c>
      <c r="P131" s="197">
        <v>446441</v>
      </c>
      <c r="Q131" s="187">
        <v>-1155</v>
      </c>
      <c r="R131" s="186">
        <v>8962</v>
      </c>
      <c r="S131" s="188">
        <v>-24179</v>
      </c>
      <c r="T131" s="195">
        <v>-1155</v>
      </c>
      <c r="U131" s="196">
        <v>8064</v>
      </c>
      <c r="V131" s="197">
        <v>-24182</v>
      </c>
    </row>
    <row r="132" spans="1:22" x14ac:dyDescent="0.25">
      <c r="A132" s="184" t="s">
        <v>248</v>
      </c>
      <c r="B132" s="193">
        <v>0</v>
      </c>
      <c r="C132" s="194">
        <v>33</v>
      </c>
      <c r="D132" s="194">
        <v>43</v>
      </c>
      <c r="E132" s="185">
        <v>0</v>
      </c>
      <c r="F132" s="185">
        <v>160080</v>
      </c>
      <c r="G132" s="185">
        <v>196457</v>
      </c>
      <c r="H132" s="195">
        <v>0</v>
      </c>
      <c r="I132" s="196">
        <v>105399</v>
      </c>
      <c r="J132" s="197">
        <v>141294</v>
      </c>
      <c r="K132" s="187">
        <v>0</v>
      </c>
      <c r="L132" s="186">
        <v>54681</v>
      </c>
      <c r="M132" s="188">
        <v>55163</v>
      </c>
      <c r="N132" s="195">
        <v>0</v>
      </c>
      <c r="O132" s="196">
        <v>556138</v>
      </c>
      <c r="P132" s="197">
        <v>583072</v>
      </c>
      <c r="Q132" s="187">
        <v>0</v>
      </c>
      <c r="R132" s="186">
        <v>116281</v>
      </c>
      <c r="S132" s="188">
        <v>46522</v>
      </c>
      <c r="T132" s="195">
        <v>0</v>
      </c>
      <c r="U132" s="196">
        <v>105399</v>
      </c>
      <c r="V132" s="197">
        <v>35895</v>
      </c>
    </row>
    <row r="133" spans="1:22" x14ac:dyDescent="0.25">
      <c r="A133" s="198" t="s">
        <v>263</v>
      </c>
      <c r="B133" s="199">
        <v>342</v>
      </c>
      <c r="C133" s="200">
        <v>342</v>
      </c>
      <c r="D133" s="200">
        <v>348</v>
      </c>
      <c r="E133" s="201">
        <v>22480962</v>
      </c>
      <c r="F133" s="201">
        <v>22467557</v>
      </c>
      <c r="G133" s="201">
        <v>22750419</v>
      </c>
      <c r="H133" s="205">
        <v>10585726</v>
      </c>
      <c r="I133" s="206">
        <v>10551878</v>
      </c>
      <c r="J133" s="207">
        <v>10555676</v>
      </c>
      <c r="K133" s="205">
        <v>11895236</v>
      </c>
      <c r="L133" s="206">
        <v>11915679</v>
      </c>
      <c r="M133" s="207">
        <v>12194743</v>
      </c>
      <c r="N133" s="205">
        <v>5943774</v>
      </c>
      <c r="O133" s="206">
        <v>6552272</v>
      </c>
      <c r="P133" s="207">
        <v>7065455</v>
      </c>
      <c r="Q133" s="205">
        <v>576373</v>
      </c>
      <c r="R133" s="206">
        <v>974551</v>
      </c>
      <c r="S133" s="207">
        <v>757571</v>
      </c>
      <c r="T133" s="205">
        <v>174836</v>
      </c>
      <c r="U133" s="206">
        <v>-31668</v>
      </c>
      <c r="V133" s="207">
        <v>-17372</v>
      </c>
    </row>
    <row r="134" spans="1:22" x14ac:dyDescent="0.25">
      <c r="A134" s="184" t="s">
        <v>14</v>
      </c>
      <c r="B134" s="193">
        <v>11</v>
      </c>
      <c r="C134" s="194">
        <v>10</v>
      </c>
      <c r="D134" s="194">
        <v>8</v>
      </c>
      <c r="E134" s="185">
        <v>7835</v>
      </c>
      <c r="F134" s="185">
        <v>8594</v>
      </c>
      <c r="G134" s="185">
        <v>6850</v>
      </c>
      <c r="H134" s="195">
        <v>-400275</v>
      </c>
      <c r="I134" s="196">
        <v>-357850</v>
      </c>
      <c r="J134" s="197">
        <v>-306822</v>
      </c>
      <c r="K134" s="187">
        <v>408110</v>
      </c>
      <c r="L134" s="186">
        <v>366444</v>
      </c>
      <c r="M134" s="188">
        <v>313672</v>
      </c>
      <c r="N134" s="195">
        <v>112550</v>
      </c>
      <c r="O134" s="196">
        <v>160789</v>
      </c>
      <c r="P134" s="197">
        <v>162427</v>
      </c>
      <c r="Q134" s="187">
        <v>-22075</v>
      </c>
      <c r="R134" s="186">
        <v>47723</v>
      </c>
      <c r="S134" s="188">
        <v>52957</v>
      </c>
      <c r="T134" s="195">
        <v>-22075</v>
      </c>
      <c r="U134" s="196">
        <v>43741</v>
      </c>
      <c r="V134" s="197">
        <v>51028</v>
      </c>
    </row>
    <row r="135" spans="1:22" x14ac:dyDescent="0.25">
      <c r="A135" s="184" t="s">
        <v>60</v>
      </c>
      <c r="B135" s="193">
        <v>13</v>
      </c>
      <c r="C135" s="194">
        <v>13</v>
      </c>
      <c r="D135" s="194">
        <v>13</v>
      </c>
      <c r="E135" s="185">
        <v>13201</v>
      </c>
      <c r="F135" s="185">
        <v>54922</v>
      </c>
      <c r="G135" s="185">
        <v>17388</v>
      </c>
      <c r="H135" s="195">
        <v>-531823</v>
      </c>
      <c r="I135" s="196">
        <v>-489616</v>
      </c>
      <c r="J135" s="197">
        <v>-485393</v>
      </c>
      <c r="K135" s="187">
        <v>545024</v>
      </c>
      <c r="L135" s="186">
        <v>544538</v>
      </c>
      <c r="M135" s="188">
        <v>502781</v>
      </c>
      <c r="N135" s="195">
        <v>131210</v>
      </c>
      <c r="O135" s="196">
        <v>196271</v>
      </c>
      <c r="P135" s="197">
        <v>206055</v>
      </c>
      <c r="Q135" s="187">
        <v>-2870</v>
      </c>
      <c r="R135" s="186">
        <v>45858</v>
      </c>
      <c r="S135" s="188">
        <v>6929</v>
      </c>
      <c r="T135" s="195">
        <v>-2870</v>
      </c>
      <c r="U135" s="196">
        <v>42207</v>
      </c>
      <c r="V135" s="197">
        <v>4223</v>
      </c>
    </row>
    <row r="136" spans="1:22" x14ac:dyDescent="0.25">
      <c r="A136" s="184" t="s">
        <v>79</v>
      </c>
      <c r="B136" s="193">
        <v>154</v>
      </c>
      <c r="C136" s="194">
        <v>158</v>
      </c>
      <c r="D136" s="194">
        <v>164</v>
      </c>
      <c r="E136" s="185">
        <v>6900502</v>
      </c>
      <c r="F136" s="185">
        <v>7184949</v>
      </c>
      <c r="G136" s="185">
        <v>7345360</v>
      </c>
      <c r="H136" s="195">
        <v>1249875</v>
      </c>
      <c r="I136" s="196">
        <v>1313831</v>
      </c>
      <c r="J136" s="197">
        <v>1513911</v>
      </c>
      <c r="K136" s="187">
        <v>5650627</v>
      </c>
      <c r="L136" s="186">
        <v>5871118</v>
      </c>
      <c r="M136" s="188">
        <v>5831449</v>
      </c>
      <c r="N136" s="195">
        <v>2612676</v>
      </c>
      <c r="O136" s="196">
        <v>3039342</v>
      </c>
      <c r="P136" s="197">
        <v>3591731</v>
      </c>
      <c r="Q136" s="187">
        <v>624580</v>
      </c>
      <c r="R136" s="186">
        <v>869456</v>
      </c>
      <c r="S136" s="188">
        <v>865769</v>
      </c>
      <c r="T136" s="195">
        <v>546044</v>
      </c>
      <c r="U136" s="196">
        <v>64820</v>
      </c>
      <c r="V136" s="197">
        <v>171000</v>
      </c>
    </row>
    <row r="137" spans="1:22" x14ac:dyDescent="0.25">
      <c r="A137" s="184" t="s">
        <v>137</v>
      </c>
      <c r="B137" s="193">
        <v>10</v>
      </c>
      <c r="C137" s="194">
        <v>9</v>
      </c>
      <c r="D137" s="194">
        <v>9</v>
      </c>
      <c r="E137" s="185">
        <v>7448</v>
      </c>
      <c r="F137" s="185">
        <v>10797</v>
      </c>
      <c r="G137" s="185">
        <v>12041</v>
      </c>
      <c r="H137" s="195">
        <v>-360595</v>
      </c>
      <c r="I137" s="196">
        <v>-310066</v>
      </c>
      <c r="J137" s="197">
        <v>-265150</v>
      </c>
      <c r="K137" s="187">
        <v>368043</v>
      </c>
      <c r="L137" s="186">
        <v>320863</v>
      </c>
      <c r="M137" s="188">
        <v>277191</v>
      </c>
      <c r="N137" s="195">
        <v>87124</v>
      </c>
      <c r="O137" s="196">
        <v>194169</v>
      </c>
      <c r="P137" s="197">
        <v>185273</v>
      </c>
      <c r="Q137" s="187">
        <v>-43427</v>
      </c>
      <c r="R137" s="186">
        <v>50529</v>
      </c>
      <c r="S137" s="188">
        <v>44916</v>
      </c>
      <c r="T137" s="195">
        <v>-43427</v>
      </c>
      <c r="U137" s="196">
        <v>50529</v>
      </c>
      <c r="V137" s="197">
        <v>44916</v>
      </c>
    </row>
    <row r="138" spans="1:22" x14ac:dyDescent="0.25">
      <c r="A138" s="184" t="s">
        <v>174</v>
      </c>
      <c r="B138" s="193">
        <v>29</v>
      </c>
      <c r="C138" s="194">
        <v>33</v>
      </c>
      <c r="D138" s="194">
        <v>36</v>
      </c>
      <c r="E138" s="185">
        <v>91817</v>
      </c>
      <c r="F138" s="185">
        <v>114943</v>
      </c>
      <c r="G138" s="185">
        <v>95135</v>
      </c>
      <c r="H138" s="195">
        <v>76206</v>
      </c>
      <c r="I138" s="196">
        <v>84919</v>
      </c>
      <c r="J138" s="197">
        <v>55904</v>
      </c>
      <c r="K138" s="187">
        <v>15611</v>
      </c>
      <c r="L138" s="186">
        <v>30024</v>
      </c>
      <c r="M138" s="188">
        <v>39231</v>
      </c>
      <c r="N138" s="195">
        <v>401074</v>
      </c>
      <c r="O138" s="196">
        <v>434494</v>
      </c>
      <c r="P138" s="197">
        <v>421975</v>
      </c>
      <c r="Q138" s="187">
        <v>66320</v>
      </c>
      <c r="R138" s="186">
        <v>10421</v>
      </c>
      <c r="S138" s="188">
        <v>-28870</v>
      </c>
      <c r="T138" s="195">
        <v>60844</v>
      </c>
      <c r="U138" s="196">
        <v>8713</v>
      </c>
      <c r="V138" s="197">
        <v>-29015</v>
      </c>
    </row>
    <row r="139" spans="1:22" x14ac:dyDescent="0.25">
      <c r="A139" s="184" t="s">
        <v>244</v>
      </c>
      <c r="B139" s="193">
        <v>125</v>
      </c>
      <c r="C139" s="194">
        <v>119</v>
      </c>
      <c r="D139" s="194">
        <v>118</v>
      </c>
      <c r="E139" s="185">
        <v>15460159</v>
      </c>
      <c r="F139" s="185">
        <v>15093352</v>
      </c>
      <c r="G139" s="185">
        <v>15273645</v>
      </c>
      <c r="H139" s="195">
        <v>10552338</v>
      </c>
      <c r="I139" s="196">
        <v>10310660</v>
      </c>
      <c r="J139" s="197">
        <v>10043226</v>
      </c>
      <c r="K139" s="187">
        <v>4907821</v>
      </c>
      <c r="L139" s="186">
        <v>4782692</v>
      </c>
      <c r="M139" s="188">
        <v>5230419</v>
      </c>
      <c r="N139" s="195">
        <v>2599140</v>
      </c>
      <c r="O139" s="196">
        <v>2527207</v>
      </c>
      <c r="P139" s="197">
        <v>2497994</v>
      </c>
      <c r="Q139" s="187">
        <v>-46155</v>
      </c>
      <c r="R139" s="186">
        <v>-49436</v>
      </c>
      <c r="S139" s="188">
        <v>-184130</v>
      </c>
      <c r="T139" s="195">
        <v>-363680</v>
      </c>
      <c r="U139" s="196">
        <v>-241678</v>
      </c>
      <c r="V139" s="197">
        <v>-259524</v>
      </c>
    </row>
    <row r="140" spans="1:22" x14ac:dyDescent="0.25">
      <c r="A140" s="198" t="s">
        <v>279</v>
      </c>
      <c r="B140" s="199">
        <v>47</v>
      </c>
      <c r="C140" s="200">
        <v>43</v>
      </c>
      <c r="D140" s="200">
        <v>47</v>
      </c>
      <c r="E140" s="201">
        <v>1553230</v>
      </c>
      <c r="F140" s="201">
        <v>1544745</v>
      </c>
      <c r="G140" s="201">
        <v>1672575</v>
      </c>
      <c r="H140" s="205">
        <v>499931</v>
      </c>
      <c r="I140" s="206">
        <v>576763</v>
      </c>
      <c r="J140" s="207">
        <v>603466</v>
      </c>
      <c r="K140" s="205">
        <v>1053299</v>
      </c>
      <c r="L140" s="206">
        <v>967982</v>
      </c>
      <c r="M140" s="207">
        <v>1069109</v>
      </c>
      <c r="N140" s="205">
        <v>682697</v>
      </c>
      <c r="O140" s="206">
        <v>747569</v>
      </c>
      <c r="P140" s="207">
        <v>967787</v>
      </c>
      <c r="Q140" s="205">
        <v>44917</v>
      </c>
      <c r="R140" s="206">
        <v>77869</v>
      </c>
      <c r="S140" s="207">
        <v>27852</v>
      </c>
      <c r="T140" s="205">
        <v>42556</v>
      </c>
      <c r="U140" s="206">
        <v>76831</v>
      </c>
      <c r="V140" s="207">
        <v>26704</v>
      </c>
    </row>
    <row r="141" spans="1:22" x14ac:dyDescent="0.25">
      <c r="A141" s="184" t="s">
        <v>109</v>
      </c>
      <c r="B141" s="193">
        <v>41</v>
      </c>
      <c r="C141" s="194">
        <v>37</v>
      </c>
      <c r="D141" s="194">
        <v>40</v>
      </c>
      <c r="E141" s="185">
        <v>1546118</v>
      </c>
      <c r="F141" s="185">
        <v>1538922</v>
      </c>
      <c r="G141" s="185">
        <v>1647511</v>
      </c>
      <c r="H141" s="195">
        <v>498633</v>
      </c>
      <c r="I141" s="196">
        <v>573404</v>
      </c>
      <c r="J141" s="197">
        <v>596040</v>
      </c>
      <c r="K141" s="187">
        <v>1047485</v>
      </c>
      <c r="L141" s="186">
        <v>965518</v>
      </c>
      <c r="M141" s="188">
        <v>1051471</v>
      </c>
      <c r="N141" s="195">
        <v>634421</v>
      </c>
      <c r="O141" s="196">
        <v>686040</v>
      </c>
      <c r="P141" s="197">
        <v>886025</v>
      </c>
      <c r="Q141" s="187">
        <v>51953</v>
      </c>
      <c r="R141" s="186">
        <v>75806</v>
      </c>
      <c r="S141" s="188">
        <v>23764</v>
      </c>
      <c r="T141" s="195">
        <v>49586</v>
      </c>
      <c r="U141" s="196">
        <v>74770</v>
      </c>
      <c r="V141" s="197">
        <v>22636</v>
      </c>
    </row>
    <row r="142" spans="1:22" x14ac:dyDescent="0.25">
      <c r="A142" s="184" t="s">
        <v>1</v>
      </c>
      <c r="B142" s="193">
        <v>0</v>
      </c>
      <c r="C142" s="194">
        <v>0</v>
      </c>
      <c r="D142" s="194">
        <v>1</v>
      </c>
      <c r="E142" s="185">
        <v>0</v>
      </c>
      <c r="F142" s="185">
        <v>0</v>
      </c>
      <c r="G142" s="185">
        <v>14344</v>
      </c>
      <c r="H142" s="195">
        <v>0</v>
      </c>
      <c r="I142" s="196">
        <v>0</v>
      </c>
      <c r="J142" s="197">
        <v>0</v>
      </c>
      <c r="K142" s="187">
        <v>0</v>
      </c>
      <c r="L142" s="186">
        <v>0</v>
      </c>
      <c r="M142" s="188">
        <v>14344</v>
      </c>
      <c r="N142" s="195">
        <v>0</v>
      </c>
      <c r="O142" s="196">
        <v>0</v>
      </c>
      <c r="P142" s="197">
        <v>3336</v>
      </c>
      <c r="Q142" s="187">
        <v>0</v>
      </c>
      <c r="R142" s="186">
        <v>0</v>
      </c>
      <c r="S142" s="188">
        <v>0</v>
      </c>
      <c r="T142" s="195">
        <v>0</v>
      </c>
      <c r="U142" s="196">
        <v>0</v>
      </c>
      <c r="V142" s="197">
        <v>0</v>
      </c>
    </row>
    <row r="143" spans="1:22" x14ac:dyDescent="0.25">
      <c r="A143" s="184" t="s">
        <v>202</v>
      </c>
      <c r="B143" s="193">
        <v>6</v>
      </c>
      <c r="C143" s="194">
        <v>6</v>
      </c>
      <c r="D143" s="194">
        <v>6</v>
      </c>
      <c r="E143" s="185">
        <v>7112</v>
      </c>
      <c r="F143" s="185">
        <v>5823</v>
      </c>
      <c r="G143" s="185">
        <v>10720</v>
      </c>
      <c r="H143" s="195">
        <v>1298</v>
      </c>
      <c r="I143" s="196">
        <v>3359</v>
      </c>
      <c r="J143" s="197">
        <v>7426</v>
      </c>
      <c r="K143" s="187">
        <v>5814</v>
      </c>
      <c r="L143" s="186">
        <v>2464</v>
      </c>
      <c r="M143" s="188">
        <v>3294</v>
      </c>
      <c r="N143" s="195">
        <v>48276</v>
      </c>
      <c r="O143" s="196">
        <v>61529</v>
      </c>
      <c r="P143" s="197">
        <v>78426</v>
      </c>
      <c r="Q143" s="187">
        <v>-7036</v>
      </c>
      <c r="R143" s="186">
        <v>2063</v>
      </c>
      <c r="S143" s="188">
        <v>4088</v>
      </c>
      <c r="T143" s="195">
        <v>-7030</v>
      </c>
      <c r="U143" s="196">
        <v>2061</v>
      </c>
      <c r="V143" s="197">
        <v>4068</v>
      </c>
    </row>
    <row r="144" spans="1:22" x14ac:dyDescent="0.25">
      <c r="A144" s="198" t="s">
        <v>270</v>
      </c>
      <c r="B144" s="199">
        <v>0</v>
      </c>
      <c r="C144" s="200">
        <v>0</v>
      </c>
      <c r="D144" s="200">
        <v>1</v>
      </c>
      <c r="E144" s="201">
        <v>0</v>
      </c>
      <c r="F144" s="201">
        <v>0</v>
      </c>
      <c r="G144" s="201">
        <v>47551</v>
      </c>
      <c r="H144" s="205">
        <v>0</v>
      </c>
      <c r="I144" s="206">
        <v>0</v>
      </c>
      <c r="J144" s="207">
        <v>46109</v>
      </c>
      <c r="K144" s="205">
        <v>0</v>
      </c>
      <c r="L144" s="206">
        <v>0</v>
      </c>
      <c r="M144" s="207">
        <v>1442</v>
      </c>
      <c r="N144" s="205">
        <v>0</v>
      </c>
      <c r="O144" s="206">
        <v>0</v>
      </c>
      <c r="P144" s="207">
        <v>0</v>
      </c>
      <c r="Q144" s="205">
        <v>0</v>
      </c>
      <c r="R144" s="206">
        <v>0</v>
      </c>
      <c r="S144" s="207">
        <v>-3891</v>
      </c>
      <c r="T144" s="205">
        <v>0</v>
      </c>
      <c r="U144" s="206">
        <v>0</v>
      </c>
      <c r="V144" s="207">
        <v>-3891</v>
      </c>
    </row>
    <row r="145" spans="1:22" x14ac:dyDescent="0.25">
      <c r="A145" s="184" t="s">
        <v>56</v>
      </c>
      <c r="B145" s="193">
        <v>0</v>
      </c>
      <c r="C145" s="194">
        <v>0</v>
      </c>
      <c r="D145" s="194">
        <v>1</v>
      </c>
      <c r="E145" s="185">
        <v>0</v>
      </c>
      <c r="F145" s="185">
        <v>0</v>
      </c>
      <c r="G145" s="185">
        <v>47551</v>
      </c>
      <c r="H145" s="195">
        <v>0</v>
      </c>
      <c r="I145" s="196">
        <v>0</v>
      </c>
      <c r="J145" s="197">
        <v>46109</v>
      </c>
      <c r="K145" s="187">
        <v>0</v>
      </c>
      <c r="L145" s="186">
        <v>0</v>
      </c>
      <c r="M145" s="188">
        <v>1442</v>
      </c>
      <c r="N145" s="195">
        <v>0</v>
      </c>
      <c r="O145" s="196">
        <v>0</v>
      </c>
      <c r="P145" s="197">
        <v>0</v>
      </c>
      <c r="Q145" s="187">
        <v>0</v>
      </c>
      <c r="R145" s="186">
        <v>0</v>
      </c>
      <c r="S145" s="188">
        <v>-3891</v>
      </c>
      <c r="T145" s="195">
        <v>0</v>
      </c>
      <c r="U145" s="196">
        <v>0</v>
      </c>
      <c r="V145" s="197">
        <v>-3891</v>
      </c>
    </row>
    <row r="146" spans="1:22" x14ac:dyDescent="0.25">
      <c r="A146" s="198" t="s">
        <v>185</v>
      </c>
      <c r="B146" s="199">
        <v>4</v>
      </c>
      <c r="C146" s="200">
        <v>1</v>
      </c>
      <c r="D146" s="200">
        <v>1</v>
      </c>
      <c r="E146" s="201">
        <v>8345</v>
      </c>
      <c r="F146" s="201">
        <v>28625</v>
      </c>
      <c r="G146" s="201">
        <v>35293</v>
      </c>
      <c r="H146" s="205">
        <v>-157651</v>
      </c>
      <c r="I146" s="206">
        <v>-76087</v>
      </c>
      <c r="J146" s="207">
        <v>28984</v>
      </c>
      <c r="K146" s="205">
        <v>165996</v>
      </c>
      <c r="L146" s="206">
        <v>104712</v>
      </c>
      <c r="M146" s="207">
        <v>6309</v>
      </c>
      <c r="N146" s="205">
        <v>11925</v>
      </c>
      <c r="O146" s="206">
        <v>106674</v>
      </c>
      <c r="P146" s="207">
        <v>130411</v>
      </c>
      <c r="Q146" s="205">
        <v>-29589</v>
      </c>
      <c r="R146" s="206">
        <v>81560</v>
      </c>
      <c r="S146" s="207">
        <v>111195</v>
      </c>
      <c r="T146" s="205">
        <v>-29589</v>
      </c>
      <c r="U146" s="206">
        <v>81564</v>
      </c>
      <c r="V146" s="207">
        <v>105071</v>
      </c>
    </row>
    <row r="147" spans="1:22" x14ac:dyDescent="0.25">
      <c r="A147" s="184" t="s">
        <v>183</v>
      </c>
      <c r="B147" s="193">
        <v>4</v>
      </c>
      <c r="C147" s="194">
        <v>1</v>
      </c>
      <c r="D147" s="194">
        <v>1</v>
      </c>
      <c r="E147" s="185">
        <v>8345</v>
      </c>
      <c r="F147" s="185">
        <v>28625</v>
      </c>
      <c r="G147" s="185">
        <v>35293</v>
      </c>
      <c r="H147" s="195">
        <v>-157651</v>
      </c>
      <c r="I147" s="196">
        <v>-76087</v>
      </c>
      <c r="J147" s="197">
        <v>28984</v>
      </c>
      <c r="K147" s="187">
        <v>165996</v>
      </c>
      <c r="L147" s="186">
        <v>104712</v>
      </c>
      <c r="M147" s="188">
        <v>6309</v>
      </c>
      <c r="N147" s="195">
        <v>11925</v>
      </c>
      <c r="O147" s="196">
        <v>106674</v>
      </c>
      <c r="P147" s="197">
        <v>130411</v>
      </c>
      <c r="Q147" s="187">
        <v>-29589</v>
      </c>
      <c r="R147" s="186">
        <v>81560</v>
      </c>
      <c r="S147" s="188">
        <v>111195</v>
      </c>
      <c r="T147" s="195">
        <v>-29589</v>
      </c>
      <c r="U147" s="196">
        <v>81564</v>
      </c>
      <c r="V147" s="197">
        <v>105071</v>
      </c>
    </row>
    <row r="148" spans="1:22" x14ac:dyDescent="0.25">
      <c r="A148" s="198" t="s">
        <v>295</v>
      </c>
      <c r="B148" s="199">
        <v>114</v>
      </c>
      <c r="C148" s="200">
        <v>115</v>
      </c>
      <c r="D148" s="200">
        <v>114</v>
      </c>
      <c r="E148" s="201">
        <v>18673625</v>
      </c>
      <c r="F148" s="201">
        <v>20076786</v>
      </c>
      <c r="G148" s="201">
        <v>22385419</v>
      </c>
      <c r="H148" s="205">
        <v>8373320</v>
      </c>
      <c r="I148" s="206">
        <v>10133382</v>
      </c>
      <c r="J148" s="207">
        <v>12388434</v>
      </c>
      <c r="K148" s="205">
        <v>10300305</v>
      </c>
      <c r="L148" s="206">
        <v>9943404</v>
      </c>
      <c r="M148" s="207">
        <v>9996985</v>
      </c>
      <c r="N148" s="205">
        <v>3411764</v>
      </c>
      <c r="O148" s="206">
        <v>6433606</v>
      </c>
      <c r="P148" s="207">
        <v>7329704</v>
      </c>
      <c r="Q148" s="205">
        <v>-444701</v>
      </c>
      <c r="R148" s="206">
        <v>1898481</v>
      </c>
      <c r="S148" s="207">
        <v>2291837</v>
      </c>
      <c r="T148" s="205">
        <v>-284991</v>
      </c>
      <c r="U148" s="206">
        <v>1757840</v>
      </c>
      <c r="V148" s="207">
        <v>2255052</v>
      </c>
    </row>
    <row r="149" spans="1:22" ht="30" x14ac:dyDescent="0.25">
      <c r="A149" s="215" t="s">
        <v>48</v>
      </c>
      <c r="B149" s="193">
        <v>8</v>
      </c>
      <c r="C149" s="194">
        <v>10</v>
      </c>
      <c r="D149" s="194">
        <v>10</v>
      </c>
      <c r="E149" s="185">
        <v>316620</v>
      </c>
      <c r="F149" s="185">
        <v>265531</v>
      </c>
      <c r="G149" s="185">
        <v>290694</v>
      </c>
      <c r="H149" s="195">
        <v>192799</v>
      </c>
      <c r="I149" s="196">
        <v>199520</v>
      </c>
      <c r="J149" s="197">
        <v>232747</v>
      </c>
      <c r="K149" s="187">
        <v>123821</v>
      </c>
      <c r="L149" s="186">
        <v>66011</v>
      </c>
      <c r="M149" s="188">
        <v>57947</v>
      </c>
      <c r="N149" s="195">
        <v>627430</v>
      </c>
      <c r="O149" s="196">
        <v>546728</v>
      </c>
      <c r="P149" s="197">
        <v>616062</v>
      </c>
      <c r="Q149" s="187">
        <v>157153</v>
      </c>
      <c r="R149" s="186">
        <v>8114</v>
      </c>
      <c r="S149" s="188">
        <v>36648</v>
      </c>
      <c r="T149" s="195">
        <v>142546</v>
      </c>
      <c r="U149" s="196">
        <v>6721</v>
      </c>
      <c r="V149" s="197">
        <v>33227</v>
      </c>
    </row>
    <row r="150" spans="1:22" x14ac:dyDescent="0.25">
      <c r="A150" s="215" t="s">
        <v>50</v>
      </c>
      <c r="B150" s="193">
        <v>3</v>
      </c>
      <c r="C150" s="194">
        <v>2</v>
      </c>
      <c r="D150" s="194">
        <v>2</v>
      </c>
      <c r="E150" s="185">
        <v>1080025</v>
      </c>
      <c r="F150" s="185">
        <v>1055433</v>
      </c>
      <c r="G150" s="185">
        <v>1033271</v>
      </c>
      <c r="H150" s="195">
        <v>-996229</v>
      </c>
      <c r="I150" s="196">
        <v>-1010414</v>
      </c>
      <c r="J150" s="197">
        <v>-1025102</v>
      </c>
      <c r="K150" s="187">
        <v>2076254</v>
      </c>
      <c r="L150" s="186">
        <v>2065847</v>
      </c>
      <c r="M150" s="188">
        <v>2058373</v>
      </c>
      <c r="N150" s="195">
        <v>44502</v>
      </c>
      <c r="O150" s="196">
        <v>48003</v>
      </c>
      <c r="P150" s="197">
        <v>48000</v>
      </c>
      <c r="Q150" s="187">
        <v>-39727</v>
      </c>
      <c r="R150" s="186">
        <v>-12078</v>
      </c>
      <c r="S150" s="188">
        <v>-12641</v>
      </c>
      <c r="T150" s="195">
        <v>-42044</v>
      </c>
      <c r="U150" s="196">
        <v>-14184</v>
      </c>
      <c r="V150" s="197">
        <v>-14688</v>
      </c>
    </row>
    <row r="151" spans="1:22" x14ac:dyDescent="0.25">
      <c r="A151" s="215" t="s">
        <v>143</v>
      </c>
      <c r="B151" s="193">
        <v>67</v>
      </c>
      <c r="C151" s="194">
        <v>67</v>
      </c>
      <c r="D151" s="194">
        <v>66</v>
      </c>
      <c r="E151" s="185">
        <v>8045500</v>
      </c>
      <c r="F151" s="185">
        <v>9252300</v>
      </c>
      <c r="G151" s="185">
        <v>11437843</v>
      </c>
      <c r="H151" s="195">
        <v>4024997</v>
      </c>
      <c r="I151" s="196">
        <v>5309855</v>
      </c>
      <c r="J151" s="197">
        <v>7192117</v>
      </c>
      <c r="K151" s="187">
        <v>4020503</v>
      </c>
      <c r="L151" s="186">
        <v>3942445</v>
      </c>
      <c r="M151" s="188">
        <v>4245726</v>
      </c>
      <c r="N151" s="195">
        <v>1100650</v>
      </c>
      <c r="O151" s="196">
        <v>4165930</v>
      </c>
      <c r="P151" s="197">
        <v>4825892</v>
      </c>
      <c r="Q151" s="187">
        <v>-1102231</v>
      </c>
      <c r="R151" s="186">
        <v>1426690</v>
      </c>
      <c r="S151" s="188">
        <v>1872494</v>
      </c>
      <c r="T151" s="195">
        <v>-967997</v>
      </c>
      <c r="U151" s="196">
        <v>1284859</v>
      </c>
      <c r="V151" s="197">
        <v>1882262</v>
      </c>
    </row>
    <row r="152" spans="1:22" x14ac:dyDescent="0.25">
      <c r="A152" s="215" t="s">
        <v>149</v>
      </c>
      <c r="B152" s="193">
        <v>27</v>
      </c>
      <c r="C152" s="194">
        <v>27</v>
      </c>
      <c r="D152" s="194">
        <v>28</v>
      </c>
      <c r="E152" s="185">
        <v>9215440</v>
      </c>
      <c r="F152" s="185">
        <v>9498627</v>
      </c>
      <c r="G152" s="185">
        <v>9599063</v>
      </c>
      <c r="H152" s="195">
        <v>5297792</v>
      </c>
      <c r="I152" s="196">
        <v>5804905</v>
      </c>
      <c r="J152" s="197">
        <v>6144828</v>
      </c>
      <c r="K152" s="187">
        <v>3917648</v>
      </c>
      <c r="L152" s="186">
        <v>3693722</v>
      </c>
      <c r="M152" s="188">
        <v>3454235</v>
      </c>
      <c r="N152" s="195">
        <v>1569098</v>
      </c>
      <c r="O152" s="196">
        <v>1599047</v>
      </c>
      <c r="P152" s="197">
        <v>1731747</v>
      </c>
      <c r="Q152" s="187">
        <v>572420</v>
      </c>
      <c r="R152" s="186">
        <v>500200</v>
      </c>
      <c r="S152" s="188">
        <v>381008</v>
      </c>
      <c r="T152" s="195">
        <v>614820</v>
      </c>
      <c r="U152" s="196">
        <v>504889</v>
      </c>
      <c r="V152" s="197">
        <v>339923</v>
      </c>
    </row>
    <row r="153" spans="1:22" x14ac:dyDescent="0.25">
      <c r="A153" s="215" t="s">
        <v>188</v>
      </c>
      <c r="B153" s="193">
        <v>9</v>
      </c>
      <c r="C153" s="194">
        <v>9</v>
      </c>
      <c r="D153" s="194">
        <v>8</v>
      </c>
      <c r="E153" s="185">
        <v>16040</v>
      </c>
      <c r="F153" s="185">
        <v>4895</v>
      </c>
      <c r="G153" s="185">
        <v>24548</v>
      </c>
      <c r="H153" s="195">
        <v>-146039</v>
      </c>
      <c r="I153" s="196">
        <v>-170484</v>
      </c>
      <c r="J153" s="197">
        <v>-156156</v>
      </c>
      <c r="K153" s="187">
        <v>162079</v>
      </c>
      <c r="L153" s="186">
        <v>175379</v>
      </c>
      <c r="M153" s="188">
        <v>180704</v>
      </c>
      <c r="N153" s="195">
        <v>70084</v>
      </c>
      <c r="O153" s="196">
        <v>73898</v>
      </c>
      <c r="P153" s="197">
        <v>108003</v>
      </c>
      <c r="Q153" s="187">
        <v>-32316</v>
      </c>
      <c r="R153" s="186">
        <v>-24445</v>
      </c>
      <c r="S153" s="188">
        <v>14328</v>
      </c>
      <c r="T153" s="195">
        <v>-32316</v>
      </c>
      <c r="U153" s="196">
        <v>-24445</v>
      </c>
      <c r="V153" s="197">
        <v>14328</v>
      </c>
    </row>
    <row r="154" spans="1:22" x14ac:dyDescent="0.25">
      <c r="A154" s="208" t="s">
        <v>313</v>
      </c>
      <c r="B154" s="209">
        <v>7582</v>
      </c>
      <c r="C154" s="210">
        <v>7904</v>
      </c>
      <c r="D154" s="210">
        <v>8358</v>
      </c>
      <c r="E154" s="211">
        <v>550275821</v>
      </c>
      <c r="F154" s="211">
        <v>549796237</v>
      </c>
      <c r="G154" s="211">
        <v>563456949</v>
      </c>
      <c r="H154" s="212">
        <v>160728585</v>
      </c>
      <c r="I154" s="213">
        <v>163807511</v>
      </c>
      <c r="J154" s="214">
        <v>164420671</v>
      </c>
      <c r="K154" s="212">
        <v>389547236</v>
      </c>
      <c r="L154" s="213">
        <v>385988726</v>
      </c>
      <c r="M154" s="214">
        <v>399036278</v>
      </c>
      <c r="N154" s="212">
        <v>160907583</v>
      </c>
      <c r="O154" s="213">
        <v>178109162</v>
      </c>
      <c r="P154" s="214">
        <v>187704074</v>
      </c>
      <c r="Q154" s="212">
        <v>1435865</v>
      </c>
      <c r="R154" s="213">
        <v>6119139</v>
      </c>
      <c r="S154" s="214">
        <v>-863018</v>
      </c>
      <c r="T154" s="212">
        <v>-2551339</v>
      </c>
      <c r="U154" s="213">
        <v>2740863</v>
      </c>
      <c r="V154" s="214">
        <v>-4430856</v>
      </c>
    </row>
  </sheetData>
  <sheetProtection algorithmName="SHA-512" hashValue="GUkohZHvk4ubJcpE5aR1ASaOV5fI5PJDHT9N+fx0kizwjAV7hoh2ISJxBVqx6uTBG/qbGZX23NwiQeMo7PP+TA==" saltValue="6argbYTt2iO6yo+Ka3KQXA==" spinCount="100000" sheet="1" objects="1" scenarios="1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</vt:lpstr>
      <vt:lpstr>KUMULATIVNI PODACI PO OPŠTINAMA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2025-02-27T13:47:42Z</dcterms:modified>
  <cp:category/>
  <cp:contentStatus/>
</cp:coreProperties>
</file>