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MART 2025\KONAČNI Izvještaji 29.04\"/>
    </mc:Choice>
  </mc:AlternateContent>
  <xr:revisionPtr revIDLastSave="0" documentId="13_ncr:1_{DDBB7957-E657-4F24-A390-D5C9BEBAF5D3}" xr6:coauthVersionLast="36" xr6:coauthVersionMax="36" xr10:uidLastSave="{00000000-0000-0000-0000-000000000000}"/>
  <workbookProtection workbookAlgorithmName="SHA-512" workbookHashValue="rwBb39utBlavxgsKygk2U+YU+KtJDjbcoW5NL4mOnxNS7h+Zz5DKYbtb+JE5UHANxEGINrU5tSpwkjYnW/7hqg==" workbookSaltValue="qz+rZO5cS3m1Kd0mabR7OQ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5" sheetId="11" r:id="rId3"/>
    <sheet name="2024" sheetId="26" state="hidden" r:id="rId4"/>
    <sheet name="2025" sheetId="28" r:id="rId5"/>
    <sheet name="2023" sheetId="27" state="hidden" r:id="rId6"/>
    <sheet name="2022" sheetId="25" state="hidden" r:id="rId7"/>
    <sheet name="2021" sheetId="22" state="hidden" r:id="rId8"/>
    <sheet name="2020" sheetId="19" state="hidden" r:id="rId9"/>
    <sheet name="2019" sheetId="20" state="hidden" r:id="rId10"/>
    <sheet name="2018" sheetId="21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5plan" localSheetId="10">'2018'!$A$103:$A$162</definedName>
    <definedName name="_2015plan" localSheetId="9">'2019'!$A$100:$A$159</definedName>
    <definedName name="_2015plan" localSheetId="8">'2020'!$A$100:$A$157</definedName>
    <definedName name="_2015plan" localSheetId="7">'2021'!$A$81:$A$138</definedName>
    <definedName name="_2015plan" localSheetId="6">'2022'!$A$83:$A$140</definedName>
    <definedName name="_2015plan" localSheetId="5">'2023'!$A$83:$A$142</definedName>
    <definedName name="_2015plan" localSheetId="3">'2024'!$A$83:$A$142</definedName>
    <definedName name="_2015plan" localSheetId="4">'2025'!$A$83:$A$142</definedName>
  </definedNames>
  <calcPr calcId="191029"/>
</workbook>
</file>

<file path=xl/calcChain.xml><?xml version="1.0" encoding="utf-8"?>
<calcChain xmlns="http://schemas.openxmlformats.org/spreadsheetml/2006/main">
  <c r="O11" i="11" l="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R131" i="28" l="1"/>
  <c r="Q131" i="28"/>
  <c r="P131" i="28"/>
  <c r="O131" i="28"/>
  <c r="N131" i="28"/>
  <c r="M131" i="28"/>
  <c r="L131" i="28"/>
  <c r="K131" i="28"/>
  <c r="J131" i="28"/>
  <c r="I131" i="28"/>
  <c r="H131" i="28"/>
  <c r="G131" i="28"/>
  <c r="R116" i="28"/>
  <c r="Q116" i="28"/>
  <c r="P116" i="28"/>
  <c r="O116" i="28"/>
  <c r="N116" i="28"/>
  <c r="M116" i="28"/>
  <c r="L116" i="28"/>
  <c r="K116" i="28"/>
  <c r="J116" i="28"/>
  <c r="I116" i="28"/>
  <c r="H116" i="28"/>
  <c r="G116" i="28"/>
  <c r="R106" i="28"/>
  <c r="Q106" i="28"/>
  <c r="P106" i="28"/>
  <c r="P105" i="28" s="1"/>
  <c r="P129" i="28" s="1"/>
  <c r="P130" i="28" s="1"/>
  <c r="O106" i="28"/>
  <c r="N106" i="28"/>
  <c r="N105" i="28" s="1"/>
  <c r="N129" i="28" s="1"/>
  <c r="N130" i="28" s="1"/>
  <c r="M106" i="28"/>
  <c r="M105" i="28" s="1"/>
  <c r="M129" i="28" s="1"/>
  <c r="M130" i="28" s="1"/>
  <c r="L106" i="28"/>
  <c r="K106" i="28"/>
  <c r="K105" i="28" s="1"/>
  <c r="K129" i="28" s="1"/>
  <c r="K130" i="28" s="1"/>
  <c r="J106" i="28"/>
  <c r="I106" i="28"/>
  <c r="H106" i="28"/>
  <c r="H105" i="28" s="1"/>
  <c r="H129" i="28" s="1"/>
  <c r="H130" i="28" s="1"/>
  <c r="G106" i="28"/>
  <c r="R105" i="28"/>
  <c r="R129" i="28" s="1"/>
  <c r="R130" i="28" s="1"/>
  <c r="Q105" i="28"/>
  <c r="Q129" i="28" s="1"/>
  <c r="Q130" i="28" s="1"/>
  <c r="O105" i="28"/>
  <c r="O129" i="28" s="1"/>
  <c r="O130" i="28" s="1"/>
  <c r="L105" i="28"/>
  <c r="L129" i="28" s="1"/>
  <c r="L130" i="28" s="1"/>
  <c r="J105" i="28"/>
  <c r="J129" i="28" s="1"/>
  <c r="J130" i="28" s="1"/>
  <c r="I105" i="28"/>
  <c r="I129" i="28" s="1"/>
  <c r="I130" i="28" s="1"/>
  <c r="G105" i="28"/>
  <c r="G129" i="28" s="1"/>
  <c r="G130" i="28" s="1"/>
  <c r="G136" i="28" l="1"/>
  <c r="G142" i="28" s="1"/>
  <c r="G137" i="28" s="1"/>
  <c r="K136" i="28"/>
  <c r="K142" i="28" s="1"/>
  <c r="K137" i="28" s="1"/>
  <c r="O136" i="28"/>
  <c r="O142" i="28" s="1"/>
  <c r="O137" i="28" s="1"/>
  <c r="H136" i="28"/>
  <c r="H142" i="28" s="1"/>
  <c r="H137" i="28" s="1"/>
  <c r="L136" i="28"/>
  <c r="L142" i="28" s="1"/>
  <c r="L137" i="28" s="1"/>
  <c r="P136" i="28"/>
  <c r="P142" i="28" s="1"/>
  <c r="P137" i="28" s="1"/>
  <c r="I136" i="28"/>
  <c r="I142" i="28" s="1"/>
  <c r="I137" i="28" s="1"/>
  <c r="M136" i="28"/>
  <c r="M142" i="28" s="1"/>
  <c r="M137" i="28" s="1"/>
  <c r="Q136" i="28"/>
  <c r="Q142" i="28" s="1"/>
  <c r="Q137" i="28" s="1"/>
  <c r="J136" i="28"/>
  <c r="J142" i="28" s="1"/>
  <c r="J137" i="28" s="1"/>
  <c r="N136" i="28"/>
  <c r="N142" i="28" s="1"/>
  <c r="N137" i="28" s="1"/>
  <c r="R136" i="28"/>
  <c r="R142" i="28" s="1"/>
  <c r="R137" i="28" s="1"/>
  <c r="S133" i="28" l="1"/>
  <c r="S132" i="28"/>
  <c r="A142" i="28" l="1"/>
  <c r="S141" i="28"/>
  <c r="T141" i="28" s="1"/>
  <c r="S140" i="28"/>
  <c r="T140" i="28" s="1"/>
  <c r="A140" i="28"/>
  <c r="S139" i="28"/>
  <c r="A139" i="28"/>
  <c r="S138" i="28"/>
  <c r="A138" i="28"/>
  <c r="A137" i="28"/>
  <c r="A136" i="28"/>
  <c r="S135" i="28"/>
  <c r="T135" i="28" s="1"/>
  <c r="S134" i="28"/>
  <c r="T134" i="28" s="1"/>
  <c r="A134" i="28"/>
  <c r="T133" i="28"/>
  <c r="A133" i="28"/>
  <c r="T132" i="28"/>
  <c r="A132" i="28"/>
  <c r="S131" i="28"/>
  <c r="A131" i="28"/>
  <c r="A130" i="28"/>
  <c r="A129" i="28"/>
  <c r="S128" i="28"/>
  <c r="T128" i="28" s="1"/>
  <c r="A128" i="28"/>
  <c r="S127" i="28"/>
  <c r="T127" i="28" s="1"/>
  <c r="A127" i="28"/>
  <c r="S126" i="28"/>
  <c r="T126" i="28" s="1"/>
  <c r="A126" i="28"/>
  <c r="S125" i="28"/>
  <c r="T125" i="28" s="1"/>
  <c r="A125" i="28"/>
  <c r="S124" i="28"/>
  <c r="T124" i="28" s="1"/>
  <c r="A124" i="28"/>
  <c r="S123" i="28"/>
  <c r="T123" i="28" s="1"/>
  <c r="A123" i="28"/>
  <c r="S122" i="28"/>
  <c r="T122" i="28" s="1"/>
  <c r="A122" i="28"/>
  <c r="S121" i="28"/>
  <c r="T121" i="28" s="1"/>
  <c r="A121" i="28"/>
  <c r="S120" i="28"/>
  <c r="T120" i="28" s="1"/>
  <c r="A120" i="28"/>
  <c r="S119" i="28"/>
  <c r="T119" i="28" s="1"/>
  <c r="A119" i="28"/>
  <c r="S118" i="28"/>
  <c r="T118" i="28" s="1"/>
  <c r="A118" i="28"/>
  <c r="S117" i="28"/>
  <c r="T117" i="28" s="1"/>
  <c r="A117" i="28"/>
  <c r="S116" i="28"/>
  <c r="A116" i="28"/>
  <c r="S115" i="28"/>
  <c r="A115" i="28"/>
  <c r="S114" i="28"/>
  <c r="A114" i="28"/>
  <c r="S113" i="28"/>
  <c r="A113" i="28"/>
  <c r="S112" i="28"/>
  <c r="A112" i="28"/>
  <c r="S111" i="28"/>
  <c r="A111" i="28"/>
  <c r="S110" i="28"/>
  <c r="A110" i="28"/>
  <c r="S109" i="28"/>
  <c r="A109" i="28"/>
  <c r="S108" i="28"/>
  <c r="A108" i="28"/>
  <c r="S107" i="28"/>
  <c r="A107" i="28"/>
  <c r="S106" i="28"/>
  <c r="A106" i="28"/>
  <c r="S105" i="28"/>
  <c r="A105" i="28"/>
  <c r="S104" i="28"/>
  <c r="T104" i="28" s="1"/>
  <c r="A104" i="28"/>
  <c r="S103" i="28"/>
  <c r="T103" i="28" s="1"/>
  <c r="A103" i="28"/>
  <c r="S102" i="28"/>
  <c r="T102" i="28" s="1"/>
  <c r="A102" i="28"/>
  <c r="S101" i="28"/>
  <c r="T101" i="28" s="1"/>
  <c r="A101" i="28"/>
  <c r="S100" i="28"/>
  <c r="T100" i="28" s="1"/>
  <c r="A100" i="28"/>
  <c r="S99" i="28"/>
  <c r="T99" i="28" s="1"/>
  <c r="A99" i="28"/>
  <c r="S98" i="28"/>
  <c r="T98" i="28" s="1"/>
  <c r="A98" i="28"/>
  <c r="S97" i="28"/>
  <c r="T97" i="28" s="1"/>
  <c r="A97" i="28"/>
  <c r="S96" i="28"/>
  <c r="T96" i="28" s="1"/>
  <c r="A96" i="28"/>
  <c r="S95" i="28"/>
  <c r="T95" i="28" s="1"/>
  <c r="A95" i="28"/>
  <c r="S94" i="28"/>
  <c r="T94" i="28" s="1"/>
  <c r="A94" i="28"/>
  <c r="S93" i="28"/>
  <c r="T93" i="28" s="1"/>
  <c r="A93" i="28"/>
  <c r="S92" i="28"/>
  <c r="T92" i="28" s="1"/>
  <c r="A92" i="28"/>
  <c r="S91" i="28"/>
  <c r="T91" i="28" s="1"/>
  <c r="A91" i="28"/>
  <c r="S90" i="28"/>
  <c r="T90" i="28" s="1"/>
  <c r="A90" i="28"/>
  <c r="S89" i="28"/>
  <c r="T89" i="28" s="1"/>
  <c r="A89" i="28"/>
  <c r="S88" i="28"/>
  <c r="T88" i="28" s="1"/>
  <c r="A88" i="28"/>
  <c r="A87" i="28"/>
  <c r="A86" i="28"/>
  <c r="T84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S65" i="28"/>
  <c r="S64" i="28"/>
  <c r="S63" i="28"/>
  <c r="G63" i="11" s="1"/>
  <c r="S62" i="28"/>
  <c r="S59" i="28"/>
  <c r="S58" i="28"/>
  <c r="S57" i="28"/>
  <c r="S56" i="28"/>
  <c r="R55" i="28"/>
  <c r="Q55" i="28"/>
  <c r="P55" i="28"/>
  <c r="O55" i="28"/>
  <c r="N55" i="28"/>
  <c r="M55" i="28"/>
  <c r="L55" i="28"/>
  <c r="K55" i="28"/>
  <c r="J55" i="28"/>
  <c r="I55" i="28"/>
  <c r="N55" i="11" s="1"/>
  <c r="H55" i="28"/>
  <c r="G55" i="28"/>
  <c r="S52" i="28"/>
  <c r="S51" i="28"/>
  <c r="S50" i="28"/>
  <c r="S49" i="28"/>
  <c r="G49" i="11" s="1"/>
  <c r="S48" i="28"/>
  <c r="S47" i="28"/>
  <c r="S46" i="28"/>
  <c r="S45" i="28"/>
  <c r="S44" i="28"/>
  <c r="S43" i="28"/>
  <c r="S42" i="28"/>
  <c r="S41" i="28"/>
  <c r="R40" i="28"/>
  <c r="R29" i="28" s="1"/>
  <c r="Q40" i="28"/>
  <c r="P40" i="28"/>
  <c r="O40" i="28"/>
  <c r="N40" i="28"/>
  <c r="M40" i="28"/>
  <c r="L40" i="28"/>
  <c r="L29" i="28" s="1"/>
  <c r="K40" i="28"/>
  <c r="J40" i="28"/>
  <c r="I40" i="28"/>
  <c r="N40" i="11" s="1"/>
  <c r="H40" i="28"/>
  <c r="G40" i="28"/>
  <c r="S39" i="28"/>
  <c r="S38" i="28"/>
  <c r="S37" i="28"/>
  <c r="S36" i="28"/>
  <c r="S35" i="28"/>
  <c r="S34" i="28"/>
  <c r="S33" i="28"/>
  <c r="S32" i="28"/>
  <c r="S31" i="28"/>
  <c r="T31" i="28" s="1"/>
  <c r="R30" i="28"/>
  <c r="Q30" i="28"/>
  <c r="P30" i="28"/>
  <c r="O30" i="28"/>
  <c r="O29" i="28" s="1"/>
  <c r="N30" i="28"/>
  <c r="N29" i="28" s="1"/>
  <c r="M30" i="28"/>
  <c r="L30" i="28"/>
  <c r="K30" i="28"/>
  <c r="J30" i="28"/>
  <c r="I30" i="28"/>
  <c r="N30" i="11" s="1"/>
  <c r="H30" i="28"/>
  <c r="G30" i="28"/>
  <c r="S28" i="28"/>
  <c r="S27" i="28"/>
  <c r="S26" i="28"/>
  <c r="S25" i="28"/>
  <c r="S24" i="28"/>
  <c r="S23" i="28"/>
  <c r="S22" i="28"/>
  <c r="S21" i="28"/>
  <c r="S20" i="28"/>
  <c r="R19" i="28"/>
  <c r="Q19" i="28"/>
  <c r="P19" i="28"/>
  <c r="O19" i="28"/>
  <c r="N19" i="28"/>
  <c r="M19" i="28"/>
  <c r="M10" i="28" s="1"/>
  <c r="L19" i="28"/>
  <c r="K19" i="28"/>
  <c r="J19" i="28"/>
  <c r="I19" i="28"/>
  <c r="N19" i="11" s="1"/>
  <c r="H19" i="28"/>
  <c r="G19" i="28"/>
  <c r="S18" i="28"/>
  <c r="S17" i="28"/>
  <c r="S16" i="28"/>
  <c r="S15" i="28"/>
  <c r="S14" i="28"/>
  <c r="S13" i="28"/>
  <c r="S12" i="28"/>
  <c r="R11" i="28"/>
  <c r="R10" i="28" s="1"/>
  <c r="Q11" i="28"/>
  <c r="P11" i="28"/>
  <c r="O11" i="28"/>
  <c r="N11" i="28"/>
  <c r="M11" i="28"/>
  <c r="L11" i="28"/>
  <c r="K11" i="28"/>
  <c r="J11" i="28"/>
  <c r="J10" i="28" s="1"/>
  <c r="I11" i="28"/>
  <c r="N11" i="11" s="1"/>
  <c r="H11" i="28"/>
  <c r="G11" i="28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R5" i="28"/>
  <c r="Q5" i="28"/>
  <c r="P5" i="28"/>
  <c r="O5" i="28"/>
  <c r="N5" i="28"/>
  <c r="M5" i="28"/>
  <c r="L5" i="28"/>
  <c r="K5" i="28"/>
  <c r="J5" i="28"/>
  <c r="I5" i="28"/>
  <c r="H5" i="28"/>
  <c r="G5" i="28"/>
  <c r="J29" i="28" l="1"/>
  <c r="K29" i="28"/>
  <c r="N10" i="28"/>
  <c r="T139" i="28"/>
  <c r="T138" i="28"/>
  <c r="T131" i="28"/>
  <c r="T116" i="28"/>
  <c r="T105" i="28"/>
  <c r="T106" i="28"/>
  <c r="T112" i="28"/>
  <c r="T114" i="28"/>
  <c r="T109" i="28"/>
  <c r="T111" i="28"/>
  <c r="T113" i="28"/>
  <c r="T115" i="28"/>
  <c r="T110" i="28"/>
  <c r="T108" i="28"/>
  <c r="T107" i="28"/>
  <c r="G29" i="28"/>
  <c r="T48" i="28"/>
  <c r="T20" i="28"/>
  <c r="H10" i="28"/>
  <c r="D12" i="1" s="1"/>
  <c r="L10" i="28"/>
  <c r="L53" i="28" s="1"/>
  <c r="L60" i="28" s="1"/>
  <c r="L66" i="28" s="1"/>
  <c r="L61" i="28" s="1"/>
  <c r="P10" i="28"/>
  <c r="S19" i="28"/>
  <c r="G19" i="11" s="1"/>
  <c r="K10" i="28"/>
  <c r="K53" i="28" s="1"/>
  <c r="O10" i="28"/>
  <c r="O53" i="28" s="1"/>
  <c r="T13" i="28"/>
  <c r="T15" i="28"/>
  <c r="T17" i="28"/>
  <c r="T23" i="28"/>
  <c r="G25" i="11"/>
  <c r="T35" i="28"/>
  <c r="T39" i="28"/>
  <c r="T14" i="28"/>
  <c r="T18" i="28"/>
  <c r="T22" i="28"/>
  <c r="T24" i="28"/>
  <c r="T32" i="28"/>
  <c r="T36" i="28"/>
  <c r="T50" i="28"/>
  <c r="T59" i="28"/>
  <c r="T64" i="28"/>
  <c r="I10" i="28"/>
  <c r="N10" i="11" s="1"/>
  <c r="Q10" i="28"/>
  <c r="T26" i="28"/>
  <c r="T28" i="28"/>
  <c r="G31" i="11"/>
  <c r="T41" i="28"/>
  <c r="T43" i="28"/>
  <c r="T45" i="28"/>
  <c r="T47" i="28"/>
  <c r="T52" i="28"/>
  <c r="T65" i="28"/>
  <c r="G36" i="11"/>
  <c r="G23" i="11"/>
  <c r="T51" i="28"/>
  <c r="T56" i="28"/>
  <c r="T58" i="28"/>
  <c r="G48" i="11"/>
  <c r="G32" i="11"/>
  <c r="G20" i="11"/>
  <c r="T25" i="28"/>
  <c r="T27" i="28"/>
  <c r="T42" i="28"/>
  <c r="T44" i="28"/>
  <c r="T46" i="28"/>
  <c r="G44" i="11"/>
  <c r="G28" i="11"/>
  <c r="T21" i="28"/>
  <c r="T33" i="28"/>
  <c r="T37" i="28"/>
  <c r="T49" i="28"/>
  <c r="T63" i="28"/>
  <c r="G10" i="28"/>
  <c r="T12" i="28"/>
  <c r="T16" i="28"/>
  <c r="T34" i="28"/>
  <c r="T38" i="28"/>
  <c r="T57" i="28"/>
  <c r="T62" i="28"/>
  <c r="G52" i="11"/>
  <c r="G37" i="11"/>
  <c r="G24" i="11"/>
  <c r="G14" i="11"/>
  <c r="G62" i="11"/>
  <c r="G65" i="11"/>
  <c r="G64" i="11"/>
  <c r="G58" i="11"/>
  <c r="G56" i="11"/>
  <c r="G59" i="11"/>
  <c r="G57" i="11"/>
  <c r="G45" i="11"/>
  <c r="G41" i="11"/>
  <c r="G51" i="11"/>
  <c r="G47" i="11"/>
  <c r="G43" i="11"/>
  <c r="G50" i="11"/>
  <c r="G46" i="11"/>
  <c r="G42" i="11"/>
  <c r="G33" i="11"/>
  <c r="G39" i="11"/>
  <c r="G35" i="11"/>
  <c r="G38" i="11"/>
  <c r="G34" i="11"/>
  <c r="G27" i="11"/>
  <c r="G26" i="11"/>
  <c r="G22" i="11"/>
  <c r="G21" i="11"/>
  <c r="G18" i="11"/>
  <c r="G17" i="11"/>
  <c r="G13" i="11"/>
  <c r="G16" i="11"/>
  <c r="G12" i="11"/>
  <c r="G15" i="11"/>
  <c r="S86" i="28"/>
  <c r="T86" i="28" s="1"/>
  <c r="S55" i="28"/>
  <c r="H29" i="28"/>
  <c r="P29" i="28"/>
  <c r="I29" i="28"/>
  <c r="M29" i="28"/>
  <c r="M53" i="28" s="1"/>
  <c r="Q29" i="28"/>
  <c r="S40" i="28"/>
  <c r="S11" i="28"/>
  <c r="N53" i="28"/>
  <c r="N54" i="28" s="1"/>
  <c r="J53" i="28"/>
  <c r="J54" i="28" s="1"/>
  <c r="R53" i="28"/>
  <c r="R54" i="28" s="1"/>
  <c r="O54" i="28"/>
  <c r="O60" i="28"/>
  <c r="O66" i="28" s="1"/>
  <c r="O61" i="28" s="1"/>
  <c r="K60" i="28"/>
  <c r="K66" i="28" s="1"/>
  <c r="K61" i="28" s="1"/>
  <c r="K54" i="28"/>
  <c r="S30" i="28"/>
  <c r="S87" i="28"/>
  <c r="T87" i="28" s="1"/>
  <c r="I53" i="28" l="1"/>
  <c r="N53" i="11" s="1"/>
  <c r="N29" i="11"/>
  <c r="P53" i="28"/>
  <c r="H53" i="28"/>
  <c r="H54" i="28" s="1"/>
  <c r="D16" i="1"/>
  <c r="T19" i="28"/>
  <c r="D20" i="1"/>
  <c r="S10" i="28"/>
  <c r="R60" i="28"/>
  <c r="R66" i="28" s="1"/>
  <c r="R61" i="28" s="1"/>
  <c r="Q53" i="28"/>
  <c r="G53" i="28"/>
  <c r="G54" i="28" s="1"/>
  <c r="T55" i="28"/>
  <c r="G55" i="11"/>
  <c r="T40" i="28"/>
  <c r="G40" i="11"/>
  <c r="T30" i="28"/>
  <c r="G30" i="11"/>
  <c r="T11" i="28"/>
  <c r="G11" i="11"/>
  <c r="M54" i="28"/>
  <c r="M60" i="28"/>
  <c r="M66" i="28" s="1"/>
  <c r="M61" i="28" s="1"/>
  <c r="I60" i="28"/>
  <c r="I54" i="28"/>
  <c r="N54" i="11" s="1"/>
  <c r="P54" i="28"/>
  <c r="P60" i="28"/>
  <c r="P66" i="28" s="1"/>
  <c r="P61" i="28" s="1"/>
  <c r="Q60" i="28"/>
  <c r="Q66" i="28" s="1"/>
  <c r="Q61" i="28" s="1"/>
  <c r="Q54" i="28"/>
  <c r="N60" i="28"/>
  <c r="N66" i="28" s="1"/>
  <c r="N61" i="28" s="1"/>
  <c r="L54" i="28"/>
  <c r="S29" i="28"/>
  <c r="J60" i="28"/>
  <c r="J66" i="28" s="1"/>
  <c r="J61" i="28" s="1"/>
  <c r="H60" i="28" l="1"/>
  <c r="H66" i="28" s="1"/>
  <c r="I66" i="28"/>
  <c r="N60" i="11"/>
  <c r="G10" i="11"/>
  <c r="T10" i="28"/>
  <c r="S53" i="28"/>
  <c r="S60" i="28" s="1"/>
  <c r="G60" i="28"/>
  <c r="G66" i="28" s="1"/>
  <c r="G61" i="28" s="1"/>
  <c r="T29" i="28"/>
  <c r="G29" i="11"/>
  <c r="S129" i="28"/>
  <c r="S54" i="28"/>
  <c r="G19" i="26"/>
  <c r="H19" i="26"/>
  <c r="I61" i="28" l="1"/>
  <c r="N61" i="11" s="1"/>
  <c r="N66" i="11"/>
  <c r="T129" i="28"/>
  <c r="H61" i="28"/>
  <c r="T53" i="28"/>
  <c r="G53" i="11"/>
  <c r="G60" i="11"/>
  <c r="T54" i="28"/>
  <c r="G54" i="11"/>
  <c r="S130" i="28"/>
  <c r="S136" i="28"/>
  <c r="S66" i="28"/>
  <c r="T60" i="28"/>
  <c r="G55" i="26"/>
  <c r="T136" i="28" l="1"/>
  <c r="T130" i="28"/>
  <c r="S61" i="28"/>
  <c r="T66" i="28"/>
  <c r="G66" i="11"/>
  <c r="S142" i="28"/>
  <c r="I19" i="26"/>
  <c r="T142" i="28" l="1"/>
  <c r="T61" i="28"/>
  <c r="G61" i="11"/>
  <c r="S137" i="28"/>
  <c r="A142" i="27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P87" i="27"/>
  <c r="O87" i="27"/>
  <c r="N87" i="27"/>
  <c r="M87" i="27"/>
  <c r="M86" i="27" s="1"/>
  <c r="L87" i="27"/>
  <c r="L86" i="27" s="1"/>
  <c r="K87" i="27"/>
  <c r="J87" i="27"/>
  <c r="I87" i="27"/>
  <c r="H87" i="27"/>
  <c r="H86" i="27" s="1"/>
  <c r="G87" i="27"/>
  <c r="A87" i="27"/>
  <c r="P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I29" i="27" l="1"/>
  <c r="I86" i="27"/>
  <c r="Q86" i="27"/>
  <c r="T137" i="28"/>
  <c r="M10" i="27"/>
  <c r="J105" i="27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I129" i="27" s="1"/>
  <c r="M105" i="27"/>
  <c r="M129" i="27" s="1"/>
  <c r="Q105" i="27"/>
  <c r="Q129" i="27" s="1"/>
  <c r="L10" i="27"/>
  <c r="L53" i="27" s="1"/>
  <c r="L54" i="27" s="1"/>
  <c r="R106" i="27"/>
  <c r="R105" i="27" s="1"/>
  <c r="R129" i="27" s="1"/>
  <c r="G105" i="27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S11" i="27"/>
  <c r="T11" i="27" s="1"/>
  <c r="S116" i="27"/>
  <c r="T116" i="27" s="1"/>
  <c r="S109" i="27"/>
  <c r="T109" i="27" s="1"/>
  <c r="L136" i="27" l="1"/>
  <c r="L142" i="27" s="1"/>
  <c r="L137" i="27" s="1"/>
  <c r="G129" i="27"/>
  <c r="J130" i="27"/>
  <c r="J136" i="27"/>
  <c r="J142" i="27" s="1"/>
  <c r="J137" i="27" s="1"/>
  <c r="G53" i="27"/>
  <c r="G60" i="27" s="1"/>
  <c r="N130" i="27"/>
  <c r="O53" i="27"/>
  <c r="O54" i="27" s="1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S53" i="27" l="1"/>
  <c r="O60" i="27"/>
  <c r="H66" i="27"/>
  <c r="H54" i="27"/>
  <c r="O130" i="27"/>
  <c r="S130" i="27" s="1"/>
  <c r="T130" i="27" s="1"/>
  <c r="O136" i="27"/>
  <c r="O142" i="27" s="1"/>
  <c r="O137" i="27" s="1"/>
  <c r="G66" i="27"/>
  <c r="G142" i="27"/>
  <c r="S60" i="27"/>
  <c r="T53" i="27"/>
  <c r="S59" i="11"/>
  <c r="P59" i="11"/>
  <c r="S136" i="27" l="1"/>
  <c r="T136" i="27" s="1"/>
  <c r="O66" i="27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J10" i="26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T65" i="11"/>
  <c r="S65" i="11"/>
  <c r="G142" i="26" l="1"/>
  <c r="L66" i="26"/>
  <c r="K66" i="26"/>
  <c r="J66" i="26"/>
  <c r="H142" i="26"/>
  <c r="K137" i="26"/>
  <c r="S59" i="26"/>
  <c r="S65" i="26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P54" i="26"/>
  <c r="O54" i="26"/>
  <c r="T10" i="26"/>
  <c r="G12" i="1"/>
  <c r="H12" i="1" s="1"/>
  <c r="T105" i="26"/>
  <c r="Q130" i="26"/>
  <c r="M130" i="26"/>
  <c r="S129" i="26"/>
  <c r="T129" i="26" s="1"/>
  <c r="G11" i="2"/>
  <c r="R66" i="26" l="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M61" i="25" s="1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O55" i="20" l="1"/>
  <c r="L30" i="20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P29" i="20" l="1"/>
  <c r="I29" i="20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E12" i="1" s="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I218" i="6"/>
  <c r="EJ218" i="6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Q218" i="6"/>
  <c r="ER218" i="6"/>
  <c r="ES218" i="6"/>
  <c r="ES217" i="6" s="1"/>
  <c r="ES216" i="6" s="1"/>
  <c r="ER217" i="6" l="1"/>
  <c r="ER216" i="6" s="1"/>
  <c r="EJ217" i="6"/>
  <c r="EJ216" i="6" s="1"/>
  <c r="EI217" i="6"/>
  <c r="EI216" i="6" s="1"/>
  <c r="EP217" i="6"/>
  <c r="EP216" i="6" s="1"/>
  <c r="EH217" i="6"/>
  <c r="EH216" i="6" s="1"/>
  <c r="EM217" i="6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8" s="1"/>
  <c r="G249" i="2"/>
  <c r="G243" i="2"/>
  <c r="R8" i="28" s="1"/>
  <c r="R84" i="28" s="1"/>
  <c r="G242" i="2"/>
  <c r="Q8" i="28" s="1"/>
  <c r="Q84" i="28" s="1"/>
  <c r="G241" i="2"/>
  <c r="G240" i="2"/>
  <c r="O8" i="28" s="1"/>
  <c r="O84" i="28" s="1"/>
  <c r="G239" i="2"/>
  <c r="N8" i="28" s="1"/>
  <c r="N84" i="28" s="1"/>
  <c r="G238" i="2"/>
  <c r="M8" i="28" s="1"/>
  <c r="M84" i="28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8" s="1"/>
  <c r="G7" i="2"/>
  <c r="E3" i="28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B11" i="28" l="1"/>
  <c r="B87" i="28"/>
  <c r="B15" i="28"/>
  <c r="B91" i="28"/>
  <c r="B19" i="28"/>
  <c r="B95" i="28"/>
  <c r="B23" i="28"/>
  <c r="B99" i="28"/>
  <c r="B25" i="28"/>
  <c r="B101" i="28"/>
  <c r="B64" i="28"/>
  <c r="B140" i="28"/>
  <c r="B63" i="28"/>
  <c r="B139" i="28"/>
  <c r="B31" i="28"/>
  <c r="B107" i="28"/>
  <c r="B40" i="28"/>
  <c r="B116" i="28"/>
  <c r="B55" i="28"/>
  <c r="B131" i="28"/>
  <c r="B50" i="28"/>
  <c r="B126" i="28"/>
  <c r="B49" i="28"/>
  <c r="B125" i="28"/>
  <c r="B53" i="28"/>
  <c r="B129" i="28"/>
  <c r="B61" i="28"/>
  <c r="B137" i="28"/>
  <c r="B83" i="27"/>
  <c r="B83" i="28"/>
  <c r="B12" i="28"/>
  <c r="B88" i="28"/>
  <c r="B16" i="28"/>
  <c r="B92" i="28"/>
  <c r="B20" i="28"/>
  <c r="B96" i="28"/>
  <c r="B24" i="28"/>
  <c r="B100" i="28"/>
  <c r="B29" i="28"/>
  <c r="B105" i="28"/>
  <c r="B34" i="28"/>
  <c r="B110" i="28"/>
  <c r="B41" i="28"/>
  <c r="B117" i="28"/>
  <c r="B42" i="28"/>
  <c r="B118" i="28"/>
  <c r="B45" i="28"/>
  <c r="B121" i="28"/>
  <c r="B46" i="28"/>
  <c r="B122" i="28"/>
  <c r="B54" i="28"/>
  <c r="B130" i="28"/>
  <c r="E2" i="27"/>
  <c r="E2" i="28"/>
  <c r="B10" i="28"/>
  <c r="B86" i="28"/>
  <c r="B13" i="28"/>
  <c r="B89" i="28"/>
  <c r="B17" i="28"/>
  <c r="B93" i="28"/>
  <c r="B21" i="28"/>
  <c r="B97" i="28"/>
  <c r="B26" i="28"/>
  <c r="B102" i="28"/>
  <c r="B28" i="28"/>
  <c r="B104" i="28"/>
  <c r="B32" i="28"/>
  <c r="B108" i="28"/>
  <c r="B33" i="28"/>
  <c r="B109" i="28"/>
  <c r="B37" i="28"/>
  <c r="B113" i="28"/>
  <c r="B38" i="28"/>
  <c r="B114" i="28"/>
  <c r="B39" i="28"/>
  <c r="B115" i="28"/>
  <c r="B48" i="28"/>
  <c r="B59" i="28"/>
  <c r="B124" i="28"/>
  <c r="B56" i="28"/>
  <c r="B132" i="28"/>
  <c r="B66" i="28"/>
  <c r="B142" i="28"/>
  <c r="S7" i="27"/>
  <c r="S83" i="27" s="1"/>
  <c r="S7" i="28"/>
  <c r="S83" i="28" s="1"/>
  <c r="B14" i="28"/>
  <c r="B90" i="28"/>
  <c r="B18" i="28"/>
  <c r="B94" i="28"/>
  <c r="B22" i="28"/>
  <c r="B98" i="28"/>
  <c r="B27" i="28"/>
  <c r="B103" i="28"/>
  <c r="B62" i="28"/>
  <c r="B138" i="28"/>
  <c r="B30" i="28"/>
  <c r="B106" i="28"/>
  <c r="B35" i="28"/>
  <c r="B111" i="28"/>
  <c r="B36" i="28"/>
  <c r="B112" i="28"/>
  <c r="B43" i="28"/>
  <c r="B119" i="28"/>
  <c r="B44" i="28"/>
  <c r="B120" i="28"/>
  <c r="B47" i="28"/>
  <c r="B123" i="28"/>
  <c r="B58" i="28"/>
  <c r="B134" i="28"/>
  <c r="B57" i="28"/>
  <c r="B133" i="28"/>
  <c r="B51" i="28"/>
  <c r="B127" i="28"/>
  <c r="B60" i="28"/>
  <c r="B136" i="28"/>
  <c r="B52" i="28"/>
  <c r="B128" i="28"/>
  <c r="P8" i="27"/>
  <c r="P84" i="27" s="1"/>
  <c r="P8" i="28"/>
  <c r="P84" i="28" s="1"/>
  <c r="CS350" i="6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8" l="1"/>
  <c r="S8" i="28"/>
  <c r="T9" i="27"/>
  <c r="T85" i="27" s="1"/>
  <c r="T9" i="28"/>
  <c r="T85" i="28" s="1"/>
  <c r="S84" i="27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54" i="26"/>
  <c r="G66" i="26" l="1"/>
  <c r="Q37" i="1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G61" i="26" l="1"/>
  <c r="T46" i="1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P30" i="11"/>
  <c r="T37" i="26" l="1"/>
  <c r="T50" i="26"/>
  <c r="P29" i="11"/>
  <c r="Q29" i="11"/>
  <c r="T44" i="26"/>
  <c r="T41" i="26"/>
  <c r="T34" i="26"/>
  <c r="H30" i="26"/>
  <c r="S32" i="26"/>
  <c r="T36" i="26"/>
  <c r="S46" i="26"/>
  <c r="I60" i="26"/>
  <c r="I54" i="26"/>
  <c r="H40" i="26"/>
  <c r="T38" i="26"/>
  <c r="T45" i="26"/>
  <c r="T39" i="26"/>
  <c r="T47" i="26"/>
  <c r="T33" i="26"/>
  <c r="T49" i="26"/>
  <c r="T35" i="26"/>
  <c r="T42" i="26"/>
  <c r="S40" i="26" l="1"/>
  <c r="I49" i="11"/>
  <c r="J49" i="11"/>
  <c r="M49" i="11"/>
  <c r="L49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T30" i="11" l="1"/>
  <c r="S30" i="11"/>
  <c r="T40" i="11"/>
  <c r="S40" i="11"/>
  <c r="I61" i="26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Q60" i="11"/>
  <c r="H53" i="26"/>
  <c r="S29" i="26"/>
  <c r="S29" i="11" l="1"/>
  <c r="E16" i="1" s="1"/>
  <c r="T29" i="11"/>
  <c r="J30" i="11"/>
  <c r="I30" i="11"/>
  <c r="L30" i="11"/>
  <c r="M30" i="11"/>
  <c r="T29" i="26"/>
  <c r="Q66" i="11"/>
  <c r="P66" i="11"/>
  <c r="H54" i="26"/>
  <c r="H60" i="26"/>
  <c r="S53" i="26"/>
  <c r="P61" i="11"/>
  <c r="Q61" i="11"/>
  <c r="S54" i="26" l="1"/>
  <c r="H66" i="26"/>
  <c r="S53" i="11"/>
  <c r="E20" i="1" s="1"/>
  <c r="T53" i="11"/>
  <c r="T54" i="26"/>
  <c r="S60" i="26"/>
  <c r="T53" i="26"/>
  <c r="G16" i="1"/>
  <c r="H16" i="1" s="1"/>
  <c r="M29" i="11"/>
  <c r="L29" i="11"/>
  <c r="J29" i="11"/>
  <c r="I29" i="11"/>
  <c r="S60" i="11" l="1"/>
  <c r="T60" i="11"/>
  <c r="T54" i="11"/>
  <c r="S54" i="11"/>
  <c r="H61" i="26"/>
  <c r="M54" i="11"/>
  <c r="L54" i="11"/>
  <c r="J54" i="11"/>
  <c r="I54" i="11"/>
  <c r="G20" i="1"/>
  <c r="H20" i="1" s="1"/>
  <c r="L53" i="11"/>
  <c r="M53" i="11"/>
  <c r="I53" i="11"/>
  <c r="J53" i="11"/>
  <c r="J61" i="11"/>
  <c r="I61" i="11"/>
  <c r="S66" i="26"/>
  <c r="T60" i="26"/>
  <c r="S61" i="26" l="1"/>
  <c r="T61" i="26" s="1"/>
  <c r="T66" i="11"/>
  <c r="S66" i="11"/>
  <c r="L60" i="11"/>
  <c r="M60" i="11"/>
  <c r="J60" i="11"/>
  <c r="I60" i="11"/>
  <c r="T66" i="26"/>
  <c r="L61" i="11" l="1"/>
  <c r="M61" i="11"/>
  <c r="T61" i="11"/>
  <c r="S61" i="11"/>
  <c r="L66" i="1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<sst xmlns="http://schemas.openxmlformats.org/spreadsheetml/2006/main" count="1911" uniqueCount="881">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</sst>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79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3000000}"/>
    <cellStyle name="2 indents 2" xfId="112" xr:uid="{00000000-0005-0000-0000-000004000000}"/>
    <cellStyle name="2 indents 3" xfId="188" xr:uid="{00000000-0005-0000-0000-000005000000}"/>
    <cellStyle name="20% - Accent1" xfId="19" builtinId="30" customBuiltin="1"/>
    <cellStyle name="20% - Accent1 2" xfId="99" xr:uid="{00000000-0005-0000-0000-000007000000}"/>
    <cellStyle name="20% - Accent1 2 2" xfId="170" xr:uid="{00000000-0005-0000-0000-000008000000}"/>
    <cellStyle name="20% - Accent1 2 3" xfId="189" xr:uid="{00000000-0005-0000-0000-000009000000}"/>
    <cellStyle name="20% - Accent1 3" xfId="136" xr:uid="{00000000-0005-0000-0000-00000A000000}"/>
    <cellStyle name="20% - Accent2" xfId="23" builtinId="34" customBuiltin="1"/>
    <cellStyle name="20% - Accent2 2" xfId="101" xr:uid="{00000000-0005-0000-0000-00000C000000}"/>
    <cellStyle name="20% - Accent2 2 2" xfId="172" xr:uid="{00000000-0005-0000-0000-00000D000000}"/>
    <cellStyle name="20% - Accent2 2 3" xfId="190" xr:uid="{00000000-0005-0000-0000-00000E000000}"/>
    <cellStyle name="20% - Accent2 3" xfId="138" xr:uid="{00000000-0005-0000-0000-00000F000000}"/>
    <cellStyle name="20% - Accent3" xfId="27" builtinId="38" customBuiltin="1"/>
    <cellStyle name="20% - Accent3 2" xfId="103" xr:uid="{00000000-0005-0000-0000-000011000000}"/>
    <cellStyle name="20% - Accent3 2 2" xfId="174" xr:uid="{00000000-0005-0000-0000-000012000000}"/>
    <cellStyle name="20% - Accent3 2 3" xfId="191" xr:uid="{00000000-0005-0000-0000-000013000000}"/>
    <cellStyle name="20% - Accent3 3" xfId="140" xr:uid="{00000000-0005-0000-0000-000014000000}"/>
    <cellStyle name="20% - Accent4" xfId="31" builtinId="42" customBuiltin="1"/>
    <cellStyle name="20% - Accent4 2" xfId="105" xr:uid="{00000000-0005-0000-0000-000016000000}"/>
    <cellStyle name="20% - Accent4 2 2" xfId="176" xr:uid="{00000000-0005-0000-0000-000017000000}"/>
    <cellStyle name="20% - Accent4 2 3" xfId="192" xr:uid="{00000000-0005-0000-0000-000018000000}"/>
    <cellStyle name="20% - Accent4 3" xfId="142" xr:uid="{00000000-0005-0000-0000-000019000000}"/>
    <cellStyle name="20% - Accent5" xfId="35" builtinId="46" customBuiltin="1"/>
    <cellStyle name="20% - Accent5 2" xfId="107" xr:uid="{00000000-0005-0000-0000-00001B000000}"/>
    <cellStyle name="20% - Accent5 2 2" xfId="178" xr:uid="{00000000-0005-0000-0000-00001C000000}"/>
    <cellStyle name="20% - Accent5 2 3" xfId="193" xr:uid="{00000000-0005-0000-0000-00001D000000}"/>
    <cellStyle name="20% - Accent5 3" xfId="144" xr:uid="{00000000-0005-0000-0000-00001E000000}"/>
    <cellStyle name="20% - Accent6" xfId="39" builtinId="50" customBuiltin="1"/>
    <cellStyle name="20% - Accent6 2" xfId="109" xr:uid="{00000000-0005-0000-0000-000020000000}"/>
    <cellStyle name="20% - Accent6 2 2" xfId="180" xr:uid="{00000000-0005-0000-0000-000021000000}"/>
    <cellStyle name="20% - Accent6 2 3" xfId="194" xr:uid="{00000000-0005-0000-0000-000022000000}"/>
    <cellStyle name="20% - Accent6 3" xfId="146" xr:uid="{00000000-0005-0000-0000-000023000000}"/>
    <cellStyle name="3 indents" xfId="44" xr:uid="{00000000-0005-0000-0000-000024000000}"/>
    <cellStyle name="3 indents 2" xfId="113" xr:uid="{00000000-0005-0000-0000-000025000000}"/>
    <cellStyle name="3 indents 3" xfId="195" xr:uid="{00000000-0005-0000-0000-000026000000}"/>
    <cellStyle name="4 indents" xfId="45" xr:uid="{00000000-0005-0000-0000-000027000000}"/>
    <cellStyle name="4 indents 2" xfId="122" xr:uid="{00000000-0005-0000-0000-000028000000}"/>
    <cellStyle name="4 indents 3" xfId="196" xr:uid="{00000000-0005-0000-0000-000029000000}"/>
    <cellStyle name="40% - Accent1" xfId="20" builtinId="31" customBuiltin="1"/>
    <cellStyle name="40% - Accent1 2" xfId="100" xr:uid="{00000000-0005-0000-0000-00002B000000}"/>
    <cellStyle name="40% - Accent1 2 2" xfId="171" xr:uid="{00000000-0005-0000-0000-00002C000000}"/>
    <cellStyle name="40% - Accent1 2 3" xfId="197" xr:uid="{00000000-0005-0000-0000-00002D000000}"/>
    <cellStyle name="40% - Accent1 3" xfId="137" xr:uid="{00000000-0005-0000-0000-00002E000000}"/>
    <cellStyle name="40% - Accent2" xfId="24" builtinId="35" customBuiltin="1"/>
    <cellStyle name="40% - Accent2 2" xfId="102" xr:uid="{00000000-0005-0000-0000-000030000000}"/>
    <cellStyle name="40% - Accent2 2 2" xfId="173" xr:uid="{00000000-0005-0000-0000-000031000000}"/>
    <cellStyle name="40% - Accent2 2 3" xfId="198" xr:uid="{00000000-0005-0000-0000-000032000000}"/>
    <cellStyle name="40% - Accent2 3" xfId="139" xr:uid="{00000000-0005-0000-0000-000033000000}"/>
    <cellStyle name="40% - Accent3" xfId="28" builtinId="39" customBuiltin="1"/>
    <cellStyle name="40% - Accent3 2" xfId="104" xr:uid="{00000000-0005-0000-0000-000035000000}"/>
    <cellStyle name="40% - Accent3 2 2" xfId="175" xr:uid="{00000000-0005-0000-0000-000036000000}"/>
    <cellStyle name="40% - Accent3 2 3" xfId="199" xr:uid="{00000000-0005-0000-0000-000037000000}"/>
    <cellStyle name="40% - Accent3 3" xfId="141" xr:uid="{00000000-0005-0000-0000-000038000000}"/>
    <cellStyle name="40% - Accent4" xfId="32" builtinId="43" customBuiltin="1"/>
    <cellStyle name="40% - Accent4 2" xfId="106" xr:uid="{00000000-0005-0000-0000-00003A000000}"/>
    <cellStyle name="40% - Accent4 2 2" xfId="177" xr:uid="{00000000-0005-0000-0000-00003B000000}"/>
    <cellStyle name="40% - Accent4 2 3" xfId="200" xr:uid="{00000000-0005-0000-0000-00003C000000}"/>
    <cellStyle name="40% - Accent4 3" xfId="143" xr:uid="{00000000-0005-0000-0000-00003D000000}"/>
    <cellStyle name="40% - Accent5" xfId="36" builtinId="47" customBuiltin="1"/>
    <cellStyle name="40% - Accent5 2" xfId="108" xr:uid="{00000000-0005-0000-0000-00003F000000}"/>
    <cellStyle name="40% - Accent5 2 2" xfId="179" xr:uid="{00000000-0005-0000-0000-000040000000}"/>
    <cellStyle name="40% - Accent5 2 3" xfId="201" xr:uid="{00000000-0005-0000-0000-000041000000}"/>
    <cellStyle name="40% - Accent5 3" xfId="145" xr:uid="{00000000-0005-0000-0000-000042000000}"/>
    <cellStyle name="40% - Accent6" xfId="40" builtinId="51" customBuiltin="1"/>
    <cellStyle name="40% - Accent6 2" xfId="110" xr:uid="{00000000-0005-0000-0000-000044000000}"/>
    <cellStyle name="40% - Accent6 2 2" xfId="181" xr:uid="{00000000-0005-0000-0000-000045000000}"/>
    <cellStyle name="40% - Accent6 2 3" xfId="202" xr:uid="{00000000-0005-0000-0000-000046000000}"/>
    <cellStyle name="40% - Accent6 3" xfId="147" xr:uid="{00000000-0005-0000-0000-000047000000}"/>
    <cellStyle name="60% - Accent1" xfId="21" builtinId="32" customBuiltin="1"/>
    <cellStyle name="60% - Accent1 2" xfId="203" xr:uid="{00000000-0005-0000-0000-000049000000}"/>
    <cellStyle name="60% - Accent2" xfId="25" builtinId="36" customBuiltin="1"/>
    <cellStyle name="60% - Accent2 2" xfId="204" xr:uid="{00000000-0005-0000-0000-00004B000000}"/>
    <cellStyle name="60% - Accent3" xfId="29" builtinId="40" customBuiltin="1"/>
    <cellStyle name="60% - Accent3 2" xfId="205" xr:uid="{00000000-0005-0000-0000-00004D000000}"/>
    <cellStyle name="60% - Accent4" xfId="33" builtinId="44" customBuiltin="1"/>
    <cellStyle name="60% - Accent4 2" xfId="206" xr:uid="{00000000-0005-0000-0000-00004F000000}"/>
    <cellStyle name="60% - Accent5" xfId="37" builtinId="48" customBuiltin="1"/>
    <cellStyle name="60% - Accent5 2" xfId="207" xr:uid="{00000000-0005-0000-0000-000051000000}"/>
    <cellStyle name="60% - Accent6" xfId="41" builtinId="52" customBuiltin="1"/>
    <cellStyle name="60% - Accent6 2" xfId="208" xr:uid="{00000000-0005-0000-0000-000053000000}"/>
    <cellStyle name="Accent1" xfId="18" builtinId="29" customBuiltin="1"/>
    <cellStyle name="Accent1 2" xfId="209" xr:uid="{00000000-0005-0000-0000-000055000000}"/>
    <cellStyle name="Accent2" xfId="22" builtinId="33" customBuiltin="1"/>
    <cellStyle name="Accent2 2" xfId="210" xr:uid="{00000000-0005-0000-0000-000057000000}"/>
    <cellStyle name="Accent3" xfId="26" builtinId="37" customBuiltin="1"/>
    <cellStyle name="Accent3 2" xfId="211" xr:uid="{00000000-0005-0000-0000-000059000000}"/>
    <cellStyle name="Accent4" xfId="30" builtinId="41" customBuiltin="1"/>
    <cellStyle name="Accent4 2" xfId="212" xr:uid="{00000000-0005-0000-0000-00005B000000}"/>
    <cellStyle name="Accent5" xfId="34" builtinId="45" customBuiltin="1"/>
    <cellStyle name="Accent5 2" xfId="213" xr:uid="{00000000-0005-0000-0000-00005D000000}"/>
    <cellStyle name="Accent6" xfId="38" builtinId="49" customBuiltin="1"/>
    <cellStyle name="Accent6 2" xfId="214" xr:uid="{00000000-0005-0000-0000-00005F000000}"/>
    <cellStyle name="Bad" xfId="8" builtinId="27" customBuiltin="1"/>
    <cellStyle name="Bad 2" xfId="78" xr:uid="{00000000-0005-0000-0000-000061000000}"/>
    <cellStyle name="Bad 2 2" xfId="215" xr:uid="{00000000-0005-0000-0000-000062000000}"/>
    <cellStyle name="Calculation" xfId="12" builtinId="22" customBuiltin="1"/>
    <cellStyle name="Calculation 2" xfId="216" xr:uid="{00000000-0005-0000-0000-000064000000}"/>
    <cellStyle name="Check Cell" xfId="14" builtinId="23" customBuiltin="1"/>
    <cellStyle name="Check Cell 2" xfId="217" xr:uid="{00000000-0005-0000-0000-000066000000}"/>
    <cellStyle name="Comma" xfId="130" builtinId="3"/>
    <cellStyle name="Comma 2" xfId="185" xr:uid="{00000000-0005-0000-0000-000068000000}"/>
    <cellStyle name="Comma 2 2" xfId="298" xr:uid="{00000000-0005-0000-0000-000069000000}"/>
    <cellStyle name="Comma 2 3" xfId="219" xr:uid="{00000000-0005-0000-0000-00006A000000}"/>
    <cellStyle name="Comma 3" xfId="297" xr:uid="{00000000-0005-0000-0000-00006B000000}"/>
    <cellStyle name="Comma 4" xfId="218" xr:uid="{00000000-0005-0000-0000-00006C000000}"/>
    <cellStyle name="Currency" xfId="131" builtinId="4"/>
    <cellStyle name="Date" xfId="46" xr:uid="{00000000-0005-0000-0000-00006E000000}"/>
    <cellStyle name="Excel Built-in Normal" xfId="220" xr:uid="{00000000-0005-0000-0000-00006F000000}"/>
    <cellStyle name="Excel Built-in Normal 2" xfId="221" xr:uid="{00000000-0005-0000-0000-000070000000}"/>
    <cellStyle name="Excel Built-in Normal 2 2" xfId="222" xr:uid="{00000000-0005-0000-0000-000071000000}"/>
    <cellStyle name="Excel Built-in Normal 2 3" xfId="223" xr:uid="{00000000-0005-0000-0000-000072000000}"/>
    <cellStyle name="Explanatory Text" xfId="16" builtinId="53" customBuiltin="1"/>
    <cellStyle name="Explanatory Text 2" xfId="224" xr:uid="{00000000-0005-0000-0000-000074000000}"/>
    <cellStyle name="F2" xfId="47" xr:uid="{00000000-0005-0000-0000-000075000000}"/>
    <cellStyle name="F3" xfId="48" xr:uid="{00000000-0005-0000-0000-000076000000}"/>
    <cellStyle name="F4" xfId="49" xr:uid="{00000000-0005-0000-0000-000077000000}"/>
    <cellStyle name="F5" xfId="50" xr:uid="{00000000-0005-0000-0000-000078000000}"/>
    <cellStyle name="F6" xfId="51" xr:uid="{00000000-0005-0000-0000-000079000000}"/>
    <cellStyle name="F7" xfId="52" xr:uid="{00000000-0005-0000-0000-00007A000000}"/>
    <cellStyle name="F8" xfId="53" xr:uid="{00000000-0005-0000-0000-00007B000000}"/>
    <cellStyle name="Fixed" xfId="54" xr:uid="{00000000-0005-0000-0000-00007C000000}"/>
    <cellStyle name="Good" xfId="7" builtinId="26" customBuiltin="1"/>
    <cellStyle name="Good 2" xfId="225" xr:uid="{00000000-0005-0000-0000-00007E000000}"/>
    <cellStyle name="Heading 1" xfId="3" builtinId="16" customBuiltin="1"/>
    <cellStyle name="Heading 1 2" xfId="226" xr:uid="{00000000-0005-0000-0000-000080000000}"/>
    <cellStyle name="Heading 2" xfId="4" builtinId="17" customBuiltin="1"/>
    <cellStyle name="Heading 2 2" xfId="227" xr:uid="{00000000-0005-0000-0000-000082000000}"/>
    <cellStyle name="Heading 3" xfId="5" builtinId="18" customBuiltin="1"/>
    <cellStyle name="Heading 3 2" xfId="228" xr:uid="{00000000-0005-0000-0000-000084000000}"/>
    <cellStyle name="Heading 4" xfId="6" builtinId="19" customBuiltin="1"/>
    <cellStyle name="Heading 4 2" xfId="229" xr:uid="{00000000-0005-0000-0000-000086000000}"/>
    <cellStyle name="HEADING1" xfId="55" xr:uid="{00000000-0005-0000-0000-000087000000}"/>
    <cellStyle name="HEADING2" xfId="56" xr:uid="{00000000-0005-0000-0000-000088000000}"/>
    <cellStyle name="imf-one decimal" xfId="57" xr:uid="{00000000-0005-0000-0000-000089000000}"/>
    <cellStyle name="imf-one decimal 2" xfId="114" xr:uid="{00000000-0005-0000-0000-00008A000000}"/>
    <cellStyle name="imf-one decimal 3" xfId="230" xr:uid="{00000000-0005-0000-0000-00008B000000}"/>
    <cellStyle name="imf-zero decimal" xfId="58" xr:uid="{00000000-0005-0000-0000-00008C000000}"/>
    <cellStyle name="imf-zero decimal 2" xfId="115" xr:uid="{00000000-0005-0000-0000-00008D000000}"/>
    <cellStyle name="imf-zero decimal 3" xfId="231" xr:uid="{00000000-0005-0000-0000-00008E000000}"/>
    <cellStyle name="Input" xfId="10" builtinId="20" customBuiltin="1"/>
    <cellStyle name="Input 2" xfId="232" xr:uid="{00000000-0005-0000-0000-000090000000}"/>
    <cellStyle name="Label" xfId="59" xr:uid="{00000000-0005-0000-0000-000091000000}"/>
    <cellStyle name="Label 2" xfId="233" xr:uid="{00000000-0005-0000-0000-000092000000}"/>
    <cellStyle name="Linked Cell" xfId="13" builtinId="24" customBuiltin="1"/>
    <cellStyle name="Linked Cell 2" xfId="234" xr:uid="{00000000-0005-0000-0000-000094000000}"/>
    <cellStyle name="Neutral" xfId="9" builtinId="28" customBuiltin="1"/>
    <cellStyle name="Neutral 2" xfId="235" xr:uid="{00000000-0005-0000-0000-000096000000}"/>
    <cellStyle name="Normal" xfId="0" builtinId="0"/>
    <cellStyle name="Normal - Style1" xfId="60" xr:uid="{00000000-0005-0000-0000-000098000000}"/>
    <cellStyle name="Normal - Style2" xfId="61" xr:uid="{00000000-0005-0000-0000-000099000000}"/>
    <cellStyle name="Normal - Style3" xfId="62" xr:uid="{00000000-0005-0000-0000-00009A000000}"/>
    <cellStyle name="Normal 10" xfId="74" xr:uid="{00000000-0005-0000-0000-00009B000000}"/>
    <cellStyle name="Normal 10 2" xfId="154" xr:uid="{00000000-0005-0000-0000-00009C000000}"/>
    <cellStyle name="Normal 10 2 2" xfId="322" xr:uid="{00000000-0005-0000-0000-00009D000000}"/>
    <cellStyle name="Normal 10 2 2 2" xfId="346" xr:uid="{00000000-0005-0000-0000-00009E000000}"/>
    <cellStyle name="Normal 10 2 2 3" xfId="370" xr:uid="{00000000-0005-0000-0000-00009F000000}"/>
    <cellStyle name="Normal 10 2 3" xfId="334" xr:uid="{00000000-0005-0000-0000-0000A0000000}"/>
    <cellStyle name="Normal 10 2 4" xfId="358" xr:uid="{00000000-0005-0000-0000-0000A1000000}"/>
    <cellStyle name="Normal 10 2 5" xfId="310" xr:uid="{00000000-0005-0000-0000-0000A2000000}"/>
    <cellStyle name="Normal 10 3" xfId="316" xr:uid="{00000000-0005-0000-0000-0000A3000000}"/>
    <cellStyle name="Normal 10 3 2" xfId="340" xr:uid="{00000000-0005-0000-0000-0000A4000000}"/>
    <cellStyle name="Normal 10 3 3" xfId="364" xr:uid="{00000000-0005-0000-0000-0000A5000000}"/>
    <cellStyle name="Normal 10 4" xfId="328" xr:uid="{00000000-0005-0000-0000-0000A6000000}"/>
    <cellStyle name="Normal 10 5" xfId="352" xr:uid="{00000000-0005-0000-0000-0000A7000000}"/>
    <cellStyle name="Normal 10 6" xfId="293" xr:uid="{00000000-0005-0000-0000-0000A8000000}"/>
    <cellStyle name="Normal 11" xfId="75" xr:uid="{00000000-0005-0000-0000-0000A9000000}"/>
    <cellStyle name="Normal 11 2" xfId="155" xr:uid="{00000000-0005-0000-0000-0000AA000000}"/>
    <cellStyle name="Normal 11 2 2" xfId="323" xr:uid="{00000000-0005-0000-0000-0000AB000000}"/>
    <cellStyle name="Normal 11 2 2 2" xfId="347" xr:uid="{00000000-0005-0000-0000-0000AC000000}"/>
    <cellStyle name="Normal 11 2 2 3" xfId="371" xr:uid="{00000000-0005-0000-0000-0000AD000000}"/>
    <cellStyle name="Normal 11 2 3" xfId="335" xr:uid="{00000000-0005-0000-0000-0000AE000000}"/>
    <cellStyle name="Normal 11 2 4" xfId="359" xr:uid="{00000000-0005-0000-0000-0000AF000000}"/>
    <cellStyle name="Normal 11 2 5" xfId="311" xr:uid="{00000000-0005-0000-0000-0000B0000000}"/>
    <cellStyle name="Normal 11 3" xfId="317" xr:uid="{00000000-0005-0000-0000-0000B1000000}"/>
    <cellStyle name="Normal 11 3 2" xfId="341" xr:uid="{00000000-0005-0000-0000-0000B2000000}"/>
    <cellStyle name="Normal 11 3 3" xfId="365" xr:uid="{00000000-0005-0000-0000-0000B3000000}"/>
    <cellStyle name="Normal 11 4" xfId="329" xr:uid="{00000000-0005-0000-0000-0000B4000000}"/>
    <cellStyle name="Normal 11 5" xfId="353" xr:uid="{00000000-0005-0000-0000-0000B5000000}"/>
    <cellStyle name="Normal 11 6" xfId="294" xr:uid="{00000000-0005-0000-0000-0000B6000000}"/>
    <cellStyle name="Normal 12" xfId="76" xr:uid="{00000000-0005-0000-0000-0000B7000000}"/>
    <cellStyle name="Normal 12 2" xfId="156" xr:uid="{00000000-0005-0000-0000-0000B8000000}"/>
    <cellStyle name="Normal 12 2 2" xfId="324" xr:uid="{00000000-0005-0000-0000-0000B9000000}"/>
    <cellStyle name="Normal 12 2 2 2" xfId="348" xr:uid="{00000000-0005-0000-0000-0000BA000000}"/>
    <cellStyle name="Normal 12 2 2 3" xfId="372" xr:uid="{00000000-0005-0000-0000-0000BB000000}"/>
    <cellStyle name="Normal 12 2 3" xfId="336" xr:uid="{00000000-0005-0000-0000-0000BC000000}"/>
    <cellStyle name="Normal 12 2 4" xfId="360" xr:uid="{00000000-0005-0000-0000-0000BD000000}"/>
    <cellStyle name="Normal 12 2 5" xfId="312" xr:uid="{00000000-0005-0000-0000-0000BE000000}"/>
    <cellStyle name="Normal 12 3" xfId="318" xr:uid="{00000000-0005-0000-0000-0000BF000000}"/>
    <cellStyle name="Normal 12 3 2" xfId="342" xr:uid="{00000000-0005-0000-0000-0000C0000000}"/>
    <cellStyle name="Normal 12 3 3" xfId="366" xr:uid="{00000000-0005-0000-0000-0000C1000000}"/>
    <cellStyle name="Normal 12 4" xfId="330" xr:uid="{00000000-0005-0000-0000-0000C2000000}"/>
    <cellStyle name="Normal 12 5" xfId="354" xr:uid="{00000000-0005-0000-0000-0000C3000000}"/>
    <cellStyle name="Normal 12 6" xfId="295" xr:uid="{00000000-0005-0000-0000-0000C4000000}"/>
    <cellStyle name="Normal 13" xfId="77" xr:uid="{00000000-0005-0000-0000-0000C5000000}"/>
    <cellStyle name="Normal 14" xfId="86" xr:uid="{00000000-0005-0000-0000-0000C6000000}"/>
    <cellStyle name="Normal 14 2" xfId="157" xr:uid="{00000000-0005-0000-0000-0000C7000000}"/>
    <cellStyle name="Normal 14 2 2" xfId="325" xr:uid="{00000000-0005-0000-0000-0000C8000000}"/>
    <cellStyle name="Normal 14 2 2 2" xfId="349" xr:uid="{00000000-0005-0000-0000-0000C9000000}"/>
    <cellStyle name="Normal 14 2 2 3" xfId="373" xr:uid="{00000000-0005-0000-0000-0000CA000000}"/>
    <cellStyle name="Normal 14 2 3" xfId="337" xr:uid="{00000000-0005-0000-0000-0000CB000000}"/>
    <cellStyle name="Normal 14 2 4" xfId="361" xr:uid="{00000000-0005-0000-0000-0000CC000000}"/>
    <cellStyle name="Normal 14 2 5" xfId="313" xr:uid="{00000000-0005-0000-0000-0000CD000000}"/>
    <cellStyle name="Normal 14 3" xfId="319" xr:uid="{00000000-0005-0000-0000-0000CE000000}"/>
    <cellStyle name="Normal 14 3 2" xfId="343" xr:uid="{00000000-0005-0000-0000-0000CF000000}"/>
    <cellStyle name="Normal 14 3 3" xfId="367" xr:uid="{00000000-0005-0000-0000-0000D0000000}"/>
    <cellStyle name="Normal 14 4" xfId="331" xr:uid="{00000000-0005-0000-0000-0000D1000000}"/>
    <cellStyle name="Normal 14 5" xfId="355" xr:uid="{00000000-0005-0000-0000-0000D2000000}"/>
    <cellStyle name="Normal 14 6" xfId="296" xr:uid="{00000000-0005-0000-0000-0000D3000000}"/>
    <cellStyle name="Normal 15" xfId="88" xr:uid="{00000000-0005-0000-0000-0000D4000000}"/>
    <cellStyle name="Normal 15 2" xfId="159" xr:uid="{00000000-0005-0000-0000-0000D5000000}"/>
    <cellStyle name="Normal 16" xfId="92" xr:uid="{00000000-0005-0000-0000-0000D6000000}"/>
    <cellStyle name="Normal 16 2" xfId="116" xr:uid="{00000000-0005-0000-0000-0000D7000000}"/>
    <cellStyle name="Normal 16 2 2" xfId="182" xr:uid="{00000000-0005-0000-0000-0000D8000000}"/>
    <cellStyle name="Normal 16 3" xfId="163" xr:uid="{00000000-0005-0000-0000-0000D9000000}"/>
    <cellStyle name="Normal 16 3 2" xfId="300" xr:uid="{00000000-0005-0000-0000-0000DA000000}"/>
    <cellStyle name="Normal 16 4" xfId="299" xr:uid="{00000000-0005-0000-0000-0000DB000000}"/>
    <cellStyle name="Normal 17" xfId="94" xr:uid="{00000000-0005-0000-0000-0000DC000000}"/>
    <cellStyle name="Normal 17 2" xfId="117" xr:uid="{00000000-0005-0000-0000-0000DD000000}"/>
    <cellStyle name="Normal 17 2 2" xfId="183" xr:uid="{00000000-0005-0000-0000-0000DE000000}"/>
    <cellStyle name="Normal 17 3" xfId="165" xr:uid="{00000000-0005-0000-0000-0000DF000000}"/>
    <cellStyle name="Normal 17 3 2" xfId="302" xr:uid="{00000000-0005-0000-0000-0000E0000000}"/>
    <cellStyle name="Normal 17 4" xfId="301" xr:uid="{00000000-0005-0000-0000-0000E1000000}"/>
    <cellStyle name="Normal 18" xfId="95" xr:uid="{00000000-0005-0000-0000-0000E2000000}"/>
    <cellStyle name="Normal 18 2" xfId="166" xr:uid="{00000000-0005-0000-0000-0000E3000000}"/>
    <cellStyle name="Normal 19" xfId="90" xr:uid="{00000000-0005-0000-0000-0000E4000000}"/>
    <cellStyle name="Normal 19 2" xfId="118" xr:uid="{00000000-0005-0000-0000-0000E5000000}"/>
    <cellStyle name="Normal 19 2 2" xfId="184" xr:uid="{00000000-0005-0000-0000-0000E6000000}"/>
    <cellStyle name="Normal 19 3" xfId="161" xr:uid="{00000000-0005-0000-0000-0000E7000000}"/>
    <cellStyle name="Normal 19 3 2" xfId="304" xr:uid="{00000000-0005-0000-0000-0000E8000000}"/>
    <cellStyle name="Normal 19 4" xfId="303" xr:uid="{00000000-0005-0000-0000-0000E9000000}"/>
    <cellStyle name="Normal 2" xfId="63" xr:uid="{00000000-0005-0000-0000-0000EA000000}"/>
    <cellStyle name="Normal 2 10" xfId="237" xr:uid="{00000000-0005-0000-0000-0000EB000000}"/>
    <cellStyle name="Normal 2 10 2" xfId="306" xr:uid="{00000000-0005-0000-0000-0000EC000000}"/>
    <cellStyle name="Normal 2 11" xfId="305" xr:uid="{00000000-0005-0000-0000-0000ED000000}"/>
    <cellStyle name="Normal 2 12" xfId="236" xr:uid="{00000000-0005-0000-0000-0000EE000000}"/>
    <cellStyle name="Normal 2 2" xfId="2" xr:uid="{00000000-0005-0000-0000-0000EF000000}"/>
    <cellStyle name="Normal 2 2 2" xfId="239" xr:uid="{00000000-0005-0000-0000-0000F0000000}"/>
    <cellStyle name="Normal 2 2 3" xfId="240" xr:uid="{00000000-0005-0000-0000-0000F1000000}"/>
    <cellStyle name="Normal 2 2 4" xfId="238" xr:uid="{00000000-0005-0000-0000-0000F2000000}"/>
    <cellStyle name="Normal 2 3" xfId="133" xr:uid="{00000000-0005-0000-0000-0000F3000000}"/>
    <cellStyle name="Normal 2 3 2" xfId="242" xr:uid="{00000000-0005-0000-0000-0000F4000000}"/>
    <cellStyle name="Normal 2 3 3" xfId="243" xr:uid="{00000000-0005-0000-0000-0000F5000000}"/>
    <cellStyle name="Normal 2 3 4" xfId="241" xr:uid="{00000000-0005-0000-0000-0000F6000000}"/>
    <cellStyle name="Normal 2 4" xfId="244" xr:uid="{00000000-0005-0000-0000-0000F7000000}"/>
    <cellStyle name="Normal 2 4 2" xfId="245" xr:uid="{00000000-0005-0000-0000-0000F8000000}"/>
    <cellStyle name="Normal 2 4 3" xfId="246" xr:uid="{00000000-0005-0000-0000-0000F9000000}"/>
    <cellStyle name="Normal 2 5" xfId="247" xr:uid="{00000000-0005-0000-0000-0000FA000000}"/>
    <cellStyle name="Normal 2 5 2" xfId="248" xr:uid="{00000000-0005-0000-0000-0000FB000000}"/>
    <cellStyle name="Normal 2 5 3" xfId="249" xr:uid="{00000000-0005-0000-0000-0000FC000000}"/>
    <cellStyle name="Normal 2 6" xfId="250" xr:uid="{00000000-0005-0000-0000-0000FD000000}"/>
    <cellStyle name="Normal 2 6 2" xfId="251" xr:uid="{00000000-0005-0000-0000-0000FE000000}"/>
    <cellStyle name="Normal 2 6 3" xfId="252" xr:uid="{00000000-0005-0000-0000-0000FF000000}"/>
    <cellStyle name="Normal 2 7" xfId="253" xr:uid="{00000000-0005-0000-0000-000000010000}"/>
    <cellStyle name="Normal 2 7 2" xfId="254" xr:uid="{00000000-0005-0000-0000-000001010000}"/>
    <cellStyle name="Normal 2 7 3" xfId="255" xr:uid="{00000000-0005-0000-0000-000002010000}"/>
    <cellStyle name="Normal 2 8" xfId="256" xr:uid="{00000000-0005-0000-0000-000003010000}"/>
    <cellStyle name="Normal 2 8 2" xfId="257" xr:uid="{00000000-0005-0000-0000-000004010000}"/>
    <cellStyle name="Normal 2 8 3" xfId="258" xr:uid="{00000000-0005-0000-0000-000005010000}"/>
    <cellStyle name="Normal 2 9" xfId="259" xr:uid="{00000000-0005-0000-0000-000006010000}"/>
    <cellStyle name="Normal 2 9 2" xfId="307" xr:uid="{00000000-0005-0000-0000-000007010000}"/>
    <cellStyle name="Normal 20" xfId="89" xr:uid="{00000000-0005-0000-0000-000008010000}"/>
    <cellStyle name="Normal 20 2" xfId="160" xr:uid="{00000000-0005-0000-0000-000009010000}"/>
    <cellStyle name="Normal 21" xfId="91" xr:uid="{00000000-0005-0000-0000-00000A010000}"/>
    <cellStyle name="Normal 21 2" xfId="162" xr:uid="{00000000-0005-0000-0000-00000B010000}"/>
    <cellStyle name="Normal 22" xfId="93" xr:uid="{00000000-0005-0000-0000-00000C010000}"/>
    <cellStyle name="Normal 22 2" xfId="164" xr:uid="{00000000-0005-0000-0000-00000D010000}"/>
    <cellStyle name="Normal 23" xfId="96" xr:uid="{00000000-0005-0000-0000-00000E010000}"/>
    <cellStyle name="Normal 23 2" xfId="167" xr:uid="{00000000-0005-0000-0000-00000F010000}"/>
    <cellStyle name="Normal 24" xfId="97" xr:uid="{00000000-0005-0000-0000-000010010000}"/>
    <cellStyle name="Normal 24 2" xfId="168" xr:uid="{00000000-0005-0000-0000-000011010000}"/>
    <cellStyle name="Normal 25" xfId="82" xr:uid="{00000000-0005-0000-0000-000012010000}"/>
    <cellStyle name="Normal 26" xfId="124" xr:uid="{00000000-0005-0000-0000-000013010000}"/>
    <cellStyle name="Normal 27" xfId="81" xr:uid="{00000000-0005-0000-0000-000014010000}"/>
    <cellStyle name="Normal 28" xfId="85" xr:uid="{00000000-0005-0000-0000-000015010000}"/>
    <cellStyle name="Normal 29" xfId="129" xr:uid="{00000000-0005-0000-0000-000016010000}"/>
    <cellStyle name="Normal 3" xfId="67" xr:uid="{00000000-0005-0000-0000-000017010000}"/>
    <cellStyle name="Normal 3 2" xfId="260" xr:uid="{00000000-0005-0000-0000-000018010000}"/>
    <cellStyle name="Normal 3 2 2" xfId="261" xr:uid="{00000000-0005-0000-0000-000019010000}"/>
    <cellStyle name="Normal 3 2 3" xfId="262" xr:uid="{00000000-0005-0000-0000-00001A010000}"/>
    <cellStyle name="Normal 3 3" xfId="263" xr:uid="{00000000-0005-0000-0000-00001B010000}"/>
    <cellStyle name="Normal 3 3 2" xfId="264" xr:uid="{00000000-0005-0000-0000-00001C010000}"/>
    <cellStyle name="Normal 3 3 3" xfId="265" xr:uid="{00000000-0005-0000-0000-00001D010000}"/>
    <cellStyle name="Normal 3 4" xfId="266" xr:uid="{00000000-0005-0000-0000-00001E010000}"/>
    <cellStyle name="Normal 3 4 2" xfId="267" xr:uid="{00000000-0005-0000-0000-00001F010000}"/>
    <cellStyle name="Normal 3 4 3" xfId="268" xr:uid="{00000000-0005-0000-0000-000020010000}"/>
    <cellStyle name="Normal 3 5" xfId="269" xr:uid="{00000000-0005-0000-0000-000021010000}"/>
    <cellStyle name="Normal 3 5 2" xfId="270" xr:uid="{00000000-0005-0000-0000-000022010000}"/>
    <cellStyle name="Normal 3 5 3" xfId="271" xr:uid="{00000000-0005-0000-0000-000023010000}"/>
    <cellStyle name="Normal 3 6" xfId="272" xr:uid="{00000000-0005-0000-0000-000024010000}"/>
    <cellStyle name="Normal 3 6 2" xfId="273" xr:uid="{00000000-0005-0000-0000-000025010000}"/>
    <cellStyle name="Normal 3 6 3" xfId="274" xr:uid="{00000000-0005-0000-0000-000026010000}"/>
    <cellStyle name="Normal 3 7" xfId="275" xr:uid="{00000000-0005-0000-0000-000027010000}"/>
    <cellStyle name="Normal 3 7 2" xfId="276" xr:uid="{00000000-0005-0000-0000-000028010000}"/>
    <cellStyle name="Normal 3 7 3" xfId="277" xr:uid="{00000000-0005-0000-0000-000029010000}"/>
    <cellStyle name="Normal 3 8" xfId="278" xr:uid="{00000000-0005-0000-0000-00002A010000}"/>
    <cellStyle name="Normal 3 8 2" xfId="279" xr:uid="{00000000-0005-0000-0000-00002B010000}"/>
    <cellStyle name="Normal 3 8 3" xfId="280" xr:uid="{00000000-0005-0000-0000-00002C010000}"/>
    <cellStyle name="Normal 30" xfId="125" xr:uid="{00000000-0005-0000-0000-00002D010000}"/>
    <cellStyle name="Normal 31" xfId="80" xr:uid="{00000000-0005-0000-0000-00002E010000}"/>
    <cellStyle name="Normal 32" xfId="128" xr:uid="{00000000-0005-0000-0000-00002F010000}"/>
    <cellStyle name="Normal 33" xfId="127" xr:uid="{00000000-0005-0000-0000-000030010000}"/>
    <cellStyle name="Normal 34" xfId="126" xr:uid="{00000000-0005-0000-0000-000031010000}"/>
    <cellStyle name="Normal 35" xfId="83" xr:uid="{00000000-0005-0000-0000-000032010000}"/>
    <cellStyle name="Normal 36" xfId="84" xr:uid="{00000000-0005-0000-0000-000033010000}"/>
    <cellStyle name="Normal 37" xfId="132" xr:uid="{00000000-0005-0000-0000-000034010000}"/>
    <cellStyle name="Normal 38" xfId="134" xr:uid="{00000000-0005-0000-0000-000035010000}"/>
    <cellStyle name="Normal 39" xfId="135" xr:uid="{00000000-0005-0000-0000-000036010000}"/>
    <cellStyle name="Normal 4" xfId="68" xr:uid="{00000000-0005-0000-0000-000037010000}"/>
    <cellStyle name="Normal 4 2" xfId="119" xr:uid="{00000000-0005-0000-0000-000038010000}"/>
    <cellStyle name="Normal 4 2 2" xfId="282" xr:uid="{00000000-0005-0000-0000-000039010000}"/>
    <cellStyle name="Normal 4 3" xfId="148" xr:uid="{00000000-0005-0000-0000-00003A010000}"/>
    <cellStyle name="Normal 4 3 2" xfId="283" xr:uid="{00000000-0005-0000-0000-00003B010000}"/>
    <cellStyle name="Normal 4 4" xfId="281" xr:uid="{00000000-0005-0000-0000-00003C010000}"/>
    <cellStyle name="Normal 40" xfId="186" xr:uid="{00000000-0005-0000-0000-00003D010000}"/>
    <cellStyle name="Normal 5" xfId="69" xr:uid="{00000000-0005-0000-0000-00003E010000}"/>
    <cellStyle name="Normal 5 2" xfId="123" xr:uid="{00000000-0005-0000-0000-00003F010000}"/>
    <cellStyle name="Normal 5 3" xfId="149" xr:uid="{00000000-0005-0000-0000-000040010000}"/>
    <cellStyle name="Normal 5 4" xfId="284" xr:uid="{00000000-0005-0000-0000-000041010000}"/>
    <cellStyle name="Normal 6" xfId="70" xr:uid="{00000000-0005-0000-0000-000042010000}"/>
    <cellStyle name="Normal 6 2" xfId="150" xr:uid="{00000000-0005-0000-0000-000043010000}"/>
    <cellStyle name="Normal 7" xfId="71" xr:uid="{00000000-0005-0000-0000-000044010000}"/>
    <cellStyle name="Normal 7 2" xfId="151" xr:uid="{00000000-0005-0000-0000-000045010000}"/>
    <cellStyle name="Normal 7 2 2" xfId="320" xr:uid="{00000000-0005-0000-0000-000046010000}"/>
    <cellStyle name="Normal 7 2 2 2" xfId="344" xr:uid="{00000000-0005-0000-0000-000047010000}"/>
    <cellStyle name="Normal 7 2 2 3" xfId="368" xr:uid="{00000000-0005-0000-0000-000048010000}"/>
    <cellStyle name="Normal 7 2 3" xfId="332" xr:uid="{00000000-0005-0000-0000-000049010000}"/>
    <cellStyle name="Normal 7 2 4" xfId="356" xr:uid="{00000000-0005-0000-0000-00004A010000}"/>
    <cellStyle name="Normal 7 2 5" xfId="308" xr:uid="{00000000-0005-0000-0000-00004B010000}"/>
    <cellStyle name="Normal 7 3" xfId="314" xr:uid="{00000000-0005-0000-0000-00004C010000}"/>
    <cellStyle name="Normal 7 3 2" xfId="338" xr:uid="{00000000-0005-0000-0000-00004D010000}"/>
    <cellStyle name="Normal 7 3 3" xfId="362" xr:uid="{00000000-0005-0000-0000-00004E010000}"/>
    <cellStyle name="Normal 7 4" xfId="326" xr:uid="{00000000-0005-0000-0000-00004F010000}"/>
    <cellStyle name="Normal 7 5" xfId="350" xr:uid="{00000000-0005-0000-0000-000050010000}"/>
    <cellStyle name="Normal 7 6" xfId="291" xr:uid="{00000000-0005-0000-0000-000051010000}"/>
    <cellStyle name="Normal 8" xfId="72" xr:uid="{00000000-0005-0000-0000-000052010000}"/>
    <cellStyle name="Normal 8 2" xfId="152" xr:uid="{00000000-0005-0000-0000-000053010000}"/>
    <cellStyle name="Normal 9" xfId="73" xr:uid="{00000000-0005-0000-0000-000054010000}"/>
    <cellStyle name="Normal 9 2" xfId="153" xr:uid="{00000000-0005-0000-0000-000055010000}"/>
    <cellStyle name="Normal 9 2 2" xfId="321" xr:uid="{00000000-0005-0000-0000-000056010000}"/>
    <cellStyle name="Normal 9 2 2 2" xfId="345" xr:uid="{00000000-0005-0000-0000-000057010000}"/>
    <cellStyle name="Normal 9 2 2 3" xfId="369" xr:uid="{00000000-0005-0000-0000-000058010000}"/>
    <cellStyle name="Normal 9 2 3" xfId="333" xr:uid="{00000000-0005-0000-0000-000059010000}"/>
    <cellStyle name="Normal 9 2 4" xfId="357" xr:uid="{00000000-0005-0000-0000-00005A010000}"/>
    <cellStyle name="Normal 9 2 5" xfId="309" xr:uid="{00000000-0005-0000-0000-00005B010000}"/>
    <cellStyle name="Normal 9 3" xfId="315" xr:uid="{00000000-0005-0000-0000-00005C010000}"/>
    <cellStyle name="Normal 9 3 2" xfId="339" xr:uid="{00000000-0005-0000-0000-00005D010000}"/>
    <cellStyle name="Normal 9 3 3" xfId="363" xr:uid="{00000000-0005-0000-0000-00005E010000}"/>
    <cellStyle name="Normal 9 4" xfId="327" xr:uid="{00000000-0005-0000-0000-00005F010000}"/>
    <cellStyle name="Normal 9 5" xfId="351" xr:uid="{00000000-0005-0000-0000-000060010000}"/>
    <cellStyle name="Normal 9 6" xfId="292" xr:uid="{00000000-0005-0000-0000-000061010000}"/>
    <cellStyle name="Note 2" xfId="87" xr:uid="{00000000-0005-0000-0000-000062010000}"/>
    <cellStyle name="Note 2 2" xfId="158" xr:uid="{00000000-0005-0000-0000-000063010000}"/>
    <cellStyle name="Note 2 3" xfId="285" xr:uid="{00000000-0005-0000-0000-000064010000}"/>
    <cellStyle name="Note 3" xfId="98" xr:uid="{00000000-0005-0000-0000-000065010000}"/>
    <cellStyle name="Note 3 2" xfId="169" xr:uid="{00000000-0005-0000-0000-000066010000}"/>
    <cellStyle name="Obično_KnjigaZIKS i Min pomorstva i saobracaja" xfId="64" xr:uid="{00000000-0005-0000-0000-000067010000}"/>
    <cellStyle name="Output" xfId="11" builtinId="21" customBuiltin="1"/>
    <cellStyle name="Output 2" xfId="286" xr:uid="{00000000-0005-0000-0000-000069010000}"/>
    <cellStyle name="Percent" xfId="1" builtinId="5"/>
    <cellStyle name="percentage difference" xfId="65" xr:uid="{00000000-0005-0000-0000-00006B010000}"/>
    <cellStyle name="percentage difference 2" xfId="120" xr:uid="{00000000-0005-0000-0000-00006C010000}"/>
    <cellStyle name="percentage difference 3" xfId="287" xr:uid="{00000000-0005-0000-0000-00006D010000}"/>
    <cellStyle name="Publication" xfId="66" xr:uid="{00000000-0005-0000-0000-00006E010000}"/>
    <cellStyle name="Standard_Tabellenteil in EURO" xfId="121" xr:uid="{00000000-0005-0000-0000-00006F010000}"/>
    <cellStyle name="Title 2" xfId="79" xr:uid="{00000000-0005-0000-0000-000070010000}"/>
    <cellStyle name="Title 2 2" xfId="288" xr:uid="{00000000-0005-0000-0000-000071010000}"/>
    <cellStyle name="Total" xfId="17" builtinId="25" customBuiltin="1"/>
    <cellStyle name="Total 2" xfId="289" xr:uid="{00000000-0005-0000-0000-000073010000}"/>
    <cellStyle name="Warning Text" xfId="15" builtinId="11" customBuiltin="1"/>
    <cellStyle name="Warning Text 2" xfId="290" xr:uid="{00000000-0005-0000-0000-000075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9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9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A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A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-mart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580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13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.0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2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veći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.7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644.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sr-Latn-M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8.1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69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9.8% dok su u odnosu na isti period 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godine veći za 60.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10.4%.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januaru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-mart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6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3.9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0.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128933" y="1323976"/>
          <a:ext cx="4946650" cy="2951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budžetu Crne Gore za 2025. godinu. 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izvršenju budžeta za 2024. godinu su preliminarni, dok će konačni podaci za 2024. godinu biti sastavni dio Zakona o završnom računu budžeta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4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4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5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5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6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6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7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7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8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8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2025-03</v>
      </c>
      <c r="O6" s="128" t="str">
        <f>+CONCATENATE(N6,"p")</f>
        <v>2025-03p</v>
      </c>
      <c r="P6" s="116"/>
      <c r="Q6" s="116"/>
      <c r="R6" s="128" t="str">
        <f>+IF(Master!B3-10&gt;=0,CONCATENATE(Master!B4-1,"-",Master!B3),CONCATENATE(Master!B4-1,"-0",Master!B3))</f>
        <v>2024-03</v>
      </c>
      <c r="S6" s="116"/>
      <c r="T6" s="116"/>
    </row>
    <row r="7" spans="1:20">
      <c r="A7" s="129"/>
      <c r="B7" s="564" t="s">
        <v>691</v>
      </c>
      <c r="C7" s="565"/>
      <c r="D7" s="565"/>
      <c r="E7" s="565"/>
      <c r="F7" s="565"/>
      <c r="G7" s="573" t="s">
        <v>690</v>
      </c>
      <c r="H7" s="574"/>
      <c r="I7" s="574"/>
      <c r="J7" s="574"/>
      <c r="K7" s="574"/>
      <c r="L7" s="574"/>
      <c r="M7" s="575"/>
      <c r="N7" s="576" t="str">
        <f>+Master!G243</f>
        <v>Decembar</v>
      </c>
      <c r="O7" s="574"/>
      <c r="P7" s="574"/>
      <c r="Q7" s="574"/>
      <c r="R7" s="574"/>
      <c r="S7" s="574"/>
      <c r="T7" s="577"/>
    </row>
    <row r="8" spans="1:20">
      <c r="A8" s="129"/>
      <c r="B8" s="566"/>
      <c r="C8" s="567"/>
      <c r="D8" s="567"/>
      <c r="E8" s="567"/>
      <c r="F8" s="568"/>
      <c r="G8" s="130" t="str">
        <f>+Master!G26</f>
        <v>Ostvarenje</v>
      </c>
      <c r="H8" s="130" t="str">
        <f>+Master!G25</f>
        <v>Plan</v>
      </c>
      <c r="I8" s="560" t="str">
        <f>+Master!G261</f>
        <v>Odstupanje</v>
      </c>
      <c r="J8" s="560"/>
      <c r="K8" s="130" t="str">
        <f>+CONCATENATE(Master!G246," ",Master!B4-1)</f>
        <v>Jan - Mar 2024</v>
      </c>
      <c r="L8" s="560" t="str">
        <f>+I8</f>
        <v>Odstupanje</v>
      </c>
      <c r="M8" s="572"/>
      <c r="N8" s="131" t="str">
        <f>+G8</f>
        <v>Ostvarenje</v>
      </c>
      <c r="O8" s="130" t="str">
        <f>+H8</f>
        <v>Plan</v>
      </c>
      <c r="P8" s="560" t="str">
        <f>+I8</f>
        <v>Odstupanje</v>
      </c>
      <c r="Q8" s="560"/>
      <c r="R8" s="130" t="str">
        <f>+CONCATENATE(Master!G245," ",Master!B4-1)</f>
        <v>Mart 2024</v>
      </c>
      <c r="S8" s="560" t="str">
        <f>+P8</f>
        <v>Odstupanje</v>
      </c>
      <c r="T8" s="561"/>
    </row>
    <row r="9" spans="1:20" ht="15.7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06" t="str">
        <f>+VLOOKUP($A10,Master!$D$30:$G$226,4,FALSE)</f>
        <v>Prihodi budžeta</v>
      </c>
      <c r="C10" s="607"/>
      <c r="D10" s="607"/>
      <c r="E10" s="607"/>
      <c r="F10" s="607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94" t="e">
        <f>+VLOOKUP($A18,Master!$D$30:$G$226,4,FALSE)</f>
        <v>#N/A</v>
      </c>
      <c r="C18" s="595"/>
      <c r="D18" s="595"/>
      <c r="E18" s="595"/>
      <c r="F18" s="595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94" t="str">
        <f>+VLOOKUP($A19,Master!$D$30:$G$226,4,FALSE)</f>
        <v>Ostali državni porezi</v>
      </c>
      <c r="C19" s="595"/>
      <c r="D19" s="595"/>
      <c r="E19" s="595"/>
      <c r="F19" s="595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604" t="str">
        <f>+VLOOKUP($A20,Master!$D$30:$G$226,4,FALSE)</f>
        <v>Doprinosi</v>
      </c>
      <c r="C20" s="605"/>
      <c r="D20" s="605"/>
      <c r="E20" s="605"/>
      <c r="F20" s="605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94" t="str">
        <f>+VLOOKUP($A21,Master!$D$30:$G$226,4,FALSE)</f>
        <v>Doprinosi za penzijsko i invalidsko osiguranje</v>
      </c>
      <c r="C21" s="595"/>
      <c r="D21" s="595"/>
      <c r="E21" s="595"/>
      <c r="F21" s="595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94" t="str">
        <f>+VLOOKUP($A22,Master!$D$30:$G$226,4,FALSE)</f>
        <v>Doprinosi za zdravstveno osiguranje</v>
      </c>
      <c r="C22" s="595"/>
      <c r="D22" s="595"/>
      <c r="E22" s="595"/>
      <c r="F22" s="595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94" t="str">
        <f>+VLOOKUP($A23,Master!$D$30:$G$226,4,FALSE)</f>
        <v>Doprinosi za osiguranje od nezaposlenosti</v>
      </c>
      <c r="C23" s="595"/>
      <c r="D23" s="595"/>
      <c r="E23" s="595"/>
      <c r="F23" s="595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94" t="str">
        <f>+VLOOKUP($A24,Master!$D$30:$G$226,4,FALSE)</f>
        <v>Ostali doprinosi</v>
      </c>
      <c r="C24" s="595"/>
      <c r="D24" s="595"/>
      <c r="E24" s="595"/>
      <c r="F24" s="595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96" t="str">
        <f>+VLOOKUP($A25,Master!$D$30:$G$226,4,FALSE)</f>
        <v>Takse</v>
      </c>
      <c r="C25" s="597"/>
      <c r="D25" s="597"/>
      <c r="E25" s="597"/>
      <c r="F25" s="597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96" t="str">
        <f>+VLOOKUP($A26,Master!$D$30:$G$226,4,FALSE)</f>
        <v>Naknade</v>
      </c>
      <c r="C26" s="597"/>
      <c r="D26" s="597"/>
      <c r="E26" s="597"/>
      <c r="F26" s="597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96" t="str">
        <f>+VLOOKUP($A27,Master!$D$30:$G$226,4,FALSE)</f>
        <v>Ostali prihodi</v>
      </c>
      <c r="C27" s="597"/>
      <c r="D27" s="597"/>
      <c r="E27" s="597"/>
      <c r="F27" s="597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96" t="str">
        <f>+VLOOKUP($A28,Master!$D$30:$G$226,4,FALSE)</f>
        <v>Primici od otplate kredita i sredstva prenesena iz prethodne godine</v>
      </c>
      <c r="C28" s="597"/>
      <c r="D28" s="597"/>
      <c r="E28" s="597"/>
      <c r="F28" s="597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98" t="str">
        <f>+VLOOKUP($A29,Master!$D$30:$G$226,4,FALSE)</f>
        <v>Donacije i transferi</v>
      </c>
      <c r="C29" s="599"/>
      <c r="D29" s="599"/>
      <c r="E29" s="599"/>
      <c r="F29" s="599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84" t="str">
        <f>+VLOOKUP($A30,Master!$D$30:$G$226,4,FALSE)</f>
        <v>Izdaci budžeta</v>
      </c>
      <c r="C30" s="585"/>
      <c r="D30" s="585"/>
      <c r="E30" s="585"/>
      <c r="F30" s="585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600" t="str">
        <f>+VLOOKUP($A31,Master!$D$30:$G$226,4,FALSE)</f>
        <v>Tekući izdaci</v>
      </c>
      <c r="C31" s="601"/>
      <c r="D31" s="601"/>
      <c r="E31" s="601"/>
      <c r="F31" s="601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602" t="str">
        <f>+VLOOKUP($A32,Master!$D$30:$G$226,4,FALSE)</f>
        <v>Tekuća budžetska potrošnja</v>
      </c>
      <c r="C32" s="603"/>
      <c r="D32" s="603"/>
      <c r="E32" s="603"/>
      <c r="F32" s="603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94" t="str">
        <f>+VLOOKUP($A33,Master!$D$30:$G$226,4,FALSE)</f>
        <v>Bruto zarade i doprinosi na teret poslodavca</v>
      </c>
      <c r="C33" s="595"/>
      <c r="D33" s="595"/>
      <c r="E33" s="595"/>
      <c r="F33" s="595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94" t="str">
        <f>+VLOOKUP($A34,Master!$D$30:$G$226,4,FALSE)</f>
        <v>Ostala lična primanja</v>
      </c>
      <c r="C34" s="595"/>
      <c r="D34" s="595"/>
      <c r="E34" s="595"/>
      <c r="F34" s="595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94" t="str">
        <f>+VLOOKUP($A35,Master!$D$30:$G$226,4,FALSE)</f>
        <v>Rashodi za materijal</v>
      </c>
      <c r="C35" s="595"/>
      <c r="D35" s="595"/>
      <c r="E35" s="595"/>
      <c r="F35" s="595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94" t="str">
        <f>+VLOOKUP($A36,Master!$D$30:$G$226,4,FALSE)</f>
        <v>Rashodi za usluge</v>
      </c>
      <c r="C36" s="595"/>
      <c r="D36" s="595"/>
      <c r="E36" s="595"/>
      <c r="F36" s="595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94" t="str">
        <f>+VLOOKUP($A37,Master!$D$30:$G$226,4,FALSE)</f>
        <v>Rashodi za tekuće održavanje</v>
      </c>
      <c r="C37" s="595"/>
      <c r="D37" s="595"/>
      <c r="E37" s="595"/>
      <c r="F37" s="595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94" t="str">
        <f>+VLOOKUP($A38,Master!$D$30:$G$226,4,FALSE)</f>
        <v>Kamate</v>
      </c>
      <c r="C38" s="595"/>
      <c r="D38" s="595"/>
      <c r="E38" s="595"/>
      <c r="F38" s="595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94" t="str">
        <f>+VLOOKUP($A39,Master!$D$30:$G$226,4,FALSE)</f>
        <v>Renta</v>
      </c>
      <c r="C39" s="595"/>
      <c r="D39" s="595"/>
      <c r="E39" s="595"/>
      <c r="F39" s="595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94" t="str">
        <f>+VLOOKUP($A40,Master!$D$30:$G$226,4,FALSE)</f>
        <v>Subvencije</v>
      </c>
      <c r="C40" s="595"/>
      <c r="D40" s="595"/>
      <c r="E40" s="595"/>
      <c r="F40" s="595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94" t="str">
        <f>+VLOOKUP($A41,Master!$D$30:$G$226,4,FALSE)</f>
        <v>Ostali izdaci</v>
      </c>
      <c r="C41" s="595"/>
      <c r="D41" s="595"/>
      <c r="E41" s="595"/>
      <c r="F41" s="595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94" t="e">
        <f>+VLOOKUP($A42,Master!$D$30:$G$226,4,FALSE)</f>
        <v>#N/A</v>
      </c>
      <c r="C42" s="595"/>
      <c r="D42" s="595"/>
      <c r="E42" s="595"/>
      <c r="F42" s="595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90" t="str">
        <f>+VLOOKUP($A43,Master!$D$30:$G$226,4,FALSE)</f>
        <v>Transferi za socijalnu zaštitu</v>
      </c>
      <c r="C43" s="591"/>
      <c r="D43" s="591"/>
      <c r="E43" s="591"/>
      <c r="F43" s="591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94" t="str">
        <f>+VLOOKUP($A44,Master!$D$30:$G$226,4,FALSE)</f>
        <v>Prava iz oblasti socijalne zaštite</v>
      </c>
      <c r="C44" s="595"/>
      <c r="D44" s="595"/>
      <c r="E44" s="595"/>
      <c r="F44" s="595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94" t="str">
        <f>+VLOOKUP($A45,Master!$D$30:$G$226,4,FALSE)</f>
        <v>Sredstva za tehnološke viškove</v>
      </c>
      <c r="C45" s="595"/>
      <c r="D45" s="595"/>
      <c r="E45" s="595"/>
      <c r="F45" s="595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94" t="str">
        <f>+VLOOKUP($A46,Master!$D$30:$G$226,4,FALSE)</f>
        <v>Prava iz oblasti penzijskog i invalidskog osiguranja</v>
      </c>
      <c r="C46" s="595"/>
      <c r="D46" s="595"/>
      <c r="E46" s="595"/>
      <c r="F46" s="595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94" t="str">
        <f>+VLOOKUP($A47,Master!$D$30:$G$226,4,FALSE)</f>
        <v>Ostala prava iz oblasti zdravstvene zaštite</v>
      </c>
      <c r="C47" s="595"/>
      <c r="D47" s="595"/>
      <c r="E47" s="595"/>
      <c r="F47" s="595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94" t="str">
        <f>+VLOOKUP($A48,Master!$D$30:$G$226,4,FALSE)</f>
        <v>Ostala prava iz zdravstvenog osiguranja</v>
      </c>
      <c r="C48" s="595"/>
      <c r="D48" s="595"/>
      <c r="E48" s="595"/>
      <c r="F48" s="595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92" t="str">
        <f>+VLOOKUP($A49,Master!$D$30:$G$226,4,FALSE)</f>
        <v xml:space="preserve">Transferi institucijama, pojedincima, nevladinom i javnom sektoru </v>
      </c>
      <c r="C49" s="593"/>
      <c r="D49" s="593"/>
      <c r="E49" s="593"/>
      <c r="F49" s="593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92" t="str">
        <f>+VLOOKUP($A50,Master!$D$30:$G$226,4,FALSE)</f>
        <v>Kapitalni izdaci</v>
      </c>
      <c r="C50" s="593"/>
      <c r="D50" s="593"/>
      <c r="E50" s="593"/>
      <c r="F50" s="593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62" t="str">
        <f>+VLOOKUP($A51,Master!$D$30:$G$226,4,FALSE)</f>
        <v>Pozajmice i krediti</v>
      </c>
      <c r="C51" s="563"/>
      <c r="D51" s="563"/>
      <c r="E51" s="563"/>
      <c r="F51" s="563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62" t="str">
        <f>+VLOOKUP($A52,Master!$D$30:$G$226,4,FALSE)</f>
        <v>Rezerve</v>
      </c>
      <c r="C52" s="563"/>
      <c r="D52" s="563"/>
      <c r="E52" s="563"/>
      <c r="F52" s="563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0" t="str">
        <f>+VLOOKUP($A53,Master!$D$30:$G$226,4,FALSE)</f>
        <v>Otplata garancija</v>
      </c>
      <c r="C53" s="581"/>
      <c r="D53" s="581"/>
      <c r="E53" s="581"/>
      <c r="F53" s="581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0" t="str">
        <f>+VLOOKUP($A54,Master!$D$30:$G$226,4,FALSE)</f>
        <v>Otplata obaveza iz prethodnog perioda</v>
      </c>
      <c r="C54" s="581"/>
      <c r="D54" s="581"/>
      <c r="E54" s="581"/>
      <c r="F54" s="581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0" t="str">
        <f>+VLOOKUP($A55,Master!$D$30:$G$228,4,FALSE)</f>
        <v>Neto povećanje obaveza</v>
      </c>
      <c r="C55" s="581"/>
      <c r="D55" s="581"/>
      <c r="E55" s="581"/>
      <c r="F55" s="581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6" t="str">
        <f>+VLOOKUP($A56,Master!$D$30:$G$226,4,FALSE)</f>
        <v>Suficit / deficit</v>
      </c>
      <c r="C56" s="587"/>
      <c r="D56" s="587"/>
      <c r="E56" s="587"/>
      <c r="F56" s="587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8" t="str">
        <f>+VLOOKUP($A57,Master!$D$30:$G$226,4,FALSE)</f>
        <v>Primarni suficit/deficit</v>
      </c>
      <c r="C57" s="589"/>
      <c r="D57" s="589"/>
      <c r="E57" s="589"/>
      <c r="F57" s="589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90" t="str">
        <f>+VLOOKUP($A58,Master!$D$30:$G$226,4,FALSE)</f>
        <v>Otplata dugova</v>
      </c>
      <c r="C58" s="591"/>
      <c r="D58" s="591"/>
      <c r="E58" s="591"/>
      <c r="F58" s="591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78" t="str">
        <f>+VLOOKUP($A59,Master!$D$30:$G$226,4,FALSE)</f>
        <v>Otplata hartija od vrijednosti i kredita rezidentima</v>
      </c>
      <c r="C59" s="579"/>
      <c r="D59" s="579"/>
      <c r="E59" s="579"/>
      <c r="F59" s="579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62" t="str">
        <f>+VLOOKUP($A60,Master!$D$30:$G$226,4,FALSE)</f>
        <v>Otplata hartija od vrijednosti i kredita nerezidentima</v>
      </c>
      <c r="C60" s="563"/>
      <c r="D60" s="563"/>
      <c r="E60" s="563"/>
      <c r="F60" s="563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82" t="str">
        <f>+VLOOKUP($A62,Master!$D$30:$G$226,4,FALSE)</f>
        <v>Nedostajuća sredstva</v>
      </c>
      <c r="C62" s="583"/>
      <c r="D62" s="583"/>
      <c r="E62" s="583"/>
      <c r="F62" s="583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84" t="str">
        <f>+VLOOKUP($A63,Master!$D$30:$G$226,4,FALSE)</f>
        <v>Finansiranje</v>
      </c>
      <c r="C63" s="585"/>
      <c r="D63" s="585"/>
      <c r="E63" s="585"/>
      <c r="F63" s="585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78" t="str">
        <f>+VLOOKUP($A64,Master!$D$30:$G$226,4,FALSE)</f>
        <v>Pozajmice i krediti od domaćih izvora</v>
      </c>
      <c r="C64" s="579"/>
      <c r="D64" s="579"/>
      <c r="E64" s="579"/>
      <c r="F64" s="579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62" t="str">
        <f>+VLOOKUP($A65,Master!$D$30:$G$226,4,FALSE)</f>
        <v>Pozajmice i krediti od inostranih izvora</v>
      </c>
      <c r="C65" s="563"/>
      <c r="D65" s="563"/>
      <c r="E65" s="563"/>
      <c r="F65" s="563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62" t="str">
        <f>+VLOOKUP($A66,Master!$D$30:$G$226,4,FALSE)</f>
        <v>Primici od prodaje imovine</v>
      </c>
      <c r="C66" s="563"/>
      <c r="D66" s="563"/>
      <c r="E66" s="563"/>
      <c r="F66" s="563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64" t="s">
        <v>553</v>
      </c>
      <c r="C7" s="565"/>
      <c r="D7" s="565"/>
      <c r="E7" s="565"/>
      <c r="F7" s="565"/>
      <c r="G7" s="573">
        <v>2019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">
        <v>419</v>
      </c>
      <c r="T7" s="221">
        <v>4951000000</v>
      </c>
    </row>
    <row r="8" spans="1:20" ht="16.5" customHeight="1">
      <c r="A8" s="129"/>
      <c r="B8" s="566"/>
      <c r="C8" s="567"/>
      <c r="D8" s="567"/>
      <c r="E8" s="567"/>
      <c r="F8" s="568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3" t="s">
        <v>806</v>
      </c>
      <c r="T8" s="577"/>
    </row>
    <row r="9" spans="1:20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84" t="s">
        <v>680</v>
      </c>
      <c r="C10" s="585"/>
      <c r="D10" s="585"/>
      <c r="E10" s="585"/>
      <c r="F10" s="585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08" t="s">
        <v>21</v>
      </c>
      <c r="C11" s="609"/>
      <c r="D11" s="609"/>
      <c r="E11" s="609"/>
      <c r="F11" s="609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94" t="s">
        <v>23</v>
      </c>
      <c r="C12" s="595"/>
      <c r="D12" s="595"/>
      <c r="E12" s="595"/>
      <c r="F12" s="595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94" t="s">
        <v>25</v>
      </c>
      <c r="C13" s="595"/>
      <c r="D13" s="595"/>
      <c r="E13" s="595"/>
      <c r="F13" s="595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94" t="s">
        <v>27</v>
      </c>
      <c r="C14" s="595"/>
      <c r="D14" s="595"/>
      <c r="E14" s="595"/>
      <c r="F14" s="595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94" t="s">
        <v>29</v>
      </c>
      <c r="C15" s="595"/>
      <c r="D15" s="595"/>
      <c r="E15" s="595"/>
      <c r="F15" s="595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94" t="s">
        <v>31</v>
      </c>
      <c r="C16" s="595"/>
      <c r="D16" s="595"/>
      <c r="E16" s="595"/>
      <c r="F16" s="595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94" t="s">
        <v>33</v>
      </c>
      <c r="C17" s="595"/>
      <c r="D17" s="595"/>
      <c r="E17" s="595"/>
      <c r="F17" s="595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94" t="s">
        <v>721</v>
      </c>
      <c r="C18" s="595"/>
      <c r="D18" s="595"/>
      <c r="E18" s="595"/>
      <c r="F18" s="595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604" t="s">
        <v>37</v>
      </c>
      <c r="C19" s="605"/>
      <c r="D19" s="605"/>
      <c r="E19" s="605"/>
      <c r="F19" s="605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94" t="s">
        <v>39</v>
      </c>
      <c r="C20" s="595"/>
      <c r="D20" s="595"/>
      <c r="E20" s="595"/>
      <c r="F20" s="595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94" t="s">
        <v>41</v>
      </c>
      <c r="C21" s="595"/>
      <c r="D21" s="595"/>
      <c r="E21" s="595"/>
      <c r="F21" s="595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94" t="s">
        <v>43</v>
      </c>
      <c r="C22" s="595"/>
      <c r="D22" s="595"/>
      <c r="E22" s="595"/>
      <c r="F22" s="595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94" t="s">
        <v>45</v>
      </c>
      <c r="C23" s="595"/>
      <c r="D23" s="595"/>
      <c r="E23" s="595"/>
      <c r="F23" s="595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96" t="s">
        <v>47</v>
      </c>
      <c r="C24" s="597"/>
      <c r="D24" s="597"/>
      <c r="E24" s="597"/>
      <c r="F24" s="597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96" t="s">
        <v>61</v>
      </c>
      <c r="C25" s="597"/>
      <c r="D25" s="597"/>
      <c r="E25" s="597"/>
      <c r="F25" s="597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96" t="s">
        <v>81</v>
      </c>
      <c r="C26" s="597"/>
      <c r="D26" s="597"/>
      <c r="E26" s="597"/>
      <c r="F26" s="597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96" t="s">
        <v>99</v>
      </c>
      <c r="C27" s="597"/>
      <c r="D27" s="597"/>
      <c r="E27" s="597"/>
      <c r="F27" s="597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98" t="s">
        <v>105</v>
      </c>
      <c r="C28" s="599"/>
      <c r="D28" s="599"/>
      <c r="E28" s="599"/>
      <c r="F28" s="599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84" t="s">
        <v>801</v>
      </c>
      <c r="C29" s="585"/>
      <c r="D29" s="585"/>
      <c r="E29" s="585"/>
      <c r="F29" s="585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600" t="s">
        <v>120</v>
      </c>
      <c r="C30" s="601"/>
      <c r="D30" s="601"/>
      <c r="E30" s="601"/>
      <c r="F30" s="601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94" t="s">
        <v>122</v>
      </c>
      <c r="C31" s="595"/>
      <c r="D31" s="595"/>
      <c r="E31" s="595"/>
      <c r="F31" s="595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94" t="s">
        <v>133</v>
      </c>
      <c r="C32" s="595"/>
      <c r="D32" s="595"/>
      <c r="E32" s="595"/>
      <c r="F32" s="595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94" t="s">
        <v>148</v>
      </c>
      <c r="C33" s="595"/>
      <c r="D33" s="595"/>
      <c r="E33" s="595"/>
      <c r="F33" s="595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94" t="s">
        <v>162</v>
      </c>
      <c r="C34" s="595"/>
      <c r="D34" s="595"/>
      <c r="E34" s="595"/>
      <c r="F34" s="595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12" t="s">
        <v>182</v>
      </c>
      <c r="C35" s="613"/>
      <c r="D35" s="613"/>
      <c r="E35" s="613"/>
      <c r="F35" s="613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94" t="s">
        <v>190</v>
      </c>
      <c r="C36" s="595"/>
      <c r="D36" s="595"/>
      <c r="E36" s="595"/>
      <c r="F36" s="595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94" t="s">
        <v>196</v>
      </c>
      <c r="C37" s="595"/>
      <c r="D37" s="595"/>
      <c r="E37" s="595"/>
      <c r="F37" s="595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94" t="s">
        <v>204</v>
      </c>
      <c r="C38" s="595"/>
      <c r="D38" s="595"/>
      <c r="E38" s="595"/>
      <c r="F38" s="595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94" t="s">
        <v>212</v>
      </c>
      <c r="C39" s="595"/>
      <c r="D39" s="595"/>
      <c r="E39" s="595"/>
      <c r="F39" s="595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90" t="s">
        <v>230</v>
      </c>
      <c r="C40" s="591"/>
      <c r="D40" s="591"/>
      <c r="E40" s="591"/>
      <c r="F40" s="591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94" t="s">
        <v>232</v>
      </c>
      <c r="C41" s="595"/>
      <c r="D41" s="595"/>
      <c r="E41" s="595"/>
      <c r="F41" s="595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94" t="s">
        <v>248</v>
      </c>
      <c r="C42" s="595"/>
      <c r="D42" s="595"/>
      <c r="E42" s="595"/>
      <c r="F42" s="595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94" t="s">
        <v>259</v>
      </c>
      <c r="C43" s="595"/>
      <c r="D43" s="595"/>
      <c r="E43" s="595"/>
      <c r="F43" s="595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94" t="s">
        <v>274</v>
      </c>
      <c r="C44" s="595"/>
      <c r="D44" s="595"/>
      <c r="E44" s="595"/>
      <c r="F44" s="595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94" t="s">
        <v>278</v>
      </c>
      <c r="C45" s="595"/>
      <c r="D45" s="595"/>
      <c r="E45" s="595"/>
      <c r="F45" s="595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92" t="s">
        <v>286</v>
      </c>
      <c r="C46" s="593"/>
      <c r="D46" s="593"/>
      <c r="E46" s="593"/>
      <c r="F46" s="593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92" t="s">
        <v>320</v>
      </c>
      <c r="C47" s="593"/>
      <c r="D47" s="593"/>
      <c r="E47" s="593"/>
      <c r="F47" s="593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16" t="s">
        <v>113</v>
      </c>
      <c r="C48" s="617"/>
      <c r="D48" s="617"/>
      <c r="E48" s="617"/>
      <c r="F48" s="617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21" t="s">
        <v>366</v>
      </c>
      <c r="C49" s="622"/>
      <c r="D49" s="622"/>
      <c r="E49" s="622"/>
      <c r="F49" s="622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0" t="s">
        <v>359</v>
      </c>
      <c r="C50" s="581"/>
      <c r="D50" s="581"/>
      <c r="E50" s="581"/>
      <c r="F50" s="581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23" t="s">
        <v>794</v>
      </c>
      <c r="C51" s="624"/>
      <c r="D51" s="624"/>
      <c r="E51" s="624"/>
      <c r="F51" s="624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25" t="s">
        <v>684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6" t="s">
        <v>545</v>
      </c>
      <c r="C53" s="587"/>
      <c r="D53" s="587"/>
      <c r="E53" s="587"/>
      <c r="F53" s="587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8" t="s">
        <v>792</v>
      </c>
      <c r="C54" s="589"/>
      <c r="D54" s="589"/>
      <c r="E54" s="589"/>
      <c r="F54" s="589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10" t="s">
        <v>352</v>
      </c>
      <c r="C55" s="611"/>
      <c r="D55" s="611"/>
      <c r="E55" s="611"/>
      <c r="F55" s="611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78" t="s">
        <v>355</v>
      </c>
      <c r="C56" s="579"/>
      <c r="D56" s="579"/>
      <c r="E56" s="579"/>
      <c r="F56" s="579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62" t="s">
        <v>357</v>
      </c>
      <c r="C57" s="563"/>
      <c r="D57" s="563"/>
      <c r="E57" s="563"/>
      <c r="F57" s="563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5" t="s">
        <v>336</v>
      </c>
      <c r="C58" s="666"/>
      <c r="D58" s="666"/>
      <c r="E58" s="666"/>
      <c r="F58" s="666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82" t="s">
        <v>543</v>
      </c>
      <c r="C59" s="583"/>
      <c r="D59" s="583"/>
      <c r="E59" s="583"/>
      <c r="F59" s="583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84" t="s">
        <v>544</v>
      </c>
      <c r="C60" s="585"/>
      <c r="D60" s="585"/>
      <c r="E60" s="585"/>
      <c r="F60" s="585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78" t="s">
        <v>114</v>
      </c>
      <c r="C61" s="579"/>
      <c r="D61" s="579"/>
      <c r="E61" s="579"/>
      <c r="F61" s="579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62" t="s">
        <v>116</v>
      </c>
      <c r="C62" s="563"/>
      <c r="D62" s="563"/>
      <c r="E62" s="563"/>
      <c r="F62" s="563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62" t="s">
        <v>93</v>
      </c>
      <c r="C63" s="563"/>
      <c r="D63" s="563"/>
      <c r="E63" s="563"/>
      <c r="F63" s="563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3" t="s">
        <v>551</v>
      </c>
      <c r="C100" s="634"/>
      <c r="D100" s="634"/>
      <c r="E100" s="634"/>
      <c r="F100" s="634"/>
      <c r="G100" s="618">
        <v>2019</v>
      </c>
      <c r="H100" s="619"/>
      <c r="I100" s="619"/>
      <c r="J100" s="619"/>
      <c r="K100" s="619"/>
      <c r="L100" s="619"/>
      <c r="M100" s="619"/>
      <c r="N100" s="619"/>
      <c r="O100" s="619"/>
      <c r="P100" s="619"/>
      <c r="Q100" s="619"/>
      <c r="R100" s="620"/>
      <c r="S100" s="96" t="str">
        <f>+S7</f>
        <v>BDP</v>
      </c>
      <c r="T100" s="97">
        <f>+T7</f>
        <v>4951000000</v>
      </c>
    </row>
    <row r="101" spans="1:21" ht="15.75" customHeight="1">
      <c r="B101" s="635"/>
      <c r="C101" s="636"/>
      <c r="D101" s="636"/>
      <c r="E101" s="636"/>
      <c r="F101" s="637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18" t="s">
        <v>806</v>
      </c>
      <c r="T101" s="620">
        <f>+T8</f>
        <v>0</v>
      </c>
    </row>
    <row r="102" spans="1:21" ht="13.5" thickBot="1">
      <c r="B102" s="638"/>
      <c r="C102" s="639"/>
      <c r="D102" s="639"/>
      <c r="E102" s="639"/>
      <c r="F102" s="64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3" t="s">
        <v>680</v>
      </c>
      <c r="C103" s="664"/>
      <c r="D103" s="664"/>
      <c r="E103" s="664"/>
      <c r="F103" s="664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29" t="s">
        <v>21</v>
      </c>
      <c r="C104" s="630"/>
      <c r="D104" s="630"/>
      <c r="E104" s="630"/>
      <c r="F104" s="630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31" t="s">
        <v>23</v>
      </c>
      <c r="C105" s="632"/>
      <c r="D105" s="632"/>
      <c r="E105" s="632"/>
      <c r="F105" s="632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31" t="s">
        <v>25</v>
      </c>
      <c r="C106" s="632"/>
      <c r="D106" s="632"/>
      <c r="E106" s="632"/>
      <c r="F106" s="632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31" t="s">
        <v>27</v>
      </c>
      <c r="C107" s="632"/>
      <c r="D107" s="632"/>
      <c r="E107" s="632"/>
      <c r="F107" s="632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31" t="s">
        <v>29</v>
      </c>
      <c r="C108" s="632"/>
      <c r="D108" s="632"/>
      <c r="E108" s="632"/>
      <c r="F108" s="632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31" t="s">
        <v>31</v>
      </c>
      <c r="C109" s="632"/>
      <c r="D109" s="632"/>
      <c r="E109" s="632"/>
      <c r="F109" s="632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31" t="s">
        <v>33</v>
      </c>
      <c r="C110" s="632"/>
      <c r="D110" s="632"/>
      <c r="E110" s="632"/>
      <c r="F110" s="632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31" t="s">
        <v>721</v>
      </c>
      <c r="C111" s="632"/>
      <c r="D111" s="632"/>
      <c r="E111" s="632"/>
      <c r="F111" s="632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1" t="s">
        <v>37</v>
      </c>
      <c r="C112" s="662"/>
      <c r="D112" s="662"/>
      <c r="E112" s="662"/>
      <c r="F112" s="662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31" t="s">
        <v>39</v>
      </c>
      <c r="C113" s="632"/>
      <c r="D113" s="632"/>
      <c r="E113" s="632"/>
      <c r="F113" s="632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31" t="s">
        <v>41</v>
      </c>
      <c r="C114" s="632"/>
      <c r="D114" s="632"/>
      <c r="E114" s="632"/>
      <c r="F114" s="632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31" t="s">
        <v>43</v>
      </c>
      <c r="C115" s="632"/>
      <c r="D115" s="632"/>
      <c r="E115" s="632"/>
      <c r="F115" s="632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31" t="s">
        <v>45</v>
      </c>
      <c r="C116" s="632"/>
      <c r="D116" s="632"/>
      <c r="E116" s="632"/>
      <c r="F116" s="632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41" t="s">
        <v>47</v>
      </c>
      <c r="C117" s="642"/>
      <c r="D117" s="642"/>
      <c r="E117" s="642"/>
      <c r="F117" s="642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41" t="s">
        <v>61</v>
      </c>
      <c r="C118" s="642"/>
      <c r="D118" s="642"/>
      <c r="E118" s="642"/>
      <c r="F118" s="642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41" t="s">
        <v>81</v>
      </c>
      <c r="C119" s="642"/>
      <c r="D119" s="642"/>
      <c r="E119" s="642"/>
      <c r="F119" s="642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41" t="s">
        <v>99</v>
      </c>
      <c r="C120" s="642"/>
      <c r="D120" s="642"/>
      <c r="E120" s="642"/>
      <c r="F120" s="642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43" t="s">
        <v>105</v>
      </c>
      <c r="C121" s="644"/>
      <c r="D121" s="644"/>
      <c r="E121" s="644"/>
      <c r="F121" s="644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27" t="s">
        <v>808</v>
      </c>
      <c r="C122" s="628"/>
      <c r="D122" s="628"/>
      <c r="E122" s="628"/>
      <c r="F122" s="628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9" t="s">
        <v>773</v>
      </c>
      <c r="C123" s="670"/>
      <c r="D123" s="670"/>
      <c r="E123" s="670"/>
      <c r="F123" s="670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45" t="e">
        <v>#REF!</v>
      </c>
      <c r="C124" s="646"/>
      <c r="D124" s="646"/>
      <c r="E124" s="646"/>
      <c r="F124" s="646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31" t="s">
        <v>122</v>
      </c>
      <c r="C125" s="632"/>
      <c r="D125" s="632"/>
      <c r="E125" s="632"/>
      <c r="F125" s="632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31" t="s">
        <v>133</v>
      </c>
      <c r="C126" s="632"/>
      <c r="D126" s="632"/>
      <c r="E126" s="632"/>
      <c r="F126" s="632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31" t="s">
        <v>148</v>
      </c>
      <c r="C127" s="632"/>
      <c r="D127" s="632"/>
      <c r="E127" s="632"/>
      <c r="F127" s="632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31" t="s">
        <v>162</v>
      </c>
      <c r="C128" s="632"/>
      <c r="D128" s="632"/>
      <c r="E128" s="632"/>
      <c r="F128" s="632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31" t="s">
        <v>182</v>
      </c>
      <c r="C129" s="632"/>
      <c r="D129" s="632"/>
      <c r="E129" s="632"/>
      <c r="F129" s="632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31" t="s">
        <v>190</v>
      </c>
      <c r="C130" s="632"/>
      <c r="D130" s="632"/>
      <c r="E130" s="632"/>
      <c r="F130" s="632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31" t="s">
        <v>196</v>
      </c>
      <c r="C131" s="632"/>
      <c r="D131" s="632"/>
      <c r="E131" s="632"/>
      <c r="F131" s="632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31" t="s">
        <v>204</v>
      </c>
      <c r="C132" s="632"/>
      <c r="D132" s="632"/>
      <c r="E132" s="632"/>
      <c r="F132" s="632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31" t="s">
        <v>212</v>
      </c>
      <c r="C133" s="632"/>
      <c r="D133" s="632"/>
      <c r="E133" s="632"/>
      <c r="F133" s="632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31" t="e">
        <v>#REF!</v>
      </c>
      <c r="C134" s="632"/>
      <c r="D134" s="632"/>
      <c r="E134" s="632"/>
      <c r="F134" s="632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51" t="s">
        <v>230</v>
      </c>
      <c r="C135" s="652"/>
      <c r="D135" s="652"/>
      <c r="E135" s="652"/>
      <c r="F135" s="652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31" t="s">
        <v>232</v>
      </c>
      <c r="C136" s="632"/>
      <c r="D136" s="632"/>
      <c r="E136" s="632"/>
      <c r="F136" s="632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31" t="s">
        <v>248</v>
      </c>
      <c r="C137" s="632"/>
      <c r="D137" s="632"/>
      <c r="E137" s="632"/>
      <c r="F137" s="632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31" t="s">
        <v>259</v>
      </c>
      <c r="C138" s="632"/>
      <c r="D138" s="632"/>
      <c r="E138" s="632"/>
      <c r="F138" s="632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31" t="s">
        <v>274</v>
      </c>
      <c r="C139" s="632"/>
      <c r="D139" s="632"/>
      <c r="E139" s="632"/>
      <c r="F139" s="632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31" t="s">
        <v>278</v>
      </c>
      <c r="C140" s="632"/>
      <c r="D140" s="632"/>
      <c r="E140" s="632"/>
      <c r="F140" s="632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47" t="s">
        <v>286</v>
      </c>
      <c r="C141" s="648"/>
      <c r="D141" s="648"/>
      <c r="E141" s="648"/>
      <c r="F141" s="648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47" t="s">
        <v>809</v>
      </c>
      <c r="C142" s="648"/>
      <c r="D142" s="648"/>
      <c r="E142" s="648"/>
      <c r="F142" s="648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49" t="s">
        <v>113</v>
      </c>
      <c r="C143" s="650"/>
      <c r="D143" s="650"/>
      <c r="E143" s="650"/>
      <c r="F143" s="650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49" t="s">
        <v>366</v>
      </c>
      <c r="C144" s="650"/>
      <c r="D144" s="650"/>
      <c r="E144" s="650"/>
      <c r="F144" s="650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49" t="s">
        <v>359</v>
      </c>
      <c r="C145" s="650"/>
      <c r="D145" s="650"/>
      <c r="E145" s="650"/>
      <c r="F145" s="650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49" t="s">
        <v>365</v>
      </c>
      <c r="C146" s="650"/>
      <c r="D146" s="650"/>
      <c r="E146" s="650"/>
      <c r="F146" s="650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7" t="s">
        <v>685</v>
      </c>
      <c r="C147" s="668"/>
      <c r="D147" s="668"/>
      <c r="E147" s="668"/>
      <c r="F147" s="668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57" t="s">
        <v>545</v>
      </c>
      <c r="C148" s="658"/>
      <c r="D148" s="658"/>
      <c r="E148" s="658"/>
      <c r="F148" s="658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59" t="s">
        <v>810</v>
      </c>
      <c r="C149" s="660"/>
      <c r="D149" s="660"/>
      <c r="E149" s="660"/>
      <c r="F149" s="660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51" t="s">
        <v>352</v>
      </c>
      <c r="C150" s="652"/>
      <c r="D150" s="652"/>
      <c r="E150" s="652"/>
      <c r="F150" s="652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55" t="s">
        <v>355</v>
      </c>
      <c r="C151" s="656"/>
      <c r="D151" s="656"/>
      <c r="E151" s="656"/>
      <c r="F151" s="656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49" t="s">
        <v>357</v>
      </c>
      <c r="C152" s="650"/>
      <c r="D152" s="650"/>
      <c r="E152" s="650"/>
      <c r="F152" s="650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5" t="s">
        <v>336</v>
      </c>
      <c r="C153" s="666"/>
      <c r="D153" s="666"/>
      <c r="E153" s="666"/>
      <c r="F153" s="666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53" t="s">
        <v>543</v>
      </c>
      <c r="C154" s="654"/>
      <c r="D154" s="654"/>
      <c r="E154" s="654"/>
      <c r="F154" s="654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27" t="s">
        <v>544</v>
      </c>
      <c r="C155" s="628"/>
      <c r="D155" s="628"/>
      <c r="E155" s="628"/>
      <c r="F155" s="628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55" t="s">
        <v>114</v>
      </c>
      <c r="C156" s="656"/>
      <c r="D156" s="656"/>
      <c r="E156" s="656"/>
      <c r="F156" s="656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49" t="s">
        <v>116</v>
      </c>
      <c r="C157" s="650"/>
      <c r="D157" s="650"/>
      <c r="E157" s="650"/>
      <c r="F157" s="650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49" t="s">
        <v>93</v>
      </c>
      <c r="C158" s="650"/>
      <c r="D158" s="650"/>
      <c r="E158" s="650"/>
      <c r="F158" s="650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64" t="s">
        <v>553</v>
      </c>
      <c r="C7" s="565"/>
      <c r="D7" s="565"/>
      <c r="E7" s="565"/>
      <c r="F7" s="565"/>
      <c r="G7" s="573">
        <v>2018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">
        <v>419</v>
      </c>
      <c r="T7" s="221">
        <v>4663130000</v>
      </c>
    </row>
    <row r="8" spans="1:20" ht="16.5" customHeight="1">
      <c r="A8" s="129"/>
      <c r="B8" s="566"/>
      <c r="C8" s="567"/>
      <c r="D8" s="567"/>
      <c r="E8" s="567"/>
      <c r="F8" s="568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3" t="s">
        <v>806</v>
      </c>
      <c r="T8" s="577"/>
    </row>
    <row r="9" spans="1:20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06" t="s">
        <v>680</v>
      </c>
      <c r="C10" s="607"/>
      <c r="D10" s="607"/>
      <c r="E10" s="607"/>
      <c r="F10" s="607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08" t="s">
        <v>21</v>
      </c>
      <c r="C11" s="609"/>
      <c r="D11" s="609"/>
      <c r="E11" s="609"/>
      <c r="F11" s="609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94" t="s">
        <v>23</v>
      </c>
      <c r="C12" s="595"/>
      <c r="D12" s="595"/>
      <c r="E12" s="595"/>
      <c r="F12" s="595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94" t="s">
        <v>25</v>
      </c>
      <c r="C13" s="595"/>
      <c r="D13" s="595"/>
      <c r="E13" s="595"/>
      <c r="F13" s="595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94" t="s">
        <v>27</v>
      </c>
      <c r="C14" s="595"/>
      <c r="D14" s="595"/>
      <c r="E14" s="595"/>
      <c r="F14" s="595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94" t="s">
        <v>29</v>
      </c>
      <c r="C15" s="595"/>
      <c r="D15" s="595"/>
      <c r="E15" s="595"/>
      <c r="F15" s="595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94" t="s">
        <v>31</v>
      </c>
      <c r="C16" s="595"/>
      <c r="D16" s="595"/>
      <c r="E16" s="595"/>
      <c r="F16" s="595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94" t="s">
        <v>33</v>
      </c>
      <c r="C17" s="595"/>
      <c r="D17" s="595"/>
      <c r="E17" s="595"/>
      <c r="F17" s="595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94" t="s">
        <v>721</v>
      </c>
      <c r="C18" s="595"/>
      <c r="D18" s="595"/>
      <c r="E18" s="595"/>
      <c r="F18" s="595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604" t="s">
        <v>37</v>
      </c>
      <c r="C19" s="605"/>
      <c r="D19" s="605"/>
      <c r="E19" s="605"/>
      <c r="F19" s="605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94" t="s">
        <v>39</v>
      </c>
      <c r="C20" s="595"/>
      <c r="D20" s="595"/>
      <c r="E20" s="595"/>
      <c r="F20" s="595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94" t="s">
        <v>41</v>
      </c>
      <c r="C21" s="595"/>
      <c r="D21" s="595"/>
      <c r="E21" s="595"/>
      <c r="F21" s="595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94" t="s">
        <v>43</v>
      </c>
      <c r="C22" s="595"/>
      <c r="D22" s="595"/>
      <c r="E22" s="595"/>
      <c r="F22" s="595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94" t="s">
        <v>45</v>
      </c>
      <c r="C23" s="595"/>
      <c r="D23" s="595"/>
      <c r="E23" s="595"/>
      <c r="F23" s="595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96" t="s">
        <v>47</v>
      </c>
      <c r="C24" s="597"/>
      <c r="D24" s="597"/>
      <c r="E24" s="597"/>
      <c r="F24" s="597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96" t="s">
        <v>61</v>
      </c>
      <c r="C25" s="597"/>
      <c r="D25" s="597"/>
      <c r="E25" s="597"/>
      <c r="F25" s="597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96" t="s">
        <v>81</v>
      </c>
      <c r="C26" s="597"/>
      <c r="D26" s="597"/>
      <c r="E26" s="597"/>
      <c r="F26" s="597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96" t="s">
        <v>99</v>
      </c>
      <c r="C27" s="597"/>
      <c r="D27" s="597"/>
      <c r="E27" s="597"/>
      <c r="F27" s="597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98" t="s">
        <v>105</v>
      </c>
      <c r="C28" s="599"/>
      <c r="D28" s="599"/>
      <c r="E28" s="599"/>
      <c r="F28" s="599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84" t="s">
        <v>801</v>
      </c>
      <c r="C29" s="585"/>
      <c r="D29" s="585"/>
      <c r="E29" s="585"/>
      <c r="F29" s="585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600" t="s">
        <v>773</v>
      </c>
      <c r="C30" s="601"/>
      <c r="D30" s="601"/>
      <c r="E30" s="601"/>
      <c r="F30" s="601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602" t="s">
        <v>120</v>
      </c>
      <c r="C31" s="603"/>
      <c r="D31" s="603"/>
      <c r="E31" s="603"/>
      <c r="F31" s="603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94" t="s">
        <v>122</v>
      </c>
      <c r="C32" s="595"/>
      <c r="D32" s="595"/>
      <c r="E32" s="595"/>
      <c r="F32" s="595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94" t="s">
        <v>133</v>
      </c>
      <c r="C33" s="595"/>
      <c r="D33" s="595"/>
      <c r="E33" s="595"/>
      <c r="F33" s="595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94" t="s">
        <v>148</v>
      </c>
      <c r="C34" s="595"/>
      <c r="D34" s="595"/>
      <c r="E34" s="595"/>
      <c r="F34" s="595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94" t="s">
        <v>162</v>
      </c>
      <c r="C35" s="595"/>
      <c r="D35" s="595"/>
      <c r="E35" s="595"/>
      <c r="F35" s="595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94" t="s">
        <v>182</v>
      </c>
      <c r="C36" s="595"/>
      <c r="D36" s="595"/>
      <c r="E36" s="595"/>
      <c r="F36" s="595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94" t="s">
        <v>190</v>
      </c>
      <c r="C37" s="595"/>
      <c r="D37" s="595"/>
      <c r="E37" s="595"/>
      <c r="F37" s="595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94" t="s">
        <v>196</v>
      </c>
      <c r="C38" s="595"/>
      <c r="D38" s="595"/>
      <c r="E38" s="595"/>
      <c r="F38" s="595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94" t="s">
        <v>204</v>
      </c>
      <c r="C39" s="595"/>
      <c r="D39" s="595"/>
      <c r="E39" s="595"/>
      <c r="F39" s="595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94" t="s">
        <v>212</v>
      </c>
      <c r="C40" s="595"/>
      <c r="D40" s="595"/>
      <c r="E40" s="595"/>
      <c r="F40" s="595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94" t="s">
        <v>802</v>
      </c>
      <c r="C41" s="595"/>
      <c r="D41" s="595"/>
      <c r="E41" s="595"/>
      <c r="F41" s="595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90" t="s">
        <v>230</v>
      </c>
      <c r="C42" s="591"/>
      <c r="D42" s="591"/>
      <c r="E42" s="591"/>
      <c r="F42" s="591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94" t="s">
        <v>232</v>
      </c>
      <c r="C43" s="595"/>
      <c r="D43" s="595"/>
      <c r="E43" s="595"/>
      <c r="F43" s="595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94" t="s">
        <v>248</v>
      </c>
      <c r="C44" s="595"/>
      <c r="D44" s="595"/>
      <c r="E44" s="595"/>
      <c r="F44" s="595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94" t="s">
        <v>259</v>
      </c>
      <c r="C45" s="595"/>
      <c r="D45" s="595"/>
      <c r="E45" s="595"/>
      <c r="F45" s="595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94" t="s">
        <v>274</v>
      </c>
      <c r="C46" s="595"/>
      <c r="D46" s="595"/>
      <c r="E46" s="595"/>
      <c r="F46" s="595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3" t="s">
        <v>278</v>
      </c>
      <c r="C47" s="674"/>
      <c r="D47" s="674"/>
      <c r="E47" s="674"/>
      <c r="F47" s="674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92" t="s">
        <v>286</v>
      </c>
      <c r="C48" s="593"/>
      <c r="D48" s="593"/>
      <c r="E48" s="593"/>
      <c r="F48" s="593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92" t="s">
        <v>320</v>
      </c>
      <c r="C49" s="593"/>
      <c r="D49" s="593"/>
      <c r="E49" s="593"/>
      <c r="F49" s="593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16" t="s">
        <v>113</v>
      </c>
      <c r="C50" s="617"/>
      <c r="D50" s="617"/>
      <c r="E50" s="617"/>
      <c r="F50" s="617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62" t="s">
        <v>366</v>
      </c>
      <c r="C51" s="563"/>
      <c r="D51" s="563"/>
      <c r="E51" s="563"/>
      <c r="F51" s="563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0" t="s">
        <v>359</v>
      </c>
      <c r="C52" s="581"/>
      <c r="D52" s="581"/>
      <c r="E52" s="581"/>
      <c r="F52" s="581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23" t="s">
        <v>794</v>
      </c>
      <c r="C53" s="624"/>
      <c r="D53" s="624"/>
      <c r="E53" s="624"/>
      <c r="F53" s="624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25" t="s">
        <v>684</v>
      </c>
      <c r="C54" s="626"/>
      <c r="D54" s="626"/>
      <c r="E54" s="626"/>
      <c r="F54" s="626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6" t="s">
        <v>545</v>
      </c>
      <c r="C55" s="587"/>
      <c r="D55" s="587"/>
      <c r="E55" s="587"/>
      <c r="F55" s="587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8" t="s">
        <v>793</v>
      </c>
      <c r="C57" s="589"/>
      <c r="D57" s="589"/>
      <c r="E57" s="589"/>
      <c r="F57" s="589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10" t="s">
        <v>352</v>
      </c>
      <c r="C58" s="611"/>
      <c r="D58" s="611"/>
      <c r="E58" s="611"/>
      <c r="F58" s="611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78" t="s">
        <v>355</v>
      </c>
      <c r="C59" s="579"/>
      <c r="D59" s="579"/>
      <c r="E59" s="579"/>
      <c r="F59" s="579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62" t="s">
        <v>357</v>
      </c>
      <c r="C60" s="563"/>
      <c r="D60" s="563"/>
      <c r="E60" s="563"/>
      <c r="F60" s="563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1" t="s">
        <v>336</v>
      </c>
      <c r="C61" s="672"/>
      <c r="D61" s="672"/>
      <c r="E61" s="672"/>
      <c r="F61" s="672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82" t="s">
        <v>543</v>
      </c>
      <c r="C62" s="583"/>
      <c r="D62" s="583"/>
      <c r="E62" s="583"/>
      <c r="F62" s="583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84" t="s">
        <v>544</v>
      </c>
      <c r="C63" s="585"/>
      <c r="D63" s="585"/>
      <c r="E63" s="585"/>
      <c r="F63" s="585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78" t="s">
        <v>114</v>
      </c>
      <c r="C64" s="579"/>
      <c r="D64" s="579"/>
      <c r="E64" s="579"/>
      <c r="F64" s="579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62" t="s">
        <v>116</v>
      </c>
      <c r="C65" s="563"/>
      <c r="D65" s="563"/>
      <c r="E65" s="563"/>
      <c r="F65" s="563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62" t="s">
        <v>93</v>
      </c>
      <c r="C66" s="563"/>
      <c r="D66" s="563"/>
      <c r="E66" s="563"/>
      <c r="F66" s="563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3" t="s">
        <v>551</v>
      </c>
      <c r="C103" s="634"/>
      <c r="D103" s="634"/>
      <c r="E103" s="634"/>
      <c r="F103" s="634"/>
      <c r="G103" s="618">
        <v>2018</v>
      </c>
      <c r="H103" s="619"/>
      <c r="I103" s="619"/>
      <c r="J103" s="619"/>
      <c r="K103" s="619"/>
      <c r="L103" s="619"/>
      <c r="M103" s="619"/>
      <c r="N103" s="619"/>
      <c r="O103" s="619"/>
      <c r="P103" s="619"/>
      <c r="Q103" s="619"/>
      <c r="R103" s="620"/>
      <c r="S103" s="96" t="str">
        <f>+S7</f>
        <v>BDP</v>
      </c>
      <c r="T103" s="97">
        <f>+T7</f>
        <v>4663130000</v>
      </c>
    </row>
    <row r="104" spans="1:21" ht="15.75" customHeight="1">
      <c r="B104" s="635"/>
      <c r="C104" s="636"/>
      <c r="D104" s="636"/>
      <c r="E104" s="636"/>
      <c r="F104" s="637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18" t="s">
        <v>806</v>
      </c>
      <c r="T104" s="620">
        <f>+T8</f>
        <v>0</v>
      </c>
    </row>
    <row r="105" spans="1:21" ht="13.5" thickBot="1">
      <c r="B105" s="638"/>
      <c r="C105" s="639"/>
      <c r="D105" s="639"/>
      <c r="E105" s="639"/>
      <c r="F105" s="640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3" t="s">
        <v>680</v>
      </c>
      <c r="C106" s="664"/>
      <c r="D106" s="664"/>
      <c r="E106" s="664"/>
      <c r="F106" s="664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29" t="s">
        <v>21</v>
      </c>
      <c r="C107" s="630"/>
      <c r="D107" s="630"/>
      <c r="E107" s="630"/>
      <c r="F107" s="630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31" t="s">
        <v>23</v>
      </c>
      <c r="C108" s="632"/>
      <c r="D108" s="632"/>
      <c r="E108" s="632"/>
      <c r="F108" s="632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31" t="s">
        <v>25</v>
      </c>
      <c r="C109" s="632"/>
      <c r="D109" s="632"/>
      <c r="E109" s="632"/>
      <c r="F109" s="632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31" t="s">
        <v>27</v>
      </c>
      <c r="C110" s="632"/>
      <c r="D110" s="632"/>
      <c r="E110" s="632"/>
      <c r="F110" s="632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31" t="s">
        <v>29</v>
      </c>
      <c r="C111" s="632"/>
      <c r="D111" s="632"/>
      <c r="E111" s="632"/>
      <c r="F111" s="632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31" t="s">
        <v>31</v>
      </c>
      <c r="C112" s="632"/>
      <c r="D112" s="632"/>
      <c r="E112" s="632"/>
      <c r="F112" s="632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31" t="s">
        <v>33</v>
      </c>
      <c r="C113" s="632"/>
      <c r="D113" s="632"/>
      <c r="E113" s="632"/>
      <c r="F113" s="632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31" t="s">
        <v>721</v>
      </c>
      <c r="C114" s="632"/>
      <c r="D114" s="632"/>
      <c r="E114" s="632"/>
      <c r="F114" s="632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1" t="s">
        <v>37</v>
      </c>
      <c r="C115" s="662"/>
      <c r="D115" s="662"/>
      <c r="E115" s="662"/>
      <c r="F115" s="662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31" t="s">
        <v>39</v>
      </c>
      <c r="C116" s="632"/>
      <c r="D116" s="632"/>
      <c r="E116" s="632"/>
      <c r="F116" s="632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31" t="s">
        <v>41</v>
      </c>
      <c r="C117" s="632"/>
      <c r="D117" s="632"/>
      <c r="E117" s="632"/>
      <c r="F117" s="632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31" t="s">
        <v>43</v>
      </c>
      <c r="C118" s="632"/>
      <c r="D118" s="632"/>
      <c r="E118" s="632"/>
      <c r="F118" s="632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31" t="s">
        <v>45</v>
      </c>
      <c r="C119" s="632"/>
      <c r="D119" s="632"/>
      <c r="E119" s="632"/>
      <c r="F119" s="632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41" t="s">
        <v>47</v>
      </c>
      <c r="C120" s="642"/>
      <c r="D120" s="642"/>
      <c r="E120" s="642"/>
      <c r="F120" s="642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41" t="s">
        <v>61</v>
      </c>
      <c r="C121" s="642"/>
      <c r="D121" s="642"/>
      <c r="E121" s="642"/>
      <c r="F121" s="642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41" t="s">
        <v>81</v>
      </c>
      <c r="C122" s="642"/>
      <c r="D122" s="642"/>
      <c r="E122" s="642"/>
      <c r="F122" s="642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41" t="s">
        <v>99</v>
      </c>
      <c r="C123" s="642"/>
      <c r="D123" s="642"/>
      <c r="E123" s="642"/>
      <c r="F123" s="642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43" t="s">
        <v>105</v>
      </c>
      <c r="C124" s="644"/>
      <c r="D124" s="644"/>
      <c r="E124" s="644"/>
      <c r="F124" s="644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27" t="s">
        <v>808</v>
      </c>
      <c r="C125" s="628"/>
      <c r="D125" s="628"/>
      <c r="E125" s="628"/>
      <c r="F125" s="628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9" t="s">
        <v>773</v>
      </c>
      <c r="C126" s="670"/>
      <c r="D126" s="670"/>
      <c r="E126" s="670"/>
      <c r="F126" s="670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45" t="s">
        <v>120</v>
      </c>
      <c r="C127" s="646"/>
      <c r="D127" s="646"/>
      <c r="E127" s="646"/>
      <c r="F127" s="646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31" t="s">
        <v>122</v>
      </c>
      <c r="C128" s="632"/>
      <c r="D128" s="632"/>
      <c r="E128" s="632"/>
      <c r="F128" s="632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31" t="s">
        <v>133</v>
      </c>
      <c r="C129" s="632"/>
      <c r="D129" s="632"/>
      <c r="E129" s="632"/>
      <c r="F129" s="632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31" t="s">
        <v>148</v>
      </c>
      <c r="C130" s="632"/>
      <c r="D130" s="632"/>
      <c r="E130" s="632"/>
      <c r="F130" s="632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31" t="s">
        <v>162</v>
      </c>
      <c r="C131" s="632"/>
      <c r="D131" s="632"/>
      <c r="E131" s="632"/>
      <c r="F131" s="632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31" t="s">
        <v>182</v>
      </c>
      <c r="C132" s="632"/>
      <c r="D132" s="632"/>
      <c r="E132" s="632"/>
      <c r="F132" s="632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31" t="s">
        <v>190</v>
      </c>
      <c r="C133" s="632"/>
      <c r="D133" s="632"/>
      <c r="E133" s="632"/>
      <c r="F133" s="632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31" t="s">
        <v>196</v>
      </c>
      <c r="C134" s="632"/>
      <c r="D134" s="632"/>
      <c r="E134" s="632"/>
      <c r="F134" s="632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31" t="s">
        <v>204</v>
      </c>
      <c r="C135" s="632"/>
      <c r="D135" s="632"/>
      <c r="E135" s="632"/>
      <c r="F135" s="632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31" t="s">
        <v>212</v>
      </c>
      <c r="C136" s="632"/>
      <c r="D136" s="632"/>
      <c r="E136" s="632"/>
      <c r="F136" s="632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31" t="s">
        <v>802</v>
      </c>
      <c r="C137" s="632"/>
      <c r="D137" s="632"/>
      <c r="E137" s="632"/>
      <c r="F137" s="632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51" t="s">
        <v>230</v>
      </c>
      <c r="C138" s="652"/>
      <c r="D138" s="652"/>
      <c r="E138" s="652"/>
      <c r="F138" s="652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31" t="s">
        <v>232</v>
      </c>
      <c r="C139" s="632"/>
      <c r="D139" s="632"/>
      <c r="E139" s="632"/>
      <c r="F139" s="632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31" t="s">
        <v>248</v>
      </c>
      <c r="C140" s="632"/>
      <c r="D140" s="632"/>
      <c r="E140" s="632"/>
      <c r="F140" s="632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31" t="s">
        <v>259</v>
      </c>
      <c r="C141" s="632"/>
      <c r="D141" s="632"/>
      <c r="E141" s="632"/>
      <c r="F141" s="632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31" t="s">
        <v>274</v>
      </c>
      <c r="C142" s="632"/>
      <c r="D142" s="632"/>
      <c r="E142" s="632"/>
      <c r="F142" s="632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31" t="s">
        <v>278</v>
      </c>
      <c r="C143" s="632"/>
      <c r="D143" s="632"/>
      <c r="E143" s="632"/>
      <c r="F143" s="632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47" t="s">
        <v>286</v>
      </c>
      <c r="C144" s="648"/>
      <c r="D144" s="648"/>
      <c r="E144" s="648"/>
      <c r="F144" s="648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47" t="s">
        <v>809</v>
      </c>
      <c r="C145" s="648"/>
      <c r="D145" s="648"/>
      <c r="E145" s="648"/>
      <c r="F145" s="648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49" t="s">
        <v>113</v>
      </c>
      <c r="C146" s="650"/>
      <c r="D146" s="650"/>
      <c r="E146" s="650"/>
      <c r="F146" s="650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49" t="s">
        <v>366</v>
      </c>
      <c r="C147" s="650"/>
      <c r="D147" s="650"/>
      <c r="E147" s="650"/>
      <c r="F147" s="650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49" t="s">
        <v>359</v>
      </c>
      <c r="C148" s="650"/>
      <c r="D148" s="650"/>
      <c r="E148" s="650"/>
      <c r="F148" s="650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57" t="s">
        <v>545</v>
      </c>
      <c r="C150" s="658"/>
      <c r="D150" s="658"/>
      <c r="E150" s="658"/>
      <c r="F150" s="658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59" t="s">
        <v>810</v>
      </c>
      <c r="C151" s="660"/>
      <c r="D151" s="660"/>
      <c r="E151" s="660"/>
      <c r="F151" s="660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51" t="s">
        <v>352</v>
      </c>
      <c r="C152" s="652"/>
      <c r="D152" s="652"/>
      <c r="E152" s="652"/>
      <c r="F152" s="652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55" t="s">
        <v>355</v>
      </c>
      <c r="C153" s="656"/>
      <c r="D153" s="656"/>
      <c r="E153" s="656"/>
      <c r="F153" s="656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49" t="s">
        <v>357</v>
      </c>
      <c r="C154" s="650"/>
      <c r="D154" s="650"/>
      <c r="E154" s="650"/>
      <c r="F154" s="650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49" t="s">
        <v>365</v>
      </c>
      <c r="C155" s="650"/>
      <c r="D155" s="650"/>
      <c r="E155" s="650"/>
      <c r="F155" s="650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53" t="s">
        <v>543</v>
      </c>
      <c r="C157" s="654"/>
      <c r="D157" s="654"/>
      <c r="E157" s="654"/>
      <c r="F157" s="654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27" t="s">
        <v>544</v>
      </c>
      <c r="C158" s="628"/>
      <c r="D158" s="628"/>
      <c r="E158" s="628"/>
      <c r="F158" s="628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55" t="s">
        <v>114</v>
      </c>
      <c r="C159" s="656"/>
      <c r="D159" s="656"/>
      <c r="E159" s="656"/>
      <c r="F159" s="656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49" t="s">
        <v>116</v>
      </c>
      <c r="C160" s="650"/>
      <c r="D160" s="650"/>
      <c r="E160" s="650"/>
      <c r="F160" s="650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49" t="s">
        <v>93</v>
      </c>
      <c r="C161" s="650"/>
      <c r="D161" s="650"/>
      <c r="E161" s="650"/>
      <c r="F161" s="650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8" t="s">
        <v>554</v>
      </c>
      <c r="F6" s="675">
        <v>2006</v>
      </c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7"/>
      <c r="R6" s="675">
        <v>2007</v>
      </c>
      <c r="S6" s="676"/>
      <c r="T6" s="676"/>
      <c r="U6" s="676"/>
      <c r="V6" s="676"/>
      <c r="W6" s="676"/>
      <c r="X6" s="676"/>
      <c r="Y6" s="676"/>
      <c r="Z6" s="676"/>
      <c r="AA6" s="676"/>
      <c r="AB6" s="676"/>
      <c r="AC6" s="677"/>
      <c r="AD6" s="675">
        <v>2008</v>
      </c>
      <c r="AE6" s="676"/>
      <c r="AF6" s="676"/>
      <c r="AG6" s="676"/>
      <c r="AH6" s="676"/>
      <c r="AI6" s="676"/>
      <c r="AJ6" s="676"/>
      <c r="AK6" s="676"/>
      <c r="AL6" s="676"/>
      <c r="AM6" s="676"/>
      <c r="AN6" s="676"/>
      <c r="AO6" s="677"/>
      <c r="AP6" s="675">
        <v>2009</v>
      </c>
      <c r="AQ6" s="676"/>
      <c r="AR6" s="676"/>
      <c r="AS6" s="676"/>
      <c r="AT6" s="676"/>
      <c r="AU6" s="676"/>
      <c r="AV6" s="676"/>
      <c r="AW6" s="676"/>
      <c r="AX6" s="676"/>
      <c r="AY6" s="676"/>
      <c r="AZ6" s="676"/>
      <c r="BA6" s="677"/>
      <c r="BB6" s="675">
        <v>2010</v>
      </c>
      <c r="BC6" s="676"/>
      <c r="BD6" s="676"/>
      <c r="BE6" s="676"/>
      <c r="BF6" s="676"/>
      <c r="BG6" s="676"/>
      <c r="BH6" s="676"/>
      <c r="BI6" s="676"/>
      <c r="BJ6" s="676"/>
      <c r="BK6" s="676"/>
      <c r="BL6" s="676"/>
      <c r="BM6" s="677"/>
      <c r="BN6" s="675">
        <v>2011</v>
      </c>
      <c r="BO6" s="676"/>
      <c r="BP6" s="676"/>
      <c r="BQ6" s="676"/>
      <c r="BR6" s="676"/>
      <c r="BS6" s="676"/>
      <c r="BT6" s="676"/>
      <c r="BU6" s="676"/>
      <c r="BV6" s="676"/>
      <c r="BW6" s="676"/>
      <c r="BX6" s="676"/>
      <c r="BY6" s="677"/>
      <c r="BZ6" s="676">
        <v>2012</v>
      </c>
      <c r="CA6" s="676"/>
      <c r="CB6" s="676"/>
      <c r="CC6" s="676"/>
      <c r="CD6" s="676"/>
      <c r="CE6" s="676"/>
      <c r="CF6" s="676"/>
      <c r="CG6" s="676"/>
      <c r="CH6" s="676"/>
      <c r="CI6" s="676"/>
      <c r="CJ6" s="676"/>
      <c r="CK6" s="676"/>
      <c r="CL6" s="675">
        <v>2013</v>
      </c>
      <c r="CM6" s="676"/>
      <c r="CN6" s="676"/>
      <c r="CO6" s="676"/>
      <c r="CP6" s="676"/>
      <c r="CQ6" s="676"/>
      <c r="CR6" s="676"/>
      <c r="CS6" s="676"/>
      <c r="CT6" s="676"/>
      <c r="CU6" s="676"/>
      <c r="CV6" s="676"/>
      <c r="CW6" s="677"/>
      <c r="CX6" s="675">
        <v>2014</v>
      </c>
      <c r="CY6" s="676"/>
      <c r="CZ6" s="676"/>
      <c r="DA6" s="676"/>
      <c r="DB6" s="676"/>
      <c r="DC6" s="676"/>
      <c r="DD6" s="676"/>
      <c r="DE6" s="676"/>
      <c r="DF6" s="676"/>
      <c r="DG6" s="676"/>
      <c r="DH6" s="676"/>
      <c r="DI6" s="677"/>
      <c r="DJ6" s="675">
        <v>2015</v>
      </c>
      <c r="DK6" s="676"/>
      <c r="DL6" s="676"/>
      <c r="DM6" s="676"/>
      <c r="DN6" s="676"/>
      <c r="DO6" s="676"/>
      <c r="DP6" s="676"/>
      <c r="DQ6" s="676"/>
      <c r="DR6" s="676"/>
      <c r="DS6" s="676"/>
      <c r="DT6" s="676"/>
      <c r="DU6" s="677"/>
    </row>
    <row r="7" spans="1:321">
      <c r="E7" s="678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8" t="s">
        <v>675</v>
      </c>
      <c r="F214" s="675">
        <v>2006</v>
      </c>
      <c r="G214" s="676"/>
      <c r="H214" s="676"/>
      <c r="I214" s="676"/>
      <c r="J214" s="676"/>
      <c r="K214" s="676"/>
      <c r="L214" s="676"/>
      <c r="M214" s="676"/>
      <c r="N214" s="676"/>
      <c r="O214" s="676"/>
      <c r="P214" s="676"/>
      <c r="Q214" s="677"/>
      <c r="R214" s="675">
        <v>2007</v>
      </c>
      <c r="S214" s="676"/>
      <c r="T214" s="676"/>
      <c r="U214" s="676"/>
      <c r="V214" s="676"/>
      <c r="W214" s="676"/>
      <c r="X214" s="676"/>
      <c r="Y214" s="676"/>
      <c r="Z214" s="676"/>
      <c r="AA214" s="676"/>
      <c r="AB214" s="676"/>
      <c r="AC214" s="677"/>
      <c r="AD214" s="675">
        <v>2008</v>
      </c>
      <c r="AE214" s="676"/>
      <c r="AF214" s="676"/>
      <c r="AG214" s="676"/>
      <c r="AH214" s="676"/>
      <c r="AI214" s="676"/>
      <c r="AJ214" s="676"/>
      <c r="AK214" s="676"/>
      <c r="AL214" s="676"/>
      <c r="AM214" s="676"/>
      <c r="AN214" s="676"/>
      <c r="AO214" s="677"/>
      <c r="AP214" s="675">
        <v>2009</v>
      </c>
      <c r="AQ214" s="676"/>
      <c r="AR214" s="676"/>
      <c r="AS214" s="676"/>
      <c r="AT214" s="676"/>
      <c r="AU214" s="676"/>
      <c r="AV214" s="676"/>
      <c r="AW214" s="676"/>
      <c r="AX214" s="676"/>
      <c r="AY214" s="676"/>
      <c r="AZ214" s="676"/>
      <c r="BA214" s="677"/>
      <c r="BB214" s="675">
        <v>2010</v>
      </c>
      <c r="BC214" s="676"/>
      <c r="BD214" s="676"/>
      <c r="BE214" s="676"/>
      <c r="BF214" s="676"/>
      <c r="BG214" s="676"/>
      <c r="BH214" s="676"/>
      <c r="BI214" s="676"/>
      <c r="BJ214" s="676"/>
      <c r="BK214" s="676"/>
      <c r="BL214" s="676"/>
      <c r="BM214" s="677"/>
      <c r="BN214" s="675">
        <v>2011</v>
      </c>
      <c r="BO214" s="676"/>
      <c r="BP214" s="676"/>
      <c r="BQ214" s="676"/>
      <c r="BR214" s="676"/>
      <c r="BS214" s="676"/>
      <c r="BT214" s="676"/>
      <c r="BU214" s="676"/>
      <c r="BV214" s="676"/>
      <c r="BW214" s="676"/>
      <c r="BX214" s="676"/>
      <c r="BY214" s="677"/>
      <c r="BZ214" s="676">
        <v>2012</v>
      </c>
      <c r="CA214" s="676"/>
      <c r="CB214" s="676"/>
      <c r="CC214" s="676"/>
      <c r="CD214" s="676"/>
      <c r="CE214" s="676"/>
      <c r="CF214" s="676"/>
      <c r="CG214" s="676"/>
      <c r="CH214" s="676"/>
      <c r="CI214" s="676"/>
      <c r="CJ214" s="676"/>
      <c r="CK214" s="676"/>
      <c r="CL214" s="675">
        <v>2013</v>
      </c>
      <c r="CM214" s="676"/>
      <c r="CN214" s="676"/>
      <c r="CO214" s="676"/>
      <c r="CP214" s="676"/>
      <c r="CQ214" s="676"/>
      <c r="CR214" s="676"/>
      <c r="CS214" s="676"/>
      <c r="CT214" s="676"/>
      <c r="CU214" s="676"/>
      <c r="CV214" s="676"/>
      <c r="CW214" s="677"/>
      <c r="CX214" s="675">
        <v>2014</v>
      </c>
      <c r="CY214" s="676"/>
      <c r="CZ214" s="676"/>
      <c r="DA214" s="676"/>
      <c r="DB214" s="676"/>
      <c r="DC214" s="676"/>
      <c r="DD214" s="676"/>
      <c r="DE214" s="676"/>
      <c r="DF214" s="676"/>
      <c r="DG214" s="676"/>
      <c r="DH214" s="676"/>
      <c r="DI214" s="677"/>
      <c r="DJ214" s="675">
        <v>2015</v>
      </c>
      <c r="DK214" s="676"/>
      <c r="DL214" s="676"/>
      <c r="DM214" s="676"/>
      <c r="DN214" s="676"/>
      <c r="DO214" s="676"/>
      <c r="DP214" s="676"/>
      <c r="DQ214" s="676"/>
      <c r="DR214" s="676"/>
      <c r="DS214" s="676"/>
      <c r="DT214" s="676"/>
      <c r="DU214" s="677"/>
    </row>
    <row r="215" spans="1:187">
      <c r="E215" s="678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B1:G286"/>
  <sheetViews>
    <sheetView zoomScaleNormal="100" workbookViewId="0">
      <pane ySplit="4" topLeftCell="A14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3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2025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Mart</v>
      </c>
    </row>
    <row r="246" spans="4:7">
      <c r="D246" s="41"/>
      <c r="G246" s="44" t="str">
        <f>+CONCATENATE("Jan - ",LEFT(G245,3))</f>
        <v>Jan - Mar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Mar</v>
      </c>
      <c r="F254" s="6" t="str">
        <f>+CONCATENATE("Analytics for period ",G246)</f>
        <v>Analytics for period Jan - Mar</v>
      </c>
      <c r="G254" s="44" t="str">
        <f>+IF(ISBLANK(IF($B$2=1,E254,F254)),"",IF($B$2=1,E254,F254))</f>
        <v>Analitika za period Jan - Mar</v>
      </c>
    </row>
    <row r="255" spans="4:7">
      <c r="E255" s="5" t="str">
        <f>+CONCATENATE("Analitika za period ",G245)</f>
        <v>Analitika za period Mart</v>
      </c>
      <c r="F255" s="6" t="str">
        <f>+CONCATENATE("Analytics for period ",G245)</f>
        <v>Analytics for period Mart</v>
      </c>
      <c r="G255" s="44" t="str">
        <f>+IF(ISBLANK(IF($B$2=1,E255,F255)),"",IF($B$2=1,E255,F255))</f>
        <v>Analitika za period Mart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Mart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Mart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Mart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Mart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Mart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Mart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C6" sqref="C6"/>
    </sheetView>
  </sheetViews>
  <sheetFormatPr defaultColWidth="9.140625" defaultRowHeight="15"/>
  <cols>
    <col min="1" max="3" width="9.140625" style="116"/>
    <col min="4" max="4" width="10" style="116" bestFit="1" customWidth="1"/>
    <col min="5" max="5" width="9.140625" style="116"/>
    <col min="6" max="7" width="9.140625" style="116" customWidth="1"/>
    <col min="8" max="8" width="11" style="116" customWidth="1"/>
    <col min="9" max="9" width="9.140625" style="116" customWidth="1"/>
    <col min="10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Mart</v>
      </c>
      <c r="G11" s="122" t="str">
        <f>+Master!G274</f>
        <v>Prihodi za period Januar - Mart</v>
      </c>
      <c r="J11" s="121"/>
    </row>
    <row r="12" spans="3:10">
      <c r="C12" s="120"/>
      <c r="D12" s="123">
        <f>+'Analitika 2025'!N10</f>
        <v>245307196.66999999</v>
      </c>
      <c r="E12" s="427">
        <f>+D12/'2025'!T7</f>
        <v>3.0796594856504381E-2</v>
      </c>
      <c r="G12" s="123">
        <f>+'Analitika 2025'!G10</f>
        <v>580407265.21999991</v>
      </c>
      <c r="H12" s="427">
        <f>+G12/'2025'!T7</f>
        <v>7.2866053835337827E-2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Mart</v>
      </c>
      <c r="G15" s="122" t="str">
        <f>+Master!G275</f>
        <v>Rashodi za period Januar - Mart</v>
      </c>
      <c r="J15" s="121"/>
    </row>
    <row r="16" spans="3:10">
      <c r="C16" s="120"/>
      <c r="D16" s="123">
        <f>+'Analitika 2025'!N29</f>
        <v>277144296.42000002</v>
      </c>
      <c r="E16" s="427">
        <f>+D16/'2025'!T7</f>
        <v>3.4793519022271326E-2</v>
      </c>
      <c r="G16" s="123">
        <f>+'Analitika 2025'!G29</f>
        <v>644295493.83999991</v>
      </c>
      <c r="H16" s="427">
        <f>+G16/'2025'!T7</f>
        <v>8.0886772018982089E-2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Mart</v>
      </c>
      <c r="G19" s="122" t="str">
        <f>+Master!G276</f>
        <v>Suficit/Deficit za period Januar - Mart</v>
      </c>
      <c r="J19" s="121"/>
    </row>
    <row r="20" spans="3:11">
      <c r="C20" s="120"/>
      <c r="D20" s="123">
        <f>+'Analitika 2025'!N53</f>
        <v>-31837099.75000003</v>
      </c>
      <c r="E20" s="427">
        <f>+D20/'2025'!T7</f>
        <v>-3.996924165766946E-3</v>
      </c>
      <c r="G20" s="123">
        <f>+'Analitika 2025'!G53</f>
        <v>-63888228.619999975</v>
      </c>
      <c r="H20" s="427">
        <f>+G20/'2025'!T7</f>
        <v>-8.0207181836442591E-3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wIS3K6uVM7PxW4+pX65I3L2BilHarjqcS9gNSnKnVKRWgWAemXgJtc4u11ptSzqpqXG6qREtO6PajZPPR9gdKg==" saltValue="5BaMw+m6DRG1Mlpkwu8rA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B4" sqref="B4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2025-03</v>
      </c>
      <c r="O6" s="128" t="str">
        <f>+CONCATENATE(N6,"p")</f>
        <v>2025-03p</v>
      </c>
      <c r="P6" s="116"/>
      <c r="Q6" s="116"/>
      <c r="R6" s="128" t="str">
        <f>+IF(Master!B3-10&gt;=0,CONCATENATE(Master!B4-1,"-",Master!B3),CONCATENATE(Master!B4-1,"-0",Master!B3))</f>
        <v>2024-03</v>
      </c>
      <c r="S6" s="116"/>
      <c r="T6" s="116"/>
    </row>
    <row r="7" spans="1:25" ht="14.25" customHeight="1">
      <c r="A7" s="129"/>
      <c r="B7" s="564" t="str">
        <f>+Master!G254</f>
        <v>Analitika za period Jan - Mar</v>
      </c>
      <c r="C7" s="565"/>
      <c r="D7" s="565"/>
      <c r="E7" s="565"/>
      <c r="F7" s="565"/>
      <c r="G7" s="573" t="str">
        <f>+Master!G246</f>
        <v>Jan - Mar</v>
      </c>
      <c r="H7" s="574"/>
      <c r="I7" s="574"/>
      <c r="J7" s="574"/>
      <c r="K7" s="574"/>
      <c r="L7" s="574"/>
      <c r="M7" s="577"/>
      <c r="N7" s="574" t="str">
        <f>+Master!G245</f>
        <v>Mart</v>
      </c>
      <c r="O7" s="574"/>
      <c r="P7" s="574"/>
      <c r="Q7" s="574"/>
      <c r="R7" s="574"/>
      <c r="S7" s="574"/>
      <c r="T7" s="577"/>
    </row>
    <row r="8" spans="1:25" ht="29.25" customHeight="1">
      <c r="A8" s="129"/>
      <c r="B8" s="566"/>
      <c r="C8" s="567"/>
      <c r="D8" s="567"/>
      <c r="E8" s="567"/>
      <c r="F8" s="568"/>
      <c r="G8" s="487" t="str">
        <f>+Master!G26</f>
        <v>Ostvarenje</v>
      </c>
      <c r="H8" s="330" t="str">
        <f>+Master!G25</f>
        <v>Plan</v>
      </c>
      <c r="I8" s="560" t="str">
        <f>+Master!G261</f>
        <v>Odstupanje</v>
      </c>
      <c r="J8" s="560"/>
      <c r="K8" s="130" t="str">
        <f>+CONCATENATE(Master!G246," ",Master!B4-1)</f>
        <v>Jan - Mar 2024</v>
      </c>
      <c r="L8" s="560" t="str">
        <f>+I8</f>
        <v>Odstupanje</v>
      </c>
      <c r="M8" s="561"/>
      <c r="N8" s="487" t="str">
        <f>+G8</f>
        <v>Ostvarenje</v>
      </c>
      <c r="O8" s="130" t="str">
        <f>+H8</f>
        <v>Plan</v>
      </c>
      <c r="P8" s="560" t="str">
        <f>+I8</f>
        <v>Odstupanje</v>
      </c>
      <c r="Q8" s="560"/>
      <c r="R8" s="130" t="str">
        <f>+CONCATENATE(Master!G245," ",Master!B4-1)</f>
        <v>Mart 2024</v>
      </c>
      <c r="S8" s="560" t="str">
        <f>+P8</f>
        <v>Odstupanje</v>
      </c>
      <c r="T8" s="561"/>
    </row>
    <row r="9" spans="1:25" ht="15.75" thickBot="1">
      <c r="A9" s="129"/>
      <c r="B9" s="569"/>
      <c r="C9" s="570"/>
      <c r="D9" s="570"/>
      <c r="E9" s="570"/>
      <c r="F9" s="571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136">
        <f>'2025'!S10</f>
        <v>580407265.21999991</v>
      </c>
      <c r="H10" s="136">
        <f>SUM('2025'!G86:I86)</f>
        <v>593412289.94347692</v>
      </c>
      <c r="I10" s="137">
        <f>+G10-H10</f>
        <v>-13005024.723477006</v>
      </c>
      <c r="J10" s="139">
        <f>IF(+IF(ISERROR(G10/H10),"…",G10/H10-1)&gt;200%,"...",IF(ISERROR(G10/H10),"…",G10/H10-1))</f>
        <v>-2.1915664612736196E-2</v>
      </c>
      <c r="K10" s="136">
        <f>SUM('2024'!G10:I10)</f>
        <v>575726608.82000005</v>
      </c>
      <c r="L10" s="137">
        <f>+G10-K10</f>
        <v>4680656.3999998569</v>
      </c>
      <c r="M10" s="141">
        <f>IF(+IF(ISERROR(G10/K10),"…",G10/K10-1)&gt;200%,"...",IF(ISERROR(G10/K10),"…",G10/K10-1))</f>
        <v>8.129998385159265E-3</v>
      </c>
      <c r="N10" s="136">
        <f>'2025'!I10</f>
        <v>245307196.66999999</v>
      </c>
      <c r="O10" s="136">
        <f>'2025'!I86</f>
        <v>250781153.76077548</v>
      </c>
      <c r="P10" s="137">
        <f>+N10-O10</f>
        <v>-5473957.0907754898</v>
      </c>
      <c r="Q10" s="139">
        <f>IF(+IF(ISERROR(N10/O10),"…",N10/O10-1)&gt;200%,"...",IF(ISERROR(N10/O10),"…",N10/O10-1))</f>
        <v>-2.1827625436308451E-2</v>
      </c>
      <c r="R10" s="136">
        <f>'2024'!I10</f>
        <v>244547117.82000002</v>
      </c>
      <c r="S10" s="137">
        <f>+N10-R10</f>
        <v>760078.84999996424</v>
      </c>
      <c r="T10" s="141">
        <f>IF(+IF(ISERROR(N10/R10),"…",N10/R10-1)&gt;200%,"...",IF(ISERROR(N10/R10),"…",N10/R10-1))</f>
        <v>3.108107986614872E-3</v>
      </c>
      <c r="W10" s="470"/>
      <c r="Y10" s="470"/>
    </row>
    <row r="11" spans="1:25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262">
        <f>'2025'!S11</f>
        <v>469877904.24000001</v>
      </c>
      <c r="H11" s="262">
        <f>SUM('2025'!G87:I87)</f>
        <v>471479160.82947701</v>
      </c>
      <c r="I11" s="143">
        <f t="shared" ref="I11:I57" si="0">+G11-H11</f>
        <v>-1601256.5894770026</v>
      </c>
      <c r="J11" s="145">
        <f t="shared" ref="J11:J66" si="1">IF(+IF(ISERROR(G11/H11-1),"…",G11/H11-1)&gt;200%,"...",IF(ISERROR(G11/H11-1),"…",G11/H11-1))</f>
        <v>-3.3962404333203189E-3</v>
      </c>
      <c r="K11" s="262">
        <f>SUM('2024'!G11:I11)</f>
        <v>427877926.18000007</v>
      </c>
      <c r="L11" s="143">
        <f>+G11-K11</f>
        <v>41999978.059999943</v>
      </c>
      <c r="M11" s="147">
        <f t="shared" ref="M11:M66" si="2">IF(+IF(ISERROR(G11/K11),"…",G11/K11-1)&gt;200%,"...",IF(ISERROR(G11/K11),"…",G11/K11-1))</f>
        <v>9.8158786630959227E-2</v>
      </c>
      <c r="N11" s="262">
        <f>'2025'!I11</f>
        <v>202518041.17999998</v>
      </c>
      <c r="O11" s="262">
        <f>'2025'!I87</f>
        <v>201920347.83324856</v>
      </c>
      <c r="P11" s="143">
        <f>+N11-O11</f>
        <v>597693.34675142169</v>
      </c>
      <c r="Q11" s="145">
        <f t="shared" ref="Q11:Q66" si="3">IF(+IF(ISERROR(N11/O11),"…",N11/O11-1)&gt;200%,"...",IF(ISERROR(N11/O11),"…",N11/O11-1))</f>
        <v>2.9600451522846516E-3</v>
      </c>
      <c r="R11" s="262">
        <f>'2024'!I11</f>
        <v>184557374.95000002</v>
      </c>
      <c r="S11" s="143">
        <f t="shared" ref="S11:S57" si="4">+N11-R11</f>
        <v>17960666.229999959</v>
      </c>
      <c r="T11" s="147">
        <f t="shared" ref="T11:T66" si="5">IF(+IF(ISERROR(N11/R11),"…",N11/R11-1)&gt;200%,"...",IF(ISERROR(N11/R11),"…",N11/R11-1))</f>
        <v>9.7317521095354964E-2</v>
      </c>
      <c r="W11" s="470"/>
      <c r="Y11" s="470"/>
    </row>
    <row r="12" spans="1:25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f>'2025'!S12</f>
        <v>20284850.600000001</v>
      </c>
      <c r="H12" s="148">
        <f>SUM('2025'!G88:I88)</f>
        <v>20084758.340592884</v>
      </c>
      <c r="I12" s="149">
        <f t="shared" si="0"/>
        <v>200092.25940711796</v>
      </c>
      <c r="J12" s="151">
        <f t="shared" si="1"/>
        <v>9.962393174665074E-3</v>
      </c>
      <c r="K12" s="148">
        <f>SUM('2024'!G12:I12)</f>
        <v>14935475.9</v>
      </c>
      <c r="L12" s="149">
        <f>+G12-K12</f>
        <v>5349374.7000000011</v>
      </c>
      <c r="M12" s="153">
        <f t="shared" si="2"/>
        <v>0.35816566782448489</v>
      </c>
      <c r="N12" s="148">
        <f>'2025'!I12</f>
        <v>8822636.5500000007</v>
      </c>
      <c r="O12" s="148">
        <f>'2025'!I88</f>
        <v>8923400.7130561098</v>
      </c>
      <c r="P12" s="149">
        <f t="shared" ref="P12:P57" si="6">+N12-O12</f>
        <v>-100764.1630561091</v>
      </c>
      <c r="Q12" s="151">
        <f t="shared" si="3"/>
        <v>-1.1292125759709282E-2</v>
      </c>
      <c r="R12" s="148">
        <f>'2024'!I12</f>
        <v>6774640.8399999999</v>
      </c>
      <c r="S12" s="149">
        <f t="shared" si="4"/>
        <v>2047995.7100000009</v>
      </c>
      <c r="T12" s="153">
        <f t="shared" si="5"/>
        <v>0.3023032155310541</v>
      </c>
      <c r="W12" s="470"/>
      <c r="Y12" s="470"/>
    </row>
    <row r="13" spans="1:25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f>'2025'!S13</f>
        <v>78199473.929999992</v>
      </c>
      <c r="H13" s="148">
        <f>SUM('2025'!G89:I89)</f>
        <v>82227037.993916184</v>
      </c>
      <c r="I13" s="149">
        <f t="shared" si="0"/>
        <v>-4027564.0639161915</v>
      </c>
      <c r="J13" s="151">
        <f t="shared" si="1"/>
        <v>-4.8981018435981905E-2</v>
      </c>
      <c r="K13" s="148">
        <f>SUM('2024'!G13:I13)</f>
        <v>78934015.350000009</v>
      </c>
      <c r="L13" s="149">
        <f t="shared" ref="L13:L57" si="7">+G13-K13</f>
        <v>-734541.42000001669</v>
      </c>
      <c r="M13" s="153">
        <f t="shared" si="2"/>
        <v>-9.3057652869045215E-3</v>
      </c>
      <c r="N13" s="148">
        <f>'2025'!I13</f>
        <v>69066545.549999997</v>
      </c>
      <c r="O13" s="148">
        <f>'2025'!I89</f>
        <v>72553471.511286497</v>
      </c>
      <c r="P13" s="149">
        <f t="shared" si="6"/>
        <v>-3486925.9612865001</v>
      </c>
      <c r="Q13" s="151">
        <f t="shared" si="3"/>
        <v>-4.8060084357839039E-2</v>
      </c>
      <c r="R13" s="148">
        <f>'2024'!I13</f>
        <v>71210822.510000005</v>
      </c>
      <c r="S13" s="149">
        <f t="shared" si="4"/>
        <v>-2144276.9600000083</v>
      </c>
      <c r="T13" s="153">
        <f t="shared" si="5"/>
        <v>-3.0111672417474034E-2</v>
      </c>
      <c r="W13" s="470"/>
      <c r="Y13" s="470"/>
    </row>
    <row r="14" spans="1:25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f>'2025'!S14</f>
        <v>0</v>
      </c>
      <c r="H14" s="148">
        <f>SUM('2025'!G90:I90)</f>
        <v>0</v>
      </c>
      <c r="I14" s="149">
        <f t="shared" si="0"/>
        <v>0</v>
      </c>
      <c r="J14" s="151" t="str">
        <f t="shared" si="1"/>
        <v>...</v>
      </c>
      <c r="K14" s="148">
        <f>SUM('2024'!G14:I14)</f>
        <v>0</v>
      </c>
      <c r="L14" s="149">
        <f t="shared" si="7"/>
        <v>0</v>
      </c>
      <c r="M14" s="153" t="str">
        <f t="shared" si="2"/>
        <v>...</v>
      </c>
      <c r="N14" s="148">
        <f>'2025'!I14</f>
        <v>0</v>
      </c>
      <c r="O14" s="148">
        <f>'2025'!I90</f>
        <v>0</v>
      </c>
      <c r="P14" s="149">
        <f t="shared" si="6"/>
        <v>0</v>
      </c>
      <c r="Q14" s="151" t="str">
        <f t="shared" si="3"/>
        <v>...</v>
      </c>
      <c r="R14" s="148">
        <f>'2024'!I14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f>'2025'!S15</f>
        <v>282283626.22000003</v>
      </c>
      <c r="H15" s="148">
        <f>SUM('2025'!G91:I91)</f>
        <v>282276979.77846581</v>
      </c>
      <c r="I15" s="149">
        <f t="shared" si="0"/>
        <v>6646.4415342211723</v>
      </c>
      <c r="J15" s="151">
        <f t="shared" si="1"/>
        <v>2.3545814963110701E-5</v>
      </c>
      <c r="K15" s="148">
        <f>SUM('2024'!G15:I15)</f>
        <v>252353543.47999999</v>
      </c>
      <c r="L15" s="149">
        <f t="shared" si="7"/>
        <v>29930082.740000039</v>
      </c>
      <c r="M15" s="153">
        <f t="shared" si="2"/>
        <v>0.11860377440022796</v>
      </c>
      <c r="N15" s="148">
        <f>'2025'!I15</f>
        <v>95190601.359999999</v>
      </c>
      <c r="O15" s="148">
        <f>'2025'!I91</f>
        <v>90983845.65021646</v>
      </c>
      <c r="P15" s="149">
        <f t="shared" si="6"/>
        <v>4206755.7097835392</v>
      </c>
      <c r="Q15" s="151">
        <f t="shared" si="3"/>
        <v>4.6236292604691975E-2</v>
      </c>
      <c r="R15" s="148">
        <f>'2024'!I15</f>
        <v>78800496.590000004</v>
      </c>
      <c r="S15" s="149">
        <f t="shared" si="4"/>
        <v>16390104.769999996</v>
      </c>
      <c r="T15" s="153">
        <f t="shared" si="5"/>
        <v>0.20799494266232754</v>
      </c>
      <c r="W15" s="470"/>
      <c r="Y15" s="470"/>
    </row>
    <row r="16" spans="1:25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f>'2025'!S16</f>
        <v>71465174.909999996</v>
      </c>
      <c r="H16" s="148">
        <f>SUM('2025'!G92:I92)</f>
        <v>70651764.849999994</v>
      </c>
      <c r="I16" s="149">
        <f t="shared" si="0"/>
        <v>813410.06000000238</v>
      </c>
      <c r="J16" s="151">
        <f t="shared" si="1"/>
        <v>1.1512947507071436E-2</v>
      </c>
      <c r="K16" s="148">
        <f>SUM('2024'!G16:I16)</f>
        <v>66917981.88000001</v>
      </c>
      <c r="L16" s="149">
        <f t="shared" si="7"/>
        <v>4547193.0299999863</v>
      </c>
      <c r="M16" s="153">
        <f t="shared" si="2"/>
        <v>6.7951735875032782E-2</v>
      </c>
      <c r="N16" s="148">
        <f>'2025'!I16</f>
        <v>22396675.600000001</v>
      </c>
      <c r="O16" s="148">
        <f>'2025'!I92</f>
        <v>23000000</v>
      </c>
      <c r="P16" s="149">
        <f t="shared" si="6"/>
        <v>-603324.39999999851</v>
      </c>
      <c r="Q16" s="151">
        <f t="shared" si="3"/>
        <v>-2.6231495652173864E-2</v>
      </c>
      <c r="R16" s="148">
        <f>'2024'!I16</f>
        <v>21994790.370000001</v>
      </c>
      <c r="S16" s="149">
        <f t="shared" si="4"/>
        <v>401885.23000000045</v>
      </c>
      <c r="T16" s="153">
        <f t="shared" si="5"/>
        <v>1.8271837250522616E-2</v>
      </c>
      <c r="W16" s="470"/>
      <c r="Y16" s="470"/>
    </row>
    <row r="17" spans="1:25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f>'2025'!S17</f>
        <v>14161078.310000001</v>
      </c>
      <c r="H17" s="148">
        <f>SUM('2025'!G93:I93)</f>
        <v>12693696.437235259</v>
      </c>
      <c r="I17" s="149">
        <f t="shared" si="0"/>
        <v>1467381.872764742</v>
      </c>
      <c r="J17" s="151">
        <f t="shared" si="1"/>
        <v>0.11559925668778193</v>
      </c>
      <c r="K17" s="148">
        <f>SUM('2024'!G17:I17)</f>
        <v>11483332.48</v>
      </c>
      <c r="L17" s="149">
        <f t="shared" si="7"/>
        <v>2677745.83</v>
      </c>
      <c r="M17" s="153">
        <f t="shared" si="2"/>
        <v>0.23318543068083319</v>
      </c>
      <c r="N17" s="148">
        <f>'2025'!I17</f>
        <v>5839125.4400000004</v>
      </c>
      <c r="O17" s="148">
        <f>'2025'!I93</f>
        <v>5206630.3006149847</v>
      </c>
      <c r="P17" s="149" t="s">
        <v>92</v>
      </c>
      <c r="Q17" s="151">
        <f>IF(+IF(ISERROR(N17/O17),"…",N17/O17-1)&gt;200%,"...",IF(ISERROR(N17/O17),"…",N17/O17-1))</f>
        <v>0.12147878817328506</v>
      </c>
      <c r="R17" s="148">
        <f>'2024'!I17</f>
        <v>4636318.09</v>
      </c>
      <c r="S17" s="149">
        <f t="shared" si="4"/>
        <v>1202807.3500000006</v>
      </c>
      <c r="T17" s="153">
        <f t="shared" si="5"/>
        <v>0.25943158485918305</v>
      </c>
      <c r="W17" s="470"/>
      <c r="Y17" s="470"/>
    </row>
    <row r="18" spans="1:25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f>'2025'!S18</f>
        <v>3483700.2699999996</v>
      </c>
      <c r="H18" s="148">
        <f>SUM('2025'!G94:I94)</f>
        <v>3544923.4292668593</v>
      </c>
      <c r="I18" s="149">
        <f t="shared" si="0"/>
        <v>-61223.159266859759</v>
      </c>
      <c r="J18" s="151">
        <f t="shared" si="1"/>
        <v>-1.7270657741547235E-2</v>
      </c>
      <c r="K18" s="148">
        <f>SUM('2024'!G18:I18)</f>
        <v>3253577.09</v>
      </c>
      <c r="L18" s="149">
        <f t="shared" si="7"/>
        <v>230123.1799999997</v>
      </c>
      <c r="M18" s="153">
        <f t="shared" si="2"/>
        <v>7.0729284610250298E-2</v>
      </c>
      <c r="N18" s="148">
        <f>'2025'!I18</f>
        <v>1202456.68</v>
      </c>
      <c r="O18" s="148">
        <f>'2025'!I94</f>
        <v>1252999.6580744842</v>
      </c>
      <c r="P18" s="149">
        <f t="shared" si="6"/>
        <v>-50542.978074484272</v>
      </c>
      <c r="Q18" s="151">
        <f t="shared" si="3"/>
        <v>-4.0337583293641899E-2</v>
      </c>
      <c r="R18" s="148">
        <f>'2024'!I18</f>
        <v>1140306.55</v>
      </c>
      <c r="S18" s="149">
        <f t="shared" si="4"/>
        <v>62150.129999999888</v>
      </c>
      <c r="T18" s="153">
        <f t="shared" si="5"/>
        <v>5.4503001846301746E-2</v>
      </c>
      <c r="W18" s="470"/>
      <c r="Y18" s="470"/>
    </row>
    <row r="19" spans="1:25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154">
        <f>'2025'!S19</f>
        <v>84400571.599999994</v>
      </c>
      <c r="H19" s="154">
        <f>SUM('2025'!G95:I95)</f>
        <v>92059651.484564126</v>
      </c>
      <c r="I19" s="155">
        <f t="shared" si="0"/>
        <v>-7659079.8845641315</v>
      </c>
      <c r="J19" s="157">
        <f t="shared" si="1"/>
        <v>-8.3196924614127532E-2</v>
      </c>
      <c r="K19" s="154">
        <f>SUM('2024'!G19:I19)</f>
        <v>114836678.37</v>
      </c>
      <c r="L19" s="155">
        <f t="shared" si="7"/>
        <v>-30436106.770000011</v>
      </c>
      <c r="M19" s="159">
        <f t="shared" si="2"/>
        <v>-0.26503820209720697</v>
      </c>
      <c r="N19" s="154">
        <f>'2025'!I19</f>
        <v>32433143.130000003</v>
      </c>
      <c r="O19" s="154">
        <f>'2025'!I95</f>
        <v>37594151.372717343</v>
      </c>
      <c r="P19" s="155">
        <f t="shared" si="6"/>
        <v>-5161008.2427173406</v>
      </c>
      <c r="Q19" s="157">
        <f t="shared" si="3"/>
        <v>-0.13728221157461118</v>
      </c>
      <c r="R19" s="154">
        <f>'2024'!I19</f>
        <v>50079162.990000002</v>
      </c>
      <c r="S19" s="155">
        <f t="shared" si="4"/>
        <v>-17646019.859999999</v>
      </c>
      <c r="T19" s="159">
        <f t="shared" si="5"/>
        <v>-0.35236251579371691</v>
      </c>
      <c r="W19" s="470"/>
      <c r="Y19" s="470"/>
    </row>
    <row r="20" spans="1:25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f>'2025'!S20</f>
        <v>71292915.480000004</v>
      </c>
      <c r="H20" s="148">
        <f>SUM('2025'!G96:I96)</f>
        <v>81588222.926984102</v>
      </c>
      <c r="I20" s="149">
        <f t="shared" si="0"/>
        <v>-10295307.446984097</v>
      </c>
      <c r="J20" s="151">
        <f t="shared" si="1"/>
        <v>-0.12618619547820886</v>
      </c>
      <c r="K20" s="148">
        <f>SUM('2024'!G20:I20)</f>
        <v>105260618.40000001</v>
      </c>
      <c r="L20" s="149">
        <f t="shared" si="7"/>
        <v>-33967702.920000002</v>
      </c>
      <c r="M20" s="153">
        <f t="shared" si="2"/>
        <v>-0.32270096296527173</v>
      </c>
      <c r="N20" s="148">
        <f>'2025'!I20</f>
        <v>27476313.780000001</v>
      </c>
      <c r="O20" s="148">
        <f>'2025'!I96</f>
        <v>33632306.939369902</v>
      </c>
      <c r="P20" s="149">
        <f t="shared" si="6"/>
        <v>-6155993.1593699008</v>
      </c>
      <c r="Q20" s="151">
        <f t="shared" si="3"/>
        <v>-0.18303808806417943</v>
      </c>
      <c r="R20" s="148">
        <f>'2024'!I20</f>
        <v>45892077.740000002</v>
      </c>
      <c r="S20" s="149">
        <f t="shared" si="4"/>
        <v>-18415763.960000001</v>
      </c>
      <c r="T20" s="153">
        <f t="shared" si="5"/>
        <v>-0.40128416203628614</v>
      </c>
      <c r="W20" s="470"/>
      <c r="Y20" s="470"/>
    </row>
    <row r="21" spans="1:25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f>'2025'!S21</f>
        <v>2052790.28</v>
      </c>
      <c r="H21" s="148">
        <f>SUM('2025'!G97:I97)</f>
        <v>1314706.6173882158</v>
      </c>
      <c r="I21" s="149">
        <f t="shared" si="0"/>
        <v>738083.66261178418</v>
      </c>
      <c r="J21" s="151">
        <f t="shared" si="1"/>
        <v>0.56140560399555484</v>
      </c>
      <c r="K21" s="148">
        <f>SUM('2024'!G21:I21)</f>
        <v>1184664.5899999999</v>
      </c>
      <c r="L21" s="149">
        <f t="shared" si="7"/>
        <v>868125.69000000018</v>
      </c>
      <c r="M21" s="153">
        <f t="shared" si="2"/>
        <v>0.73280293623024573</v>
      </c>
      <c r="N21" s="148">
        <f>'2025'!I21</f>
        <v>583561.47</v>
      </c>
      <c r="O21" s="148">
        <f>'2025'!I97</f>
        <v>500023.86869410798</v>
      </c>
      <c r="P21" s="149">
        <f t="shared" si="6"/>
        <v>83537.601305891993</v>
      </c>
      <c r="Q21" s="151">
        <f t="shared" si="3"/>
        <v>0.16706722725869816</v>
      </c>
      <c r="R21" s="148">
        <f>'2024'!I21</f>
        <v>494660.43</v>
      </c>
      <c r="S21" s="149">
        <f t="shared" si="4"/>
        <v>88901.039999999979</v>
      </c>
      <c r="T21" s="153">
        <f t="shared" si="5"/>
        <v>0.17972134945178442</v>
      </c>
      <c r="W21" s="470"/>
      <c r="Y21" s="470"/>
    </row>
    <row r="22" spans="1:25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f>'2025'!S22</f>
        <v>6548209.3300000001</v>
      </c>
      <c r="H22" s="148">
        <f>SUM('2025'!G98:I98)</f>
        <v>4966350.2252162714</v>
      </c>
      <c r="I22" s="149">
        <f t="shared" si="0"/>
        <v>1581859.1047837287</v>
      </c>
      <c r="J22" s="151">
        <f t="shared" si="1"/>
        <v>0.31851541535511485</v>
      </c>
      <c r="K22" s="148">
        <f>SUM('2024'!G22:I22)</f>
        <v>4910225.5500000007</v>
      </c>
      <c r="L22" s="149">
        <f t="shared" si="7"/>
        <v>1637983.7799999993</v>
      </c>
      <c r="M22" s="153">
        <f t="shared" si="2"/>
        <v>0.33358626061485075</v>
      </c>
      <c r="N22" s="148">
        <f>'2025'!I22</f>
        <v>2567338.7400000002</v>
      </c>
      <c r="O22" s="148">
        <f>'2025'!I98</f>
        <v>1806831.7959047167</v>
      </c>
      <c r="P22" s="149">
        <f t="shared" si="6"/>
        <v>760506.94409528351</v>
      </c>
      <c r="Q22" s="151">
        <f t="shared" si="3"/>
        <v>0.42090633218820606</v>
      </c>
      <c r="R22" s="148">
        <f>'2024'!I22</f>
        <v>2137007.6800000002</v>
      </c>
      <c r="S22" s="149">
        <f t="shared" si="4"/>
        <v>430331.06000000006</v>
      </c>
      <c r="T22" s="153">
        <f t="shared" si="5"/>
        <v>0.20137085328584314</v>
      </c>
      <c r="W22" s="470"/>
      <c r="Y22" s="470"/>
    </row>
    <row r="23" spans="1:25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f>'2025'!S23</f>
        <v>4506656.51</v>
      </c>
      <c r="H23" s="148">
        <f>SUM('2025'!G99:I99)</f>
        <v>4190371.7149755214</v>
      </c>
      <c r="I23" s="149">
        <f t="shared" si="0"/>
        <v>316284.79502447834</v>
      </c>
      <c r="J23" s="151">
        <f t="shared" si="1"/>
        <v>7.5478935172777595E-2</v>
      </c>
      <c r="K23" s="148">
        <f>SUM('2024'!G23:I23)</f>
        <v>3481169.83</v>
      </c>
      <c r="L23" s="149">
        <f t="shared" si="7"/>
        <v>1025486.6799999997</v>
      </c>
      <c r="M23" s="153">
        <f t="shared" si="2"/>
        <v>0.29458105466805096</v>
      </c>
      <c r="N23" s="148">
        <f>'2025'!I23</f>
        <v>1805929.14</v>
      </c>
      <c r="O23" s="148">
        <f>'2025'!I99</f>
        <v>1654988.7687486098</v>
      </c>
      <c r="P23" s="149">
        <f t="shared" si="6"/>
        <v>150940.37125139008</v>
      </c>
      <c r="Q23" s="151">
        <f t="shared" si="3"/>
        <v>9.1203260168055911E-2</v>
      </c>
      <c r="R23" s="148">
        <f>'2024'!I23</f>
        <v>1555417.14</v>
      </c>
      <c r="S23" s="149">
        <f t="shared" si="4"/>
        <v>250512</v>
      </c>
      <c r="T23" s="153">
        <f t="shared" si="5"/>
        <v>0.16105775972097103</v>
      </c>
      <c r="W23" s="470"/>
      <c r="Y23" s="470"/>
    </row>
    <row r="24" spans="1:25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f>'2025'!S24</f>
        <v>2987532.38</v>
      </c>
      <c r="H24" s="160">
        <f>SUM('2025'!G100:I100)</f>
        <v>3228866.3416963937</v>
      </c>
      <c r="I24" s="161">
        <f t="shared" si="0"/>
        <v>-241333.96169639379</v>
      </c>
      <c r="J24" s="163">
        <f t="shared" si="1"/>
        <v>-7.4742629814029682E-2</v>
      </c>
      <c r="K24" s="160">
        <f>SUM('2024'!G24:I24)</f>
        <v>2844836.7</v>
      </c>
      <c r="L24" s="161">
        <f t="shared" si="7"/>
        <v>142695.6799999997</v>
      </c>
      <c r="M24" s="165">
        <f t="shared" si="2"/>
        <v>5.0159532882853908E-2</v>
      </c>
      <c r="N24" s="160">
        <f>'2025'!I24</f>
        <v>1058406.27</v>
      </c>
      <c r="O24" s="160">
        <f>'2025'!I100</f>
        <v>1218734.5012239015</v>
      </c>
      <c r="P24" s="161">
        <f t="shared" si="6"/>
        <v>-160328.2312239015</v>
      </c>
      <c r="Q24" s="163">
        <f t="shared" si="3"/>
        <v>-0.13155304216208985</v>
      </c>
      <c r="R24" s="160">
        <f>'2024'!I24</f>
        <v>986568.83000000007</v>
      </c>
      <c r="S24" s="161">
        <f t="shared" si="4"/>
        <v>71837.439999999944</v>
      </c>
      <c r="T24" s="165">
        <f t="shared" si="5"/>
        <v>7.2815436506340703E-2</v>
      </c>
      <c r="W24" s="470"/>
      <c r="Y24" s="470"/>
    </row>
    <row r="25" spans="1:25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f>'2025'!S25</f>
        <v>12153972.060000001</v>
      </c>
      <c r="H25" s="160">
        <f>SUM('2025'!G101:I101)</f>
        <v>15240270.179597767</v>
      </c>
      <c r="I25" s="161">
        <f t="shared" si="0"/>
        <v>-3086298.1195977665</v>
      </c>
      <c r="J25" s="163">
        <f t="shared" si="1"/>
        <v>-0.20250940982197352</v>
      </c>
      <c r="K25" s="160">
        <f>SUM('2024'!G25:I25)</f>
        <v>10100640.5</v>
      </c>
      <c r="L25" s="161">
        <f t="shared" si="7"/>
        <v>2053331.5600000005</v>
      </c>
      <c r="M25" s="165">
        <f t="shared" si="2"/>
        <v>0.20328726282259035</v>
      </c>
      <c r="N25" s="160">
        <f>'2025'!I25</f>
        <v>4383671.12</v>
      </c>
      <c r="O25" s="160">
        <f>'2025'!I101</f>
        <v>5747442.1481512357</v>
      </c>
      <c r="P25" s="161">
        <f t="shared" si="6"/>
        <v>-1363771.0281512355</v>
      </c>
      <c r="Q25" s="163">
        <f t="shared" si="3"/>
        <v>-0.23728312403978113</v>
      </c>
      <c r="R25" s="160">
        <f>'2024'!I25</f>
        <v>3497306.59</v>
      </c>
      <c r="S25" s="161">
        <f t="shared" si="4"/>
        <v>886364.53000000026</v>
      </c>
      <c r="T25" s="165">
        <f t="shared" si="5"/>
        <v>0.25344204381006241</v>
      </c>
      <c r="W25" s="470"/>
      <c r="Y25" s="470"/>
    </row>
    <row r="26" spans="1:25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f>'2025'!S26</f>
        <v>8118166.2299999995</v>
      </c>
      <c r="H26" s="160">
        <f>SUM('2025'!G102:I102)</f>
        <v>6404341.1081416672</v>
      </c>
      <c r="I26" s="161">
        <f t="shared" si="0"/>
        <v>1713825.1218583323</v>
      </c>
      <c r="J26" s="163">
        <f t="shared" si="1"/>
        <v>0.26760366022346815</v>
      </c>
      <c r="K26" s="160">
        <f>SUM('2024'!G26:I26)</f>
        <v>12439387.369999999</v>
      </c>
      <c r="L26" s="161">
        <f t="shared" si="7"/>
        <v>-4321221.1399999997</v>
      </c>
      <c r="M26" s="165">
        <f t="shared" si="2"/>
        <v>-0.34738215086230573</v>
      </c>
      <c r="N26" s="160">
        <f>'2025'!I26</f>
        <v>2897666.37</v>
      </c>
      <c r="O26" s="160">
        <f>'2025'!I102</f>
        <v>2300477.9054344208</v>
      </c>
      <c r="P26" s="161">
        <f t="shared" si="6"/>
        <v>597188.46456557931</v>
      </c>
      <c r="Q26" s="163">
        <f t="shared" si="3"/>
        <v>0.25959321893717835</v>
      </c>
      <c r="R26" s="160">
        <f>'2024'!I26</f>
        <v>2145824.85</v>
      </c>
      <c r="S26" s="161">
        <f t="shared" si="4"/>
        <v>751841.52</v>
      </c>
      <c r="T26" s="165">
        <f t="shared" si="5"/>
        <v>0.35037413235288062</v>
      </c>
      <c r="W26" s="470"/>
      <c r="Y26" s="470"/>
    </row>
    <row r="27" spans="1:25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f>'2025'!S27</f>
        <v>0</v>
      </c>
      <c r="H27" s="160">
        <f>SUM('2025'!G103:I103)</f>
        <v>0</v>
      </c>
      <c r="I27" s="161">
        <f t="shared" si="0"/>
        <v>0</v>
      </c>
      <c r="J27" s="163" t="str">
        <f t="shared" si="1"/>
        <v>...</v>
      </c>
      <c r="K27" s="160">
        <f>SUM('2024'!G27:I27)</f>
        <v>0</v>
      </c>
      <c r="L27" s="161">
        <f t="shared" si="7"/>
        <v>0</v>
      </c>
      <c r="M27" s="165" t="str">
        <f t="shared" si="2"/>
        <v>...</v>
      </c>
      <c r="N27" s="160">
        <f>'2025'!I27</f>
        <v>0</v>
      </c>
      <c r="O27" s="160">
        <f>'2025'!I103</f>
        <v>0</v>
      </c>
      <c r="P27" s="161">
        <f t="shared" si="6"/>
        <v>0</v>
      </c>
      <c r="Q27" s="163" t="str">
        <f t="shared" si="3"/>
        <v>...</v>
      </c>
      <c r="R27" s="160">
        <f>'2024'!I27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f>'2025'!S28</f>
        <v>2869118.71</v>
      </c>
      <c r="H28" s="160">
        <f>SUM('2025'!G104:I104)</f>
        <v>5000000</v>
      </c>
      <c r="I28" s="161">
        <f t="shared" si="0"/>
        <v>-2130881.29</v>
      </c>
      <c r="J28" s="163">
        <f t="shared" si="1"/>
        <v>-0.42617625800000003</v>
      </c>
      <c r="K28" s="160">
        <f>SUM('2024'!G28:I28)</f>
        <v>7627139.7000000011</v>
      </c>
      <c r="L28" s="161">
        <f t="shared" si="7"/>
        <v>-4758020.9900000012</v>
      </c>
      <c r="M28" s="165">
        <f t="shared" si="2"/>
        <v>-0.6238276965085614</v>
      </c>
      <c r="N28" s="160">
        <f>'2025'!I28</f>
        <v>2016268.6</v>
      </c>
      <c r="O28" s="160">
        <f>'2025'!I104</f>
        <v>2000000</v>
      </c>
      <c r="P28" s="161">
        <f t="shared" si="6"/>
        <v>16268.600000000093</v>
      </c>
      <c r="Q28" s="163">
        <f t="shared" si="3"/>
        <v>8.1343000000000387E-3</v>
      </c>
      <c r="R28" s="160">
        <f>'2024'!I28</f>
        <v>3280879.61</v>
      </c>
      <c r="S28" s="161">
        <f t="shared" si="4"/>
        <v>-1264611.0099999998</v>
      </c>
      <c r="T28" s="165">
        <f t="shared" si="5"/>
        <v>-0.38544876994130239</v>
      </c>
      <c r="W28" s="470"/>
      <c r="Y28" s="470"/>
    </row>
    <row r="29" spans="1:25" ht="15.7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'2025'!S29</f>
        <v>644295493.83999991</v>
      </c>
      <c r="H29" s="136">
        <f>SUM('2025'!G105:I105)</f>
        <v>714224706.06999993</v>
      </c>
      <c r="I29" s="137">
        <f t="shared" si="0"/>
        <v>-69929212.230000019</v>
      </c>
      <c r="J29" s="139">
        <f t="shared" si="1"/>
        <v>-9.7909259698930606E-2</v>
      </c>
      <c r="K29" s="136">
        <f>SUM('2024'!G29:I29)</f>
        <v>583393660.88</v>
      </c>
      <c r="L29" s="137">
        <f t="shared" si="7"/>
        <v>60901832.959999919</v>
      </c>
      <c r="M29" s="141">
        <f t="shared" si="2"/>
        <v>0.10439234610148951</v>
      </c>
      <c r="N29" s="136">
        <f>'2025'!I29</f>
        <v>277144296.42000002</v>
      </c>
      <c r="O29" s="136">
        <f>'2025'!I105</f>
        <v>268084271.89999998</v>
      </c>
      <c r="P29" s="137">
        <f t="shared" si="6"/>
        <v>9060024.5200000405</v>
      </c>
      <c r="Q29" s="139">
        <f t="shared" si="3"/>
        <v>3.3795434755603981E-2</v>
      </c>
      <c r="R29" s="136">
        <f>'2024'!I29</f>
        <v>231119506.67999998</v>
      </c>
      <c r="S29" s="137">
        <f t="shared" si="4"/>
        <v>46024789.740000039</v>
      </c>
      <c r="T29" s="141">
        <f t="shared" si="5"/>
        <v>0.19913849073641532</v>
      </c>
      <c r="W29" s="470"/>
      <c r="Y29" s="470"/>
    </row>
    <row r="30" spans="1:25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294">
        <f>'2025'!S30</f>
        <v>248126374.37</v>
      </c>
      <c r="H30" s="294">
        <f>SUM('2025'!G106:I106)</f>
        <v>282978574.86000001</v>
      </c>
      <c r="I30" s="173">
        <f t="shared" si="0"/>
        <v>-34852200.49000001</v>
      </c>
      <c r="J30" s="556">
        <f t="shared" si="1"/>
        <v>-0.1231619761575331</v>
      </c>
      <c r="K30" s="294">
        <f>SUM('2024'!G30:I30)</f>
        <v>233634421.08999994</v>
      </c>
      <c r="L30" s="173">
        <f t="shared" si="7"/>
        <v>14491953.280000061</v>
      </c>
      <c r="M30" s="177">
        <f t="shared" si="2"/>
        <v>6.2028331323737307E-2</v>
      </c>
      <c r="N30" s="294">
        <f>'2025'!I30</f>
        <v>110904466.10000001</v>
      </c>
      <c r="O30" s="294">
        <f>'2025'!I106</f>
        <v>117430024.57999998</v>
      </c>
      <c r="P30" s="173">
        <f t="shared" si="6"/>
        <v>-6525558.4799999744</v>
      </c>
      <c r="Q30" s="175">
        <f t="shared" si="3"/>
        <v>-5.5569761680109298E-2</v>
      </c>
      <c r="R30" s="294">
        <f>'2024'!I30</f>
        <v>89984626.639999986</v>
      </c>
      <c r="S30" s="173">
        <f t="shared" si="4"/>
        <v>20919839.460000023</v>
      </c>
      <c r="T30" s="177">
        <f t="shared" si="5"/>
        <v>0.23248237216890044</v>
      </c>
      <c r="W30" s="470"/>
      <c r="Y30" s="470"/>
    </row>
    <row r="31" spans="1:25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f>'2025'!S31</f>
        <v>169607743.04000002</v>
      </c>
      <c r="H31" s="148">
        <f>SUM('2025'!G107:I107)</f>
        <v>173697868.84999996</v>
      </c>
      <c r="I31" s="149">
        <f t="shared" si="0"/>
        <v>-4090125.8099999428</v>
      </c>
      <c r="J31" s="557">
        <f t="shared" si="1"/>
        <v>-2.3547357472370911E-2</v>
      </c>
      <c r="K31" s="148">
        <f>SUM('2024'!G31:I31)</f>
        <v>166238580.94999999</v>
      </c>
      <c r="L31" s="149">
        <f t="shared" si="7"/>
        <v>3369162.0900000334</v>
      </c>
      <c r="M31" s="153">
        <f t="shared" si="2"/>
        <v>2.0267028693016664E-2</v>
      </c>
      <c r="N31" s="148">
        <f>'2025'!I31</f>
        <v>56241192.140000015</v>
      </c>
      <c r="O31" s="148">
        <f>'2025'!I107</f>
        <v>58514884.909999982</v>
      </c>
      <c r="P31" s="149">
        <f>+N31-O31</f>
        <v>-2273692.769999966</v>
      </c>
      <c r="Q31" s="151">
        <f>IF(+IF(ISERROR(N31/O31),"…",N31/O31-1)&gt;200%,"...",IF(ISERROR(N31/O31),"…",N31/O31-1))</f>
        <v>-3.8856656276382795E-2</v>
      </c>
      <c r="R31" s="148">
        <f>'2024'!I31</f>
        <v>55409720.469999999</v>
      </c>
      <c r="S31" s="149">
        <f t="shared" si="4"/>
        <v>831471.67000001669</v>
      </c>
      <c r="T31" s="153">
        <f t="shared" si="5"/>
        <v>1.5005880970834218E-2</v>
      </c>
      <c r="W31" s="470"/>
      <c r="Y31" s="470"/>
    </row>
    <row r="32" spans="1:25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f>'2025'!S32</f>
        <v>3733511.3200000022</v>
      </c>
      <c r="H32" s="148">
        <f>SUM('2025'!G108:I108)</f>
        <v>6027631.2999999998</v>
      </c>
      <c r="I32" s="149">
        <f t="shared" si="0"/>
        <v>-2294119.9799999977</v>
      </c>
      <c r="J32" s="557">
        <f t="shared" si="1"/>
        <v>-0.38060058185708834</v>
      </c>
      <c r="K32" s="148">
        <f>SUM('2024'!G32:I32)</f>
        <v>4200416.0199999996</v>
      </c>
      <c r="L32" s="149">
        <f t="shared" si="7"/>
        <v>-466904.69999999739</v>
      </c>
      <c r="M32" s="153">
        <f t="shared" si="2"/>
        <v>-0.11115677537102564</v>
      </c>
      <c r="N32" s="148">
        <f>'2025'!I32</f>
        <v>1859578.6300000004</v>
      </c>
      <c r="O32" s="148">
        <f>'2025'!I108</f>
        <v>2263809.8699999992</v>
      </c>
      <c r="P32" s="149">
        <f t="shared" si="6"/>
        <v>-404231.23999999883</v>
      </c>
      <c r="Q32" s="151">
        <f t="shared" si="3"/>
        <v>-0.17856236310163232</v>
      </c>
      <c r="R32" s="148">
        <f>'2024'!I32</f>
        <v>2257740.919999999</v>
      </c>
      <c r="S32" s="149">
        <f t="shared" si="4"/>
        <v>-398162.28999999864</v>
      </c>
      <c r="T32" s="153">
        <f t="shared" si="5"/>
        <v>-0.17635428692145905</v>
      </c>
      <c r="W32" s="470"/>
      <c r="Y32" s="470"/>
    </row>
    <row r="33" spans="1:25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f>'2025'!S33</f>
        <v>6118738.8800000008</v>
      </c>
      <c r="H33" s="148">
        <f>SUM('2025'!G109:I109)</f>
        <v>8605179.870000001</v>
      </c>
      <c r="I33" s="149">
        <f t="shared" si="0"/>
        <v>-2486440.9900000002</v>
      </c>
      <c r="J33" s="557">
        <f t="shared" si="1"/>
        <v>-0.28894700954112651</v>
      </c>
      <c r="K33" s="148">
        <f>SUM('2024'!G33:I33)</f>
        <v>6916918.2599999998</v>
      </c>
      <c r="L33" s="149">
        <f t="shared" si="7"/>
        <v>-798179.37999999896</v>
      </c>
      <c r="M33" s="153">
        <f t="shared" si="2"/>
        <v>-0.11539523093916093</v>
      </c>
      <c r="N33" s="148">
        <f>'2025'!I33</f>
        <v>4592024.6900000004</v>
      </c>
      <c r="O33" s="148">
        <f>'2025'!I109</f>
        <v>4747994.3400000026</v>
      </c>
      <c r="P33" s="149">
        <f t="shared" si="6"/>
        <v>-155969.65000000224</v>
      </c>
      <c r="Q33" s="151">
        <f t="shared" si="3"/>
        <v>-3.2849586337123204E-2</v>
      </c>
      <c r="R33" s="148">
        <f>'2024'!I33</f>
        <v>3529714.7899999996</v>
      </c>
      <c r="S33" s="149">
        <f t="shared" si="4"/>
        <v>1062309.9000000008</v>
      </c>
      <c r="T33" s="153">
        <f t="shared" si="5"/>
        <v>0.30096196525838881</v>
      </c>
      <c r="W33" s="470"/>
      <c r="Y33" s="470"/>
    </row>
    <row r="34" spans="1:25">
      <c r="A34" s="135">
        <v>414</v>
      </c>
      <c r="B34" s="594" t="str">
        <f>+VLOOKUP($A34,Master!$D$30:$G$226,4,FALSE)</f>
        <v>Rashodi za usluge</v>
      </c>
      <c r="C34" s="595"/>
      <c r="D34" s="595"/>
      <c r="E34" s="595"/>
      <c r="F34" s="595"/>
      <c r="G34" s="148">
        <f>'2025'!S34</f>
        <v>10127990.710000001</v>
      </c>
      <c r="H34" s="148">
        <f>SUM('2025'!G110:I110)</f>
        <v>16899087.520000007</v>
      </c>
      <c r="I34" s="149">
        <f t="shared" si="0"/>
        <v>-6771096.8100000061</v>
      </c>
      <c r="J34" s="557">
        <f t="shared" si="1"/>
        <v>-0.4006782497567658</v>
      </c>
      <c r="K34" s="148">
        <f>SUM('2024'!G34:I34)</f>
        <v>10956831.5</v>
      </c>
      <c r="L34" s="149">
        <f t="shared" si="7"/>
        <v>-828840.78999999911</v>
      </c>
      <c r="M34" s="153">
        <f t="shared" si="2"/>
        <v>-7.5646028689954625E-2</v>
      </c>
      <c r="N34" s="148">
        <f>'2025'!I34</f>
        <v>5719644.3200000012</v>
      </c>
      <c r="O34" s="148">
        <f>'2025'!I110</f>
        <v>8807965.9300000016</v>
      </c>
      <c r="P34" s="149">
        <f t="shared" si="6"/>
        <v>-3088321.6100000003</v>
      </c>
      <c r="Q34" s="151">
        <f t="shared" si="3"/>
        <v>-0.35062824204180365</v>
      </c>
      <c r="R34" s="148">
        <f>'2024'!I34</f>
        <v>6882103.8800000008</v>
      </c>
      <c r="S34" s="149">
        <f t="shared" si="4"/>
        <v>-1162459.5599999996</v>
      </c>
      <c r="T34" s="153">
        <f t="shared" si="5"/>
        <v>-0.16891049310926698</v>
      </c>
      <c r="W34" s="470"/>
      <c r="Y34" s="470"/>
    </row>
    <row r="35" spans="1:25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f>'2025'!S35</f>
        <v>4187456.54</v>
      </c>
      <c r="H35" s="148">
        <f>SUM('2025'!G111:I111)</f>
        <v>8175496.5399999991</v>
      </c>
      <c r="I35" s="149">
        <f t="shared" si="0"/>
        <v>-3988039.9999999991</v>
      </c>
      <c r="J35" s="557">
        <f t="shared" si="1"/>
        <v>-0.48780401049500044</v>
      </c>
      <c r="K35" s="148">
        <f>SUM('2024'!G35:I35)</f>
        <v>3330317.5399999996</v>
      </c>
      <c r="L35" s="149">
        <f t="shared" si="7"/>
        <v>857139.00000000047</v>
      </c>
      <c r="M35" s="153">
        <f t="shared" si="2"/>
        <v>0.2573745565415364</v>
      </c>
      <c r="N35" s="148">
        <f>'2025'!I35</f>
        <v>3236889.07</v>
      </c>
      <c r="O35" s="148">
        <f>'2025'!I111</f>
        <v>2717633.6299999994</v>
      </c>
      <c r="P35" s="149">
        <f t="shared" si="6"/>
        <v>519255.44000000041</v>
      </c>
      <c r="Q35" s="151">
        <f t="shared" si="3"/>
        <v>0.19106896318471023</v>
      </c>
      <c r="R35" s="148">
        <f>'2024'!I35</f>
        <v>1881519.3199999998</v>
      </c>
      <c r="S35" s="149">
        <f t="shared" si="4"/>
        <v>1355369.75</v>
      </c>
      <c r="T35" s="153">
        <f t="shared" si="5"/>
        <v>0.72035919886275734</v>
      </c>
      <c r="W35" s="470"/>
      <c r="Y35" s="470"/>
    </row>
    <row r="36" spans="1:25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f>'2025'!S36</f>
        <v>31581001.370000001</v>
      </c>
      <c r="H36" s="148">
        <f>SUM('2025'!G112:I112)</f>
        <v>33197453.640000001</v>
      </c>
      <c r="I36" s="149">
        <f t="shared" si="0"/>
        <v>-1616452.2699999996</v>
      </c>
      <c r="J36" s="557">
        <f t="shared" si="1"/>
        <v>-4.8692055948903135E-2</v>
      </c>
      <c r="K36" s="148">
        <f>SUM('2024'!G36:I36)</f>
        <v>15346370.119999997</v>
      </c>
      <c r="L36" s="149">
        <f t="shared" si="7"/>
        <v>16234631.250000004</v>
      </c>
      <c r="M36" s="153">
        <f t="shared" si="2"/>
        <v>1.0578808619272375</v>
      </c>
      <c r="N36" s="148">
        <f>'2025'!I36</f>
        <v>24471807.800000001</v>
      </c>
      <c r="O36" s="148">
        <f>'2025'!I112</f>
        <v>25813966.890000001</v>
      </c>
      <c r="P36" s="149">
        <f t="shared" si="6"/>
        <v>-1342159.0899999999</v>
      </c>
      <c r="Q36" s="151">
        <f t="shared" si="3"/>
        <v>-5.1993523340263303E-2</v>
      </c>
      <c r="R36" s="148">
        <f>'2024'!I36</f>
        <v>7187848.6899999976</v>
      </c>
      <c r="S36" s="149">
        <f t="shared" si="4"/>
        <v>17283959.110000003</v>
      </c>
      <c r="T36" s="153" t="str">
        <f t="shared" si="5"/>
        <v>...</v>
      </c>
      <c r="W36" s="470"/>
      <c r="Y36" s="470"/>
    </row>
    <row r="37" spans="1:25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f>'2025'!S37</f>
        <v>2100326.2999999998</v>
      </c>
      <c r="H37" s="148">
        <f>SUM('2025'!G113:I113)</f>
        <v>3345398.02</v>
      </c>
      <c r="I37" s="149">
        <f t="shared" si="0"/>
        <v>-1245071.7200000002</v>
      </c>
      <c r="J37" s="557">
        <f t="shared" si="1"/>
        <v>-0.37217446550649902</v>
      </c>
      <c r="K37" s="148">
        <f>SUM('2024'!G37:I37)</f>
        <v>2288836.7400000002</v>
      </c>
      <c r="L37" s="149">
        <f t="shared" si="7"/>
        <v>-188510.44000000041</v>
      </c>
      <c r="M37" s="153">
        <f t="shared" si="2"/>
        <v>-8.2360806564124145E-2</v>
      </c>
      <c r="N37" s="148">
        <f>'2025'!I37</f>
        <v>1423673.45</v>
      </c>
      <c r="O37" s="148">
        <f>'2025'!I113</f>
        <v>1169208.6800000006</v>
      </c>
      <c r="P37" s="149">
        <f t="shared" si="6"/>
        <v>254464.76999999932</v>
      </c>
      <c r="Q37" s="151">
        <f t="shared" si="3"/>
        <v>0.21763845441174734</v>
      </c>
      <c r="R37" s="148">
        <f>'2024'!I37</f>
        <v>1228548.2700000005</v>
      </c>
      <c r="S37" s="149">
        <f t="shared" si="4"/>
        <v>195125.17999999947</v>
      </c>
      <c r="T37" s="153">
        <f t="shared" si="5"/>
        <v>0.15882581479684088</v>
      </c>
      <c r="W37" s="470"/>
      <c r="Y37" s="470"/>
    </row>
    <row r="38" spans="1:25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f>'2025'!S38</f>
        <v>10869570.45999999</v>
      </c>
      <c r="H38" s="148">
        <f>SUM('2025'!G114:I114)</f>
        <v>16126171.180000002</v>
      </c>
      <c r="I38" s="149">
        <f t="shared" si="0"/>
        <v>-5256600.7200000118</v>
      </c>
      <c r="J38" s="557">
        <f t="shared" si="1"/>
        <v>-0.32596706690794353</v>
      </c>
      <c r="K38" s="148">
        <f>SUM('2024'!G38:I38)</f>
        <v>11119705.359999985</v>
      </c>
      <c r="L38" s="149">
        <f t="shared" si="7"/>
        <v>-250134.89999999478</v>
      </c>
      <c r="M38" s="153">
        <f t="shared" si="2"/>
        <v>-2.2494741713191879E-2</v>
      </c>
      <c r="N38" s="148">
        <f>'2025'!I38</f>
        <v>6084455.6399999969</v>
      </c>
      <c r="O38" s="148">
        <f>'2025'!I114</f>
        <v>4378900.540000001</v>
      </c>
      <c r="P38" s="149">
        <f t="shared" si="6"/>
        <v>1705555.0999999959</v>
      </c>
      <c r="Q38" s="151">
        <f t="shared" si="3"/>
        <v>0.38949391163837577</v>
      </c>
      <c r="R38" s="148">
        <f>'2024'!I38</f>
        <v>6034941.5099999923</v>
      </c>
      <c r="S38" s="149">
        <f t="shared" si="4"/>
        <v>49514.130000004545</v>
      </c>
      <c r="T38" s="153">
        <f t="shared" si="5"/>
        <v>8.2045749603303353E-3</v>
      </c>
      <c r="W38" s="470"/>
      <c r="Y38" s="470"/>
    </row>
    <row r="39" spans="1:25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f>'2025'!S39</f>
        <v>9800035.75</v>
      </c>
      <c r="H39" s="148">
        <f>SUM('2025'!G115:I115)</f>
        <v>16904287.940000001</v>
      </c>
      <c r="I39" s="149">
        <f t="shared" si="0"/>
        <v>-7104252.1900000013</v>
      </c>
      <c r="J39" s="557">
        <f t="shared" si="1"/>
        <v>-0.42026332107071296</v>
      </c>
      <c r="K39" s="148">
        <f>SUM('2024'!G39:I39)</f>
        <v>13236444.599999998</v>
      </c>
      <c r="L39" s="149">
        <f t="shared" si="7"/>
        <v>-3436408.8499999978</v>
      </c>
      <c r="M39" s="153">
        <f t="shared" si="2"/>
        <v>-0.2596172124650451</v>
      </c>
      <c r="N39" s="148">
        <f>'2025'!I39</f>
        <v>7275200.3600000003</v>
      </c>
      <c r="O39" s="148">
        <f>'2025'!I115</f>
        <v>9015659.7899999991</v>
      </c>
      <c r="P39" s="149">
        <f t="shared" si="6"/>
        <v>-1740459.4299999988</v>
      </c>
      <c r="Q39" s="151">
        <f t="shared" si="3"/>
        <v>-0.1930484812581863</v>
      </c>
      <c r="R39" s="148">
        <f>'2024'!I39</f>
        <v>5572488.7899999991</v>
      </c>
      <c r="S39" s="149">
        <f t="shared" si="4"/>
        <v>1702711.5700000012</v>
      </c>
      <c r="T39" s="153">
        <f t="shared" si="5"/>
        <v>0.30555675106167435</v>
      </c>
      <c r="W39" s="470"/>
      <c r="Y39" s="470"/>
    </row>
    <row r="40" spans="1:25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'2025'!S40</f>
        <v>269231305.71999991</v>
      </c>
      <c r="H40" s="178">
        <f>SUM('2025'!G116:I116)</f>
        <v>265281084.93000001</v>
      </c>
      <c r="I40" s="179">
        <f t="shared" si="0"/>
        <v>3950220.7899999022</v>
      </c>
      <c r="J40" s="181">
        <f t="shared" si="1"/>
        <v>1.4890699014753483E-2</v>
      </c>
      <c r="K40" s="178">
        <f>SUM('2024'!G40:I40)</f>
        <v>233637430.52000001</v>
      </c>
      <c r="L40" s="179">
        <f t="shared" si="7"/>
        <v>35593875.199999899</v>
      </c>
      <c r="M40" s="183">
        <f t="shared" si="2"/>
        <v>0.15234663007883475</v>
      </c>
      <c r="N40" s="178">
        <f>'2025'!I40</f>
        <v>92709109.359999999</v>
      </c>
      <c r="O40" s="178">
        <f>'2025'!I116</f>
        <v>84307968.950000018</v>
      </c>
      <c r="P40" s="179">
        <f t="shared" si="6"/>
        <v>8401140.4099999815</v>
      </c>
      <c r="Q40" s="181">
        <f t="shared" si="3"/>
        <v>9.9648236277431801E-2</v>
      </c>
      <c r="R40" s="178">
        <f>'2024'!I40</f>
        <v>83531080.799999982</v>
      </c>
      <c r="S40" s="179">
        <f t="shared" si="4"/>
        <v>9178028.5600000173</v>
      </c>
      <c r="T40" s="183">
        <f t="shared" si="5"/>
        <v>0.10987561123475875</v>
      </c>
      <c r="W40" s="470"/>
      <c r="Y40" s="470"/>
    </row>
    <row r="41" spans="1:25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f>'2025'!S41</f>
        <v>62831787.660000019</v>
      </c>
      <c r="H41" s="148">
        <f>SUM('2025'!G117:I117)</f>
        <v>56394218.340000004</v>
      </c>
      <c r="I41" s="149">
        <f t="shared" si="0"/>
        <v>6437569.3200000152</v>
      </c>
      <c r="J41" s="151">
        <f t="shared" si="1"/>
        <v>0.11415300201854017</v>
      </c>
      <c r="K41" s="148">
        <f>SUM('2024'!G41:I41)</f>
        <v>51619432.5</v>
      </c>
      <c r="L41" s="149">
        <f t="shared" si="7"/>
        <v>11212355.160000019</v>
      </c>
      <c r="M41" s="153">
        <f t="shared" si="2"/>
        <v>0.21721190290110259</v>
      </c>
      <c r="N41" s="148">
        <f>'2025'!I41</f>
        <v>21236495.860000007</v>
      </c>
      <c r="O41" s="148">
        <f>'2025'!I117</f>
        <v>14565687.030000001</v>
      </c>
      <c r="P41" s="149">
        <f t="shared" si="6"/>
        <v>6670808.8300000057</v>
      </c>
      <c r="Q41" s="151">
        <f t="shared" si="3"/>
        <v>0.45798106304636188</v>
      </c>
      <c r="R41" s="148">
        <f>'2024'!I41</f>
        <v>16928238.349999998</v>
      </c>
      <c r="S41" s="149">
        <f t="shared" si="4"/>
        <v>4308257.5100000091</v>
      </c>
      <c r="T41" s="153">
        <f t="shared" si="5"/>
        <v>0.25450123166537342</v>
      </c>
      <c r="W41" s="470"/>
      <c r="Y41" s="470"/>
    </row>
    <row r="42" spans="1:25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f>'2025'!S42</f>
        <v>4354303.3900000006</v>
      </c>
      <c r="H42" s="148">
        <f>SUM('2025'!G118:I118)</f>
        <v>6697523.71</v>
      </c>
      <c r="I42" s="149">
        <f t="shared" si="0"/>
        <v>-2343220.3199999994</v>
      </c>
      <c r="J42" s="151">
        <f t="shared" si="1"/>
        <v>-0.3498636841705185</v>
      </c>
      <c r="K42" s="148">
        <f>SUM('2024'!G42:I42)</f>
        <v>3940000.21</v>
      </c>
      <c r="L42" s="149">
        <f t="shared" si="7"/>
        <v>414303.18000000063</v>
      </c>
      <c r="M42" s="153">
        <f t="shared" si="2"/>
        <v>0.10515308576595239</v>
      </c>
      <c r="N42" s="148">
        <f>'2025'!I42</f>
        <v>2167887.46</v>
      </c>
      <c r="O42" s="148">
        <f>'2025'!I118</f>
        <v>2253586.37</v>
      </c>
      <c r="P42" s="149">
        <f t="shared" si="6"/>
        <v>-85698.910000000149</v>
      </c>
      <c r="Q42" s="151">
        <f t="shared" si="3"/>
        <v>-3.8027790343797663E-2</v>
      </c>
      <c r="R42" s="148">
        <f>'2024'!I42</f>
        <v>1962698.7999999998</v>
      </c>
      <c r="S42" s="149">
        <f t="shared" si="4"/>
        <v>205188.66000000015</v>
      </c>
      <c r="T42" s="153">
        <f t="shared" si="5"/>
        <v>0.10454414095530096</v>
      </c>
      <c r="W42" s="470"/>
      <c r="Y42" s="470"/>
    </row>
    <row r="43" spans="1:25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f>'2025'!S43</f>
        <v>193886974.08999991</v>
      </c>
      <c r="H43" s="148">
        <f>SUM('2025'!G119:I119)</f>
        <v>192713292.00999999</v>
      </c>
      <c r="I43" s="149">
        <f t="shared" si="0"/>
        <v>1173682.0799999237</v>
      </c>
      <c r="J43" s="151">
        <f t="shared" si="1"/>
        <v>6.09030164841462E-3</v>
      </c>
      <c r="K43" s="148">
        <f>SUM('2024'!G43:I43)</f>
        <v>171438733.90000001</v>
      </c>
      <c r="L43" s="149">
        <f t="shared" si="7"/>
        <v>22448240.189999908</v>
      </c>
      <c r="M43" s="153">
        <f t="shared" si="2"/>
        <v>0.13094030549183788</v>
      </c>
      <c r="N43" s="148">
        <f>'2025'!I43</f>
        <v>65458140.899999991</v>
      </c>
      <c r="O43" s="148">
        <f>'2025'!I119</f>
        <v>63766610.790000007</v>
      </c>
      <c r="P43" s="149">
        <f t="shared" si="6"/>
        <v>1691530.1099999845</v>
      </c>
      <c r="Q43" s="151">
        <f t="shared" si="3"/>
        <v>2.6526893762170101E-2</v>
      </c>
      <c r="R43" s="148">
        <f>'2024'!I43</f>
        <v>61009059.659999989</v>
      </c>
      <c r="S43" s="149">
        <f t="shared" si="4"/>
        <v>4449081.2400000021</v>
      </c>
      <c r="T43" s="153">
        <f t="shared" si="5"/>
        <v>7.2924927294314656E-2</v>
      </c>
      <c r="W43" s="470"/>
      <c r="Y43" s="470"/>
    </row>
    <row r="44" spans="1:25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f>'2025'!S44</f>
        <v>4776329.49</v>
      </c>
      <c r="H44" s="148">
        <f>SUM('2025'!G120:I120)</f>
        <v>5777510.5100000007</v>
      </c>
      <c r="I44" s="149">
        <f t="shared" si="0"/>
        <v>-1001181.0200000005</v>
      </c>
      <c r="J44" s="151">
        <f t="shared" si="1"/>
        <v>-0.17328934638320548</v>
      </c>
      <c r="K44" s="148">
        <f>SUM('2024'!G44:I44)</f>
        <v>3008351.1999999997</v>
      </c>
      <c r="L44" s="149">
        <f t="shared" si="7"/>
        <v>1767978.2900000005</v>
      </c>
      <c r="M44" s="153">
        <f t="shared" si="2"/>
        <v>0.58769012407859855</v>
      </c>
      <c r="N44" s="148">
        <f>'2025'!I44</f>
        <v>1833014.77</v>
      </c>
      <c r="O44" s="148">
        <f>'2025'!I120</f>
        <v>1988435.53</v>
      </c>
      <c r="P44" s="149">
        <f t="shared" si="6"/>
        <v>-155420.76</v>
      </c>
      <c r="Q44" s="151">
        <f t="shared" si="3"/>
        <v>-7.8162332977423699E-2</v>
      </c>
      <c r="R44" s="148">
        <f>'2024'!I44</f>
        <v>1257824.81</v>
      </c>
      <c r="S44" s="149">
        <f t="shared" si="4"/>
        <v>575189.96</v>
      </c>
      <c r="T44" s="153">
        <f t="shared" si="5"/>
        <v>0.45728940582750943</v>
      </c>
      <c r="W44" s="470"/>
      <c r="Y44" s="470"/>
    </row>
    <row r="45" spans="1:25">
      <c r="A45" s="135">
        <v>425</v>
      </c>
      <c r="B45" s="594" t="str">
        <f>+VLOOKUP($A45,Master!$D$30:$G$226,4,FALSE)</f>
        <v>Ostala prava iz zdravstvenog osiguranja</v>
      </c>
      <c r="C45" s="595"/>
      <c r="D45" s="595"/>
      <c r="E45" s="595"/>
      <c r="F45" s="595"/>
      <c r="G45" s="148">
        <f>'2025'!S45</f>
        <v>3381911.0899999994</v>
      </c>
      <c r="H45" s="148">
        <f>SUM('2025'!G121:I121)</f>
        <v>3698540.36</v>
      </c>
      <c r="I45" s="149">
        <f t="shared" si="0"/>
        <v>-316629.27000000048</v>
      </c>
      <c r="J45" s="151">
        <f t="shared" si="1"/>
        <v>-8.5609250996520281E-2</v>
      </c>
      <c r="K45" s="148">
        <f>SUM('2024'!G45:I45)</f>
        <v>3630912.71</v>
      </c>
      <c r="L45" s="149">
        <f t="shared" si="7"/>
        <v>-249001.62000000058</v>
      </c>
      <c r="M45" s="153">
        <f t="shared" si="2"/>
        <v>-6.8578244614423856E-2</v>
      </c>
      <c r="N45" s="148">
        <f>'2025'!I45</f>
        <v>2013570.3699999992</v>
      </c>
      <c r="O45" s="148">
        <f>'2025'!I121</f>
        <v>1733649.23</v>
      </c>
      <c r="P45" s="149">
        <f t="shared" si="6"/>
        <v>279921.1399999992</v>
      </c>
      <c r="Q45" s="151">
        <f t="shared" si="3"/>
        <v>0.16146353896514531</v>
      </c>
      <c r="R45" s="148">
        <f>'2024'!I45</f>
        <v>2373259.1799999997</v>
      </c>
      <c r="S45" s="149">
        <f t="shared" si="4"/>
        <v>-359688.81000000052</v>
      </c>
      <c r="T45" s="153">
        <f t="shared" si="5"/>
        <v>-0.15155900924398846</v>
      </c>
      <c r="W45" s="470"/>
      <c r="Y45" s="470"/>
    </row>
    <row r="46" spans="1:25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f>'2025'!S46</f>
        <v>82376869.600000009</v>
      </c>
      <c r="H46" s="160">
        <f>SUM('2025'!G122:I122)</f>
        <v>96030521.859999985</v>
      </c>
      <c r="I46" s="161">
        <f t="shared" si="0"/>
        <v>-13653652.259999976</v>
      </c>
      <c r="J46" s="163">
        <f t="shared" si="1"/>
        <v>-0.1421803401204591</v>
      </c>
      <c r="K46" s="160">
        <f>SUM('2024'!G46:I46)</f>
        <v>77806056.680000007</v>
      </c>
      <c r="L46" s="161">
        <f t="shared" si="7"/>
        <v>4570812.9200000018</v>
      </c>
      <c r="M46" s="165">
        <f t="shared" si="2"/>
        <v>5.8746235383689838E-2</v>
      </c>
      <c r="N46" s="160">
        <f>'2025'!I46</f>
        <v>48318574.230000004</v>
      </c>
      <c r="O46" s="160">
        <f>'2025'!I122</f>
        <v>39918580.100000001</v>
      </c>
      <c r="P46" s="161">
        <f t="shared" si="6"/>
        <v>8399994.1300000027</v>
      </c>
      <c r="Q46" s="163">
        <f t="shared" si="3"/>
        <v>0.21042817928285995</v>
      </c>
      <c r="R46" s="160">
        <f>'2024'!I46</f>
        <v>38911277.520000003</v>
      </c>
      <c r="S46" s="161">
        <f t="shared" si="4"/>
        <v>9407296.7100000009</v>
      </c>
      <c r="T46" s="165">
        <f t="shared" si="5"/>
        <v>0.24176273074469856</v>
      </c>
      <c r="W46" s="470"/>
      <c r="Y46" s="470"/>
    </row>
    <row r="47" spans="1:25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f>'2025'!S47</f>
        <v>30755740.829999998</v>
      </c>
      <c r="H47" s="160">
        <f>SUM('2025'!G123:I123)</f>
        <v>39460862.43999999</v>
      </c>
      <c r="I47" s="161">
        <f t="shared" si="0"/>
        <v>-8705121.609999992</v>
      </c>
      <c r="J47" s="163">
        <f t="shared" si="1"/>
        <v>-0.22060140280096707</v>
      </c>
      <c r="K47" s="160">
        <f>SUM('2024'!G47:I47)</f>
        <v>28571237.840000004</v>
      </c>
      <c r="L47" s="161">
        <f t="shared" si="7"/>
        <v>2184502.9899999946</v>
      </c>
      <c r="M47" s="165">
        <f t="shared" si="2"/>
        <v>7.645811505379263E-2</v>
      </c>
      <c r="N47" s="160">
        <f>'2025'!I47</f>
        <v>18927254.34</v>
      </c>
      <c r="O47" s="160">
        <f>'2025'!I123</f>
        <v>20399713.319999993</v>
      </c>
      <c r="P47" s="161">
        <f t="shared" si="6"/>
        <v>-1472458.979999993</v>
      </c>
      <c r="Q47" s="163">
        <f t="shared" si="3"/>
        <v>-7.2180376111285138E-2</v>
      </c>
      <c r="R47" s="160">
        <f>'2024'!I47</f>
        <v>15207243.570000002</v>
      </c>
      <c r="S47" s="161">
        <f t="shared" si="4"/>
        <v>3720010.7699999977</v>
      </c>
      <c r="T47" s="165">
        <f t="shared" si="5"/>
        <v>0.24462097637067015</v>
      </c>
      <c r="W47" s="470"/>
      <c r="Y47" s="470"/>
    </row>
    <row r="48" spans="1:25">
      <c r="A48" s="135">
        <v>451</v>
      </c>
      <c r="B48" s="562" t="str">
        <f>+VLOOKUP($A48,Master!$D$30:$G$226,4,FALSE)</f>
        <v>Pozajmice i krediti</v>
      </c>
      <c r="C48" s="563"/>
      <c r="D48" s="563"/>
      <c r="E48" s="563"/>
      <c r="F48" s="563"/>
      <c r="G48" s="148">
        <f>'2025'!S48</f>
        <v>0</v>
      </c>
      <c r="H48" s="148">
        <f>SUM('2025'!G124:I124)</f>
        <v>0</v>
      </c>
      <c r="I48" s="149">
        <f>G48-H48</f>
        <v>0</v>
      </c>
      <c r="J48" s="266" t="str">
        <f t="shared" si="1"/>
        <v>...</v>
      </c>
      <c r="K48" s="148">
        <f>SUM('2024'!G48:I48)</f>
        <v>0</v>
      </c>
      <c r="L48" s="263">
        <f t="shared" si="7"/>
        <v>0</v>
      </c>
      <c r="M48" s="475" t="str">
        <f t="shared" si="2"/>
        <v>...</v>
      </c>
      <c r="N48" s="148">
        <f>'2025'!I48</f>
        <v>0</v>
      </c>
      <c r="O48" s="148">
        <f>'2025'!I124</f>
        <v>0</v>
      </c>
      <c r="P48" s="149">
        <f t="shared" si="6"/>
        <v>0</v>
      </c>
      <c r="Q48" s="266" t="str">
        <f t="shared" si="3"/>
        <v>...</v>
      </c>
      <c r="R48" s="148">
        <f>'2024'!I48</f>
        <v>0</v>
      </c>
      <c r="S48" s="263">
        <f>+N48-R48-S58</f>
        <v>368219.83999999997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62" t="str">
        <f>+VLOOKUP($A49,Master!$D$30:$G$226,4,FALSE)</f>
        <v>Rezerve</v>
      </c>
      <c r="C49" s="563"/>
      <c r="D49" s="563"/>
      <c r="E49" s="563"/>
      <c r="F49" s="563"/>
      <c r="G49" s="148">
        <f>'2025'!S49</f>
        <v>4307489.84</v>
      </c>
      <c r="H49" s="148">
        <f>SUM('2025'!G125:I125)</f>
        <v>18844200</v>
      </c>
      <c r="I49" s="149">
        <f t="shared" ref="I49:I50" si="8">G49-H49</f>
        <v>-14536710.16</v>
      </c>
      <c r="J49" s="267">
        <f t="shared" si="1"/>
        <v>-0.7714156164761572</v>
      </c>
      <c r="K49" s="148">
        <f>SUM('2024'!G49:I49)</f>
        <v>754804.72</v>
      </c>
      <c r="L49" s="264">
        <f t="shared" si="7"/>
        <v>3552685.12</v>
      </c>
      <c r="M49" s="476" t="str">
        <f t="shared" si="2"/>
        <v>...</v>
      </c>
      <c r="N49" s="148">
        <f>'2025'!I49</f>
        <v>4097639.84</v>
      </c>
      <c r="O49" s="148">
        <f>'2025'!I125</f>
        <v>2744200</v>
      </c>
      <c r="P49" s="149">
        <f t="shared" si="6"/>
        <v>1353439.8399999999</v>
      </c>
      <c r="Q49" s="267">
        <f t="shared" si="3"/>
        <v>0.49320014576197058</v>
      </c>
      <c r="R49" s="148">
        <f>'2024'!I49</f>
        <v>754804.72</v>
      </c>
      <c r="S49" s="264">
        <f t="shared" si="4"/>
        <v>3342835.12</v>
      </c>
      <c r="T49" s="476" t="str">
        <f t="shared" si="5"/>
        <v>...</v>
      </c>
      <c r="W49" s="470"/>
      <c r="Y49" s="470"/>
    </row>
    <row r="50" spans="1:25" ht="15.7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f>'2025'!S50</f>
        <v>4062322.96</v>
      </c>
      <c r="H50" s="148">
        <f>SUM('2025'!G126:I126)</f>
        <v>4100000.4</v>
      </c>
      <c r="I50" s="149">
        <f t="shared" si="8"/>
        <v>-37677.439999999944</v>
      </c>
      <c r="J50" s="268">
        <f t="shared" si="1"/>
        <v>-9.1896186156469328E-3</v>
      </c>
      <c r="K50" s="148">
        <f>SUM('2024'!G50:I50)</f>
        <v>2301161.16</v>
      </c>
      <c r="L50" s="264">
        <f t="shared" si="7"/>
        <v>1761161.7999999998</v>
      </c>
      <c r="M50" s="477">
        <f t="shared" si="2"/>
        <v>0.76533614012501405</v>
      </c>
      <c r="N50" s="148">
        <f>'2025'!I50</f>
        <v>0</v>
      </c>
      <c r="O50" s="148">
        <f>'2025'!I126</f>
        <v>0.4</v>
      </c>
      <c r="P50" s="149">
        <f t="shared" si="6"/>
        <v>-0.4</v>
      </c>
      <c r="Q50" s="268">
        <f t="shared" si="3"/>
        <v>-1</v>
      </c>
      <c r="R50" s="148">
        <f>'2024'!I50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80" t="str">
        <f>+VLOOKUP($A51,Master!$D$30:$G$226,4,FALSE)</f>
        <v>Otplata obaveza iz prethodnog perioda</v>
      </c>
      <c r="C51" s="581"/>
      <c r="D51" s="581"/>
      <c r="E51" s="581"/>
      <c r="F51" s="581"/>
      <c r="G51" s="295">
        <f>'2025'!S51</f>
        <v>5435390.5199999996</v>
      </c>
      <c r="H51" s="295">
        <f>SUM('2025'!G127:I127)</f>
        <v>7529461.5799999982</v>
      </c>
      <c r="I51" s="265">
        <f>G51-H51</f>
        <v>-2094071.0599999987</v>
      </c>
      <c r="J51" s="269">
        <f t="shared" si="1"/>
        <v>-0.27811697260828561</v>
      </c>
      <c r="K51" s="295">
        <f>SUM('2024'!G51:I51)</f>
        <v>6688548.8699999992</v>
      </c>
      <c r="L51" s="271">
        <f t="shared" si="7"/>
        <v>-1253158.3499999996</v>
      </c>
      <c r="M51" s="478">
        <f t="shared" si="2"/>
        <v>-0.18735877906503207</v>
      </c>
      <c r="N51" s="295">
        <f>'2025'!I51</f>
        <v>2187252.5500000003</v>
      </c>
      <c r="O51" s="295">
        <f>'2025'!I127</f>
        <v>3283784.5499999984</v>
      </c>
      <c r="P51" s="265">
        <f>N51-O51</f>
        <v>-1096531.9999999981</v>
      </c>
      <c r="Q51" s="269">
        <f t="shared" si="3"/>
        <v>-0.33392324718745592</v>
      </c>
      <c r="R51" s="295">
        <f>'2024'!I51</f>
        <v>2730473.4299999997</v>
      </c>
      <c r="S51" s="271">
        <f>+N51-R51</f>
        <v>-543220.87999999942</v>
      </c>
      <c r="T51" s="478">
        <f t="shared" si="5"/>
        <v>-0.19894750633043135</v>
      </c>
      <c r="W51" s="470"/>
      <c r="Y51" s="470"/>
    </row>
    <row r="52" spans="1:25" ht="15.75" thickBot="1">
      <c r="A52" s="129">
        <v>1005</v>
      </c>
      <c r="B52" s="580" t="str">
        <f>+VLOOKUP($A52,Master!$D$30:$G$228,4,FALSE)</f>
        <v>Neto povećanje obaveza</v>
      </c>
      <c r="C52" s="581"/>
      <c r="D52" s="581"/>
      <c r="E52" s="581"/>
      <c r="F52" s="581"/>
      <c r="G52" s="148">
        <f>'2025'!S52</f>
        <v>0</v>
      </c>
      <c r="H52" s="148">
        <f>SUM('2025'!G128:I128)</f>
        <v>0</v>
      </c>
      <c r="I52" s="265">
        <f>G52-H52</f>
        <v>0</v>
      </c>
      <c r="J52" s="269" t="str">
        <f t="shared" si="1"/>
        <v>...</v>
      </c>
      <c r="K52" s="148">
        <f>SUM('2024'!G52:I52)</f>
        <v>0</v>
      </c>
      <c r="L52" s="271">
        <f t="shared" si="7"/>
        <v>0</v>
      </c>
      <c r="M52" s="478" t="str">
        <f t="shared" si="2"/>
        <v>...</v>
      </c>
      <c r="N52" s="148">
        <f>'2025'!I52</f>
        <v>0</v>
      </c>
      <c r="O52" s="148">
        <f>'2025'!I128</f>
        <v>0</v>
      </c>
      <c r="P52" s="265">
        <f>N52-O52</f>
        <v>0</v>
      </c>
      <c r="Q52" s="269" t="str">
        <f t="shared" si="3"/>
        <v>...</v>
      </c>
      <c r="R52" s="148">
        <f>'2024'!I52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>'2025'!S53</f>
        <v>-63888228.619999975</v>
      </c>
      <c r="H53" s="136">
        <f>SUM('2025'!G129:I129)</f>
        <v>-120812416.12652305</v>
      </c>
      <c r="I53" s="299">
        <f>+G53-H53</f>
        <v>56924187.506523073</v>
      </c>
      <c r="J53" s="270">
        <f t="shared" si="1"/>
        <v>-0.47117828888471325</v>
      </c>
      <c r="K53" s="136">
        <f>SUM('2024'!G53:I53)</f>
        <v>-7667052.059999913</v>
      </c>
      <c r="L53" s="272">
        <f t="shared" si="7"/>
        <v>-56221176.560000062</v>
      </c>
      <c r="M53" s="479" t="str">
        <f t="shared" si="2"/>
        <v>...</v>
      </c>
      <c r="N53" s="136">
        <f>'2025'!I53</f>
        <v>-31837099.75000003</v>
      </c>
      <c r="O53" s="136">
        <f>'2025'!I129</f>
        <v>-17303118.139224499</v>
      </c>
      <c r="P53" s="299">
        <f>N53-O53</f>
        <v>-14533981.61077553</v>
      </c>
      <c r="Q53" s="270">
        <f t="shared" si="3"/>
        <v>0.83996314963765961</v>
      </c>
      <c r="R53" s="136">
        <f>'2024'!I53</f>
        <v>13427611.140000045</v>
      </c>
      <c r="S53" s="272">
        <f t="shared" si="4"/>
        <v>-45264710.890000075</v>
      </c>
      <c r="T53" s="479">
        <f t="shared" si="5"/>
        <v>-3.3710174071960743</v>
      </c>
      <c r="W53" s="470"/>
      <c r="Y53" s="470"/>
    </row>
    <row r="54" spans="1:25" ht="15.7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36">
        <f>'2025'!S54</f>
        <v>-32307227.249999974</v>
      </c>
      <c r="H54" s="136">
        <f>SUM('2025'!G130:I130)</f>
        <v>-87614962.486523047</v>
      </c>
      <c r="I54" s="191">
        <f t="shared" si="0"/>
        <v>55307735.236523077</v>
      </c>
      <c r="J54" s="193">
        <f t="shared" si="1"/>
        <v>-0.63125901862972911</v>
      </c>
      <c r="K54" s="136">
        <f>SUM('2024'!G54:I54)</f>
        <v>7679318.0600000843</v>
      </c>
      <c r="L54" s="191">
        <f t="shared" si="7"/>
        <v>-39986545.310000062</v>
      </c>
      <c r="M54" s="195">
        <f t="shared" si="2"/>
        <v>-5.2070437762281747</v>
      </c>
      <c r="N54" s="136">
        <f>'2025'!I54</f>
        <v>-7365291.9500000291</v>
      </c>
      <c r="O54" s="136">
        <f>'2025'!I130</f>
        <v>8510848.7507755011</v>
      </c>
      <c r="P54" s="191">
        <f t="shared" si="6"/>
        <v>-15876140.70077553</v>
      </c>
      <c r="Q54" s="193">
        <f t="shared" si="3"/>
        <v>-1.865400404316774</v>
      </c>
      <c r="R54" s="136">
        <f>'2024'!I54</f>
        <v>20615459.830000043</v>
      </c>
      <c r="S54" s="191">
        <f t="shared" si="4"/>
        <v>-27980751.780000072</v>
      </c>
      <c r="T54" s="195">
        <f t="shared" si="5"/>
        <v>-1.357270320950198</v>
      </c>
      <c r="W54" s="470"/>
      <c r="Y54" s="470"/>
    </row>
    <row r="55" spans="1:25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460">
        <f>'2025'!S55</f>
        <v>78723770.099999994</v>
      </c>
      <c r="H55" s="460">
        <f>SUM('2025'!G131:I131)</f>
        <v>81165661.450000003</v>
      </c>
      <c r="I55" s="461">
        <f t="shared" si="0"/>
        <v>-2441891.3500000089</v>
      </c>
      <c r="J55" s="462">
        <f t="shared" si="1"/>
        <v>-3.0085276290199081E-2</v>
      </c>
      <c r="K55" s="460">
        <f>SUM('2024'!G55:I55)</f>
        <v>101307301.53000002</v>
      </c>
      <c r="L55" s="461">
        <f t="shared" si="7"/>
        <v>-22583531.430000022</v>
      </c>
      <c r="M55" s="480">
        <f t="shared" si="2"/>
        <v>-0.22292106382196342</v>
      </c>
      <c r="N55" s="460">
        <f>'2025'!I55</f>
        <v>35822753.07</v>
      </c>
      <c r="O55" s="460">
        <f>'2025'!I131</f>
        <v>37277725.75</v>
      </c>
      <c r="P55" s="461">
        <f t="shared" si="6"/>
        <v>-1454972.6799999997</v>
      </c>
      <c r="Q55" s="462">
        <f t="shared" si="3"/>
        <v>-3.9030618170154852E-2</v>
      </c>
      <c r="R55" s="460">
        <f>'2024'!I55</f>
        <v>59757330.13000001</v>
      </c>
      <c r="S55" s="461">
        <f t="shared" si="4"/>
        <v>-23934577.06000001</v>
      </c>
      <c r="T55" s="480">
        <f t="shared" si="5"/>
        <v>-0.40052955859860473</v>
      </c>
      <c r="W55" s="470"/>
      <c r="Y55" s="470"/>
    </row>
    <row r="56" spans="1:25">
      <c r="A56" s="129">
        <v>4611</v>
      </c>
      <c r="B56" s="562" t="str">
        <f>+VLOOKUP($A56,Master!$D$30:$G$226,4,FALSE)</f>
        <v>Otplata hartija od vrijednosti i kredita rezidentima</v>
      </c>
      <c r="C56" s="563"/>
      <c r="D56" s="563"/>
      <c r="E56" s="563"/>
      <c r="F56" s="563"/>
      <c r="G56" s="148">
        <f>'2025'!S56</f>
        <v>8110872.0700000003</v>
      </c>
      <c r="H56" s="148">
        <f>SUM('2025'!G132:I132)</f>
        <v>8122891.5300000003</v>
      </c>
      <c r="I56" s="197">
        <f t="shared" si="0"/>
        <v>-12019.459999999963</v>
      </c>
      <c r="J56" s="199">
        <f t="shared" si="1"/>
        <v>-1.4797021424709511E-3</v>
      </c>
      <c r="K56" s="148">
        <f>SUM('2024'!G56:I56)</f>
        <v>28926658.250000004</v>
      </c>
      <c r="L56" s="197">
        <f t="shared" si="7"/>
        <v>-20815786.180000003</v>
      </c>
      <c r="M56" s="201">
        <f t="shared" si="2"/>
        <v>-0.71960563159762847</v>
      </c>
      <c r="N56" s="148">
        <f>'2025'!I56</f>
        <v>4420486.6500000004</v>
      </c>
      <c r="O56" s="148">
        <f>'2025'!I132</f>
        <v>4420663.5200000005</v>
      </c>
      <c r="P56" s="197">
        <f t="shared" si="6"/>
        <v>-176.87000000011176</v>
      </c>
      <c r="Q56" s="199">
        <f t="shared" si="3"/>
        <v>-4.0009830922449474E-5</v>
      </c>
      <c r="R56" s="148">
        <f>'2024'!I56</f>
        <v>23477657.120000005</v>
      </c>
      <c r="S56" s="197">
        <f t="shared" si="4"/>
        <v>-19057170.470000006</v>
      </c>
      <c r="T56" s="201">
        <f t="shared" si="5"/>
        <v>-0.81171517126237003</v>
      </c>
      <c r="W56" s="470"/>
      <c r="Y56" s="470"/>
    </row>
    <row r="57" spans="1:25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48">
        <f>'2025'!S57</f>
        <v>70612898.030000001</v>
      </c>
      <c r="H57" s="148">
        <f>SUM('2025'!G133:I133)</f>
        <v>73042769.920000002</v>
      </c>
      <c r="I57" s="197">
        <f t="shared" si="0"/>
        <v>-2429871.8900000006</v>
      </c>
      <c r="J57" s="199">
        <f t="shared" si="1"/>
        <v>-3.3266425857909177E-2</v>
      </c>
      <c r="K57" s="148">
        <f>SUM('2024'!G57:I57)</f>
        <v>72380643.280000001</v>
      </c>
      <c r="L57" s="197">
        <f t="shared" si="7"/>
        <v>-1767745.25</v>
      </c>
      <c r="M57" s="201">
        <f t="shared" si="2"/>
        <v>-2.4422900514459167E-2</v>
      </c>
      <c r="N57" s="148">
        <f>'2025'!I57</f>
        <v>31402266.419999998</v>
      </c>
      <c r="O57" s="148">
        <f>'2025'!I133</f>
        <v>32857062.23</v>
      </c>
      <c r="P57" s="197">
        <f t="shared" si="6"/>
        <v>-1454795.8100000024</v>
      </c>
      <c r="Q57" s="199">
        <f t="shared" si="3"/>
        <v>-4.4276502866154255E-2</v>
      </c>
      <c r="R57" s="148">
        <f>'2024'!I57</f>
        <v>36279673.010000005</v>
      </c>
      <c r="S57" s="197">
        <f t="shared" si="4"/>
        <v>-4877406.5900000073</v>
      </c>
      <c r="T57" s="201">
        <f t="shared" si="5"/>
        <v>-0.13443910006177884</v>
      </c>
      <c r="W57" s="470"/>
      <c r="Y57" s="470"/>
    </row>
    <row r="58" spans="1:25" ht="15.75" thickBot="1">
      <c r="A58" s="129">
        <v>4418</v>
      </c>
      <c r="B58" s="590" t="str">
        <f>+VLOOKUP($A58,Master!$D$30:$G$226,4,FALSE)</f>
        <v>Izdaci za kupovinu hartija od vrijednosti</v>
      </c>
      <c r="C58" s="591"/>
      <c r="D58" s="591"/>
      <c r="E58" s="591"/>
      <c r="F58" s="591"/>
      <c r="G58" s="313">
        <f>'2025'!S58</f>
        <v>1042170.92</v>
      </c>
      <c r="H58" s="313">
        <f>SUM('2025'!G134:I134)</f>
        <v>3425000.36</v>
      </c>
      <c r="I58" s="314">
        <f t="shared" ref="I58:I66" si="9">+G58-H58</f>
        <v>-2382829.44</v>
      </c>
      <c r="J58" s="315">
        <f t="shared" si="1"/>
        <v>-0.69571655169110702</v>
      </c>
      <c r="K58" s="313">
        <f>SUM('2024'!G58:I58)</f>
        <v>1410390.76</v>
      </c>
      <c r="L58" s="314">
        <f t="shared" ref="L58:L66" si="10">+G58-K58</f>
        <v>-368219.83999999997</v>
      </c>
      <c r="M58" s="481">
        <f t="shared" si="2"/>
        <v>-0.26107646933251316</v>
      </c>
      <c r="N58" s="313">
        <f>'2025'!I58</f>
        <v>1042170.92</v>
      </c>
      <c r="O58" s="313">
        <f>'2025'!I134</f>
        <v>3420000.36</v>
      </c>
      <c r="P58" s="314">
        <f t="shared" ref="P58:P66" si="11">+N58-O58</f>
        <v>-2377829.44</v>
      </c>
      <c r="Q58" s="315">
        <f t="shared" si="3"/>
        <v>-0.69527169289537727</v>
      </c>
      <c r="R58" s="313">
        <f>'2024'!I58</f>
        <v>1410390.76</v>
      </c>
      <c r="S58" s="314">
        <f t="shared" ref="S58:S66" si="12">+N58-R58</f>
        <v>-368219.83999999997</v>
      </c>
      <c r="T58" s="481">
        <f t="shared" si="5"/>
        <v>-0.26107646933251316</v>
      </c>
      <c r="W58" s="470"/>
      <c r="Y58" s="470"/>
    </row>
    <row r="59" spans="1:25" ht="15.75" thickBot="1">
      <c r="A59" s="129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313">
        <f>'2025'!S59</f>
        <v>2293996.12</v>
      </c>
      <c r="H59" s="313">
        <f>SUM('2025'!G135:I135)</f>
        <v>2280000.5999999996</v>
      </c>
      <c r="I59" s="314">
        <f t="shared" si="9"/>
        <v>13995.520000000484</v>
      </c>
      <c r="J59" s="315">
        <f t="shared" si="1"/>
        <v>6.1383843495481649E-3</v>
      </c>
      <c r="K59" s="313">
        <f>SUM('2024'!G59:I59)</f>
        <v>2139703.0499999998</v>
      </c>
      <c r="L59" s="314">
        <f t="shared" si="10"/>
        <v>154293.0700000003</v>
      </c>
      <c r="M59" s="481">
        <f t="shared" si="2"/>
        <v>7.2109571466003386E-2</v>
      </c>
      <c r="N59" s="313">
        <f>'2025'!I59</f>
        <v>815774.12</v>
      </c>
      <c r="O59" s="313">
        <f>'2025'!I135</f>
        <v>780000.59999999986</v>
      </c>
      <c r="P59" s="314">
        <f t="shared" si="11"/>
        <v>35773.520000000135</v>
      </c>
      <c r="Q59" s="315">
        <f t="shared" si="3"/>
        <v>4.5863451899909036E-2</v>
      </c>
      <c r="R59" s="313">
        <f>'2024'!I59</f>
        <v>913671.44</v>
      </c>
      <c r="S59" s="314">
        <f t="shared" si="12"/>
        <v>-97897.319999999949</v>
      </c>
      <c r="T59" s="481">
        <f t="shared" si="5"/>
        <v>-0.10714718192351502</v>
      </c>
      <c r="W59" s="470"/>
      <c r="Y59" s="470"/>
    </row>
    <row r="60" spans="1:25" ht="15.7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98">
        <f>'2025'!S60</f>
        <v>-145948165.75999996</v>
      </c>
      <c r="H60" s="298">
        <f>SUM('2025'!G136:I136)</f>
        <v>-207683078.53652304</v>
      </c>
      <c r="I60" s="300">
        <f t="shared" si="9"/>
        <v>61734912.776523083</v>
      </c>
      <c r="J60" s="301">
        <f t="shared" si="1"/>
        <v>-0.29725538166878829</v>
      </c>
      <c r="K60" s="298">
        <f>SUM('2024'!G60:I60)</f>
        <v>-112524447.39999992</v>
      </c>
      <c r="L60" s="300">
        <f>+G60-K60</f>
        <v>-33423718.360000044</v>
      </c>
      <c r="M60" s="482">
        <f t="shared" si="2"/>
        <v>0.2970351699767606</v>
      </c>
      <c r="N60" s="298">
        <f>'2025'!I60</f>
        <v>-69517797.860000029</v>
      </c>
      <c r="O60" s="298">
        <f>'2025'!I136</f>
        <v>-58780844.8492245</v>
      </c>
      <c r="P60" s="300">
        <f t="shared" si="11"/>
        <v>-10736953.010775529</v>
      </c>
      <c r="Q60" s="301">
        <f t="shared" si="3"/>
        <v>0.18266074668229582</v>
      </c>
      <c r="R60" s="298">
        <f>'2024'!I60</f>
        <v>-48653781.18999996</v>
      </c>
      <c r="S60" s="300">
        <f t="shared" si="12"/>
        <v>-20864016.670000069</v>
      </c>
      <c r="T60" s="482">
        <f t="shared" si="5"/>
        <v>0.4288262116468009</v>
      </c>
      <c r="W60" s="470"/>
      <c r="Y60" s="470"/>
    </row>
    <row r="61" spans="1:25" ht="15.7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'2025'!S61</f>
        <v>145948165.75999999</v>
      </c>
      <c r="H61" s="136">
        <f>SUM('2025'!G137:I137)</f>
        <v>207683078.53652304</v>
      </c>
      <c r="I61" s="299">
        <f t="shared" si="9"/>
        <v>-61734912.776523054</v>
      </c>
      <c r="J61" s="302">
        <f t="shared" si="1"/>
        <v>-0.29725538166878807</v>
      </c>
      <c r="K61" s="136">
        <f>SUM('2024'!G61:I61)</f>
        <v>112524447.3999999</v>
      </c>
      <c r="L61" s="299">
        <f t="shared" si="10"/>
        <v>33423718.360000089</v>
      </c>
      <c r="M61" s="483">
        <f t="shared" si="2"/>
        <v>0.29703516997676105</v>
      </c>
      <c r="N61" s="136">
        <f>'2025'!I61</f>
        <v>69517797.860000029</v>
      </c>
      <c r="O61" s="136">
        <f>'2025'!I137</f>
        <v>58780844.8492245</v>
      </c>
      <c r="P61" s="300">
        <f t="shared" si="11"/>
        <v>10736953.010775529</v>
      </c>
      <c r="Q61" s="302">
        <f t="shared" si="3"/>
        <v>0.18266074668229582</v>
      </c>
      <c r="R61" s="136">
        <f>'2024'!I61</f>
        <v>48653781.189999938</v>
      </c>
      <c r="S61" s="299">
        <f t="shared" si="12"/>
        <v>20864016.670000091</v>
      </c>
      <c r="T61" s="483">
        <f t="shared" si="5"/>
        <v>0.42882621164680157</v>
      </c>
      <c r="W61" s="470"/>
      <c r="Y61" s="470"/>
    </row>
    <row r="62" spans="1:25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148">
        <f>'2025'!S62</f>
        <v>0</v>
      </c>
      <c r="H62" s="148">
        <f>SUM('2025'!G138:I138)</f>
        <v>0</v>
      </c>
      <c r="I62" s="197">
        <f t="shared" si="9"/>
        <v>0</v>
      </c>
      <c r="J62" s="199" t="str">
        <f t="shared" si="1"/>
        <v>...</v>
      </c>
      <c r="K62" s="148">
        <f>SUM('2024'!G62:I62)</f>
        <v>0</v>
      </c>
      <c r="L62" s="197">
        <f t="shared" si="10"/>
        <v>0</v>
      </c>
      <c r="M62" s="201" t="str">
        <f t="shared" si="2"/>
        <v>...</v>
      </c>
      <c r="N62" s="148">
        <f>'2025'!I62</f>
        <v>0</v>
      </c>
      <c r="O62" s="148">
        <f>'2025'!I138</f>
        <v>0</v>
      </c>
      <c r="P62" s="197">
        <f t="shared" si="11"/>
        <v>0</v>
      </c>
      <c r="Q62" s="199" t="str">
        <f t="shared" si="3"/>
        <v>...</v>
      </c>
      <c r="R62" s="148">
        <f>'2024'!I62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148">
        <f>'2025'!S63</f>
        <v>15741316.26</v>
      </c>
      <c r="H63" s="148">
        <f>SUM('2025'!G139:I139)</f>
        <v>0</v>
      </c>
      <c r="I63" s="197">
        <f t="shared" si="9"/>
        <v>15741316.26</v>
      </c>
      <c r="J63" s="199" t="str">
        <f t="shared" si="1"/>
        <v>...</v>
      </c>
      <c r="K63" s="148">
        <f>SUM('2024'!G63:I63)</f>
        <v>694434564.06999993</v>
      </c>
      <c r="L63" s="197">
        <f t="shared" si="10"/>
        <v>-678693247.80999994</v>
      </c>
      <c r="M63" s="201">
        <f t="shared" si="2"/>
        <v>-0.97733218207379835</v>
      </c>
      <c r="N63" s="148">
        <f>'2025'!I63</f>
        <v>1516264.56</v>
      </c>
      <c r="O63" s="148">
        <f>'2025'!I139</f>
        <v>0</v>
      </c>
      <c r="P63" s="197">
        <f t="shared" si="11"/>
        <v>1516264.56</v>
      </c>
      <c r="Q63" s="199" t="str">
        <f t="shared" si="3"/>
        <v>...</v>
      </c>
      <c r="R63" s="148">
        <f>'2024'!I63</f>
        <v>691084422.79999995</v>
      </c>
      <c r="S63" s="197">
        <f t="shared" si="12"/>
        <v>-689568158.24000001</v>
      </c>
      <c r="T63" s="201">
        <f t="shared" si="5"/>
        <v>-0.99780596333823202</v>
      </c>
      <c r="W63" s="470"/>
      <c r="Y63" s="470"/>
    </row>
    <row r="64" spans="1:25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148">
        <f>'2025'!S64</f>
        <v>595992.76000000013</v>
      </c>
      <c r="H64" s="148">
        <f>SUM('2025'!G140:I140)</f>
        <v>1500000</v>
      </c>
      <c r="I64" s="197">
        <f t="shared" si="9"/>
        <v>-904007.23999999987</v>
      </c>
      <c r="J64" s="199">
        <f t="shared" si="1"/>
        <v>-0.60267149333333325</v>
      </c>
      <c r="K64" s="148">
        <f>SUM('2024'!G64:I64)</f>
        <v>276973.7</v>
      </c>
      <c r="L64" s="197">
        <f t="shared" si="10"/>
        <v>319019.06000000011</v>
      </c>
      <c r="M64" s="201">
        <f t="shared" si="2"/>
        <v>1.1518027162867814</v>
      </c>
      <c r="N64" s="148">
        <f>'2025'!I64</f>
        <v>56765.9</v>
      </c>
      <c r="O64" s="148">
        <f>'2025'!I140</f>
        <v>500000</v>
      </c>
      <c r="P64" s="197">
        <f t="shared" si="11"/>
        <v>-443234.1</v>
      </c>
      <c r="Q64" s="199">
        <f t="shared" si="3"/>
        <v>-0.88646820000000004</v>
      </c>
      <c r="R64" s="148">
        <f>'2024'!I64</f>
        <v>24726.440000000002</v>
      </c>
      <c r="S64" s="197">
        <f t="shared" si="12"/>
        <v>32039.46</v>
      </c>
      <c r="T64" s="201">
        <f t="shared" si="5"/>
        <v>1.2957570924079649</v>
      </c>
      <c r="W64" s="470"/>
      <c r="Y64" s="470"/>
    </row>
    <row r="65" spans="1:25">
      <c r="A65" s="129">
        <v>73</v>
      </c>
      <c r="B65" s="562" t="str">
        <f>+VLOOKUP($A65,Master!$D$30:$G$226,4,FALSE)</f>
        <v>Primici od otplate kredita i sredstva prenesena iz prethodne godine</v>
      </c>
      <c r="C65" s="563"/>
      <c r="D65" s="563"/>
      <c r="E65" s="563"/>
      <c r="F65" s="563"/>
      <c r="G65" s="148">
        <f>'2025'!S65</f>
        <v>4235049.75</v>
      </c>
      <c r="H65" s="148">
        <f>SUM('2025'!G141:I141)</f>
        <v>830642.9589314796</v>
      </c>
      <c r="I65" s="197">
        <f t="shared" si="9"/>
        <v>3404406.7910685204</v>
      </c>
      <c r="J65" s="199" t="str">
        <f t="shared" si="1"/>
        <v>...</v>
      </c>
      <c r="K65" s="148">
        <f>SUM('2024'!G65:I65)</f>
        <v>5399350.8600000003</v>
      </c>
      <c r="L65" s="197">
        <f t="shared" si="10"/>
        <v>-1164301.1100000003</v>
      </c>
      <c r="M65" s="201">
        <f t="shared" si="2"/>
        <v>-0.21563723865872286</v>
      </c>
      <c r="N65" s="148">
        <f>'2025'!I65</f>
        <v>623345.78999999992</v>
      </c>
      <c r="O65" s="148">
        <f>'2025'!I141</f>
        <v>303147.50930105889</v>
      </c>
      <c r="P65" s="197">
        <f t="shared" si="11"/>
        <v>320198.28069894103</v>
      </c>
      <c r="Q65" s="199">
        <f t="shared" si="3"/>
        <v>1.0562457908270289</v>
      </c>
      <c r="R65" s="148">
        <f>'2024'!I65</f>
        <v>960869.5</v>
      </c>
      <c r="S65" s="197">
        <f t="shared" si="12"/>
        <v>-337523.71000000008</v>
      </c>
      <c r="T65" s="201">
        <f t="shared" si="5"/>
        <v>-0.35126904329880393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'2025'!S66</f>
        <v>125375806.98999996</v>
      </c>
      <c r="H66" s="296">
        <f>SUM('2025'!G142:I142)</f>
        <v>205352435.57759157</v>
      </c>
      <c r="I66" s="211">
        <f t="shared" si="9"/>
        <v>-79976628.587591603</v>
      </c>
      <c r="J66" s="213">
        <f t="shared" si="1"/>
        <v>-0.38946033614182662</v>
      </c>
      <c r="K66" s="296">
        <f>SUM('2024'!G66:I66)</f>
        <v>-587586441.23000014</v>
      </c>
      <c r="L66" s="211">
        <f t="shared" si="10"/>
        <v>712962248.22000015</v>
      </c>
      <c r="M66" s="215">
        <f t="shared" si="2"/>
        <v>-1.2133742343127416</v>
      </c>
      <c r="N66" s="296">
        <f>'2025'!I66</f>
        <v>67321421.610000029</v>
      </c>
      <c r="O66" s="296">
        <f>'2025'!I142</f>
        <v>57977697.339923441</v>
      </c>
      <c r="P66" s="211">
        <f t="shared" si="11"/>
        <v>9343724.2700765878</v>
      </c>
      <c r="Q66" s="213">
        <f t="shared" si="3"/>
        <v>0.16116066520017691</v>
      </c>
      <c r="R66" s="296">
        <f>'2024'!I66</f>
        <v>-643416237.55000007</v>
      </c>
      <c r="S66" s="211">
        <f t="shared" si="12"/>
        <v>710737659.16000009</v>
      </c>
      <c r="T66" s="215">
        <f t="shared" si="5"/>
        <v>-1.1046312133283216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9xMJZYyw5NsRo1BMs0Rg8qJCY+ydQK72lfS6iBdnz8mynz/QoWynF3PISD9IPv4wmkOeetPYwywa8ZqisV5KXQ==" saltValue="FdkfxboxtlpPI2smB9Kz2g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topLeftCell="Q1" zoomScale="90" zoomScaleNormal="90" workbookViewId="0">
      <pane ySplit="1" topLeftCell="A2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2024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7459213000</v>
      </c>
    </row>
    <row r="8" spans="1:24" ht="16.5" customHeight="1">
      <c r="A8" s="129"/>
      <c r="B8" s="566"/>
      <c r="C8" s="567"/>
      <c r="D8" s="567"/>
      <c r="E8" s="567"/>
      <c r="F8" s="568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4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513">
        <f>G11+G19+G24+G25+G26+G27+G28</f>
        <v>150930823.46000001</v>
      </c>
      <c r="H10" s="513">
        <f t="shared" ref="H10:L10" si="2">+H11+H19+SUM(H24:H28)</f>
        <v>180248667.54000002</v>
      </c>
      <c r="I10" s="513">
        <f t="shared" si="2"/>
        <v>244547117.82000002</v>
      </c>
      <c r="J10" s="513">
        <f t="shared" si="2"/>
        <v>317572444.20999998</v>
      </c>
      <c r="K10" s="513">
        <f t="shared" si="2"/>
        <v>195199291.53999999</v>
      </c>
      <c r="L10" s="513">
        <f t="shared" si="2"/>
        <v>222631238.46000001</v>
      </c>
      <c r="M10" s="513">
        <f t="shared" ref="M10:R10" si="3">+M11+M19+SUM(M24:M28)</f>
        <v>263240821.07000005</v>
      </c>
      <c r="N10" s="513">
        <f t="shared" si="3"/>
        <v>254940204.98000002</v>
      </c>
      <c r="O10" s="513">
        <f t="shared" si="3"/>
        <v>247912124.41</v>
      </c>
      <c r="P10" s="513">
        <f t="shared" si="3"/>
        <v>241537495.28</v>
      </c>
      <c r="Q10" s="513">
        <f t="shared" si="3"/>
        <v>178985113.79999998</v>
      </c>
      <c r="R10" s="513">
        <f t="shared" si="3"/>
        <v>257322530.34999999</v>
      </c>
      <c r="S10" s="514">
        <f>+SUM(G10:R10)</f>
        <v>2755067872.9200001</v>
      </c>
      <c r="T10" s="515">
        <f>+S10/$T$7*100</f>
        <v>36.935101235478861</v>
      </c>
      <c r="V10" s="493"/>
    </row>
    <row r="11" spans="1:24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516">
        <f t="shared" ref="G11:I11" si="4">+SUM(G12:G18)</f>
        <v>122011952.05999999</v>
      </c>
      <c r="H11" s="516">
        <f t="shared" si="4"/>
        <v>121308599.17000002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176287449.87000003</v>
      </c>
      <c r="N11" s="516">
        <f t="shared" si="5"/>
        <v>187772027.16000003</v>
      </c>
      <c r="O11" s="516">
        <f t="shared" si="5"/>
        <v>174666714.86000001</v>
      </c>
      <c r="P11" s="516">
        <f t="shared" si="5"/>
        <v>170940704.73000002</v>
      </c>
      <c r="Q11" s="516">
        <f t="shared" si="5"/>
        <v>130980738.95999998</v>
      </c>
      <c r="R11" s="517">
        <f t="shared" si="5"/>
        <v>168637973.13</v>
      </c>
      <c r="S11" s="518">
        <f>+SUM(G11:R11)</f>
        <v>1968599583.2600002</v>
      </c>
      <c r="T11" s="519">
        <f t="shared" ref="T11:T66" si="6">+S11/$T$7*100</f>
        <v>26.391518559129501</v>
      </c>
      <c r="V11" s="276"/>
    </row>
    <row r="12" spans="1:24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499">
        <v>1998079.15</v>
      </c>
      <c r="H12" s="499">
        <v>6162755.9100000001</v>
      </c>
      <c r="I12" s="499">
        <v>6774640.8399999999</v>
      </c>
      <c r="J12" s="499">
        <v>9120679.6699999999</v>
      </c>
      <c r="K12" s="499">
        <v>7999182.8499999996</v>
      </c>
      <c r="L12" s="148">
        <v>5714143.4299999997</v>
      </c>
      <c r="M12" s="148">
        <v>8103849.4699999997</v>
      </c>
      <c r="N12" s="148">
        <v>7506393.2000000002</v>
      </c>
      <c r="O12" s="148">
        <v>6129815.1900000004</v>
      </c>
      <c r="P12" s="148">
        <v>10490866.800000001</v>
      </c>
      <c r="Q12" s="148">
        <v>5042014.29</v>
      </c>
      <c r="R12" s="148">
        <v>13112925.42</v>
      </c>
      <c r="S12" s="227">
        <f>+SUM(G12:R12)</f>
        <v>88155346.220000014</v>
      </c>
      <c r="T12" s="436">
        <f t="shared" si="6"/>
        <v>1.1818317323824914</v>
      </c>
    </row>
    <row r="13" spans="1:24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499">
        <v>1951464.9</v>
      </c>
      <c r="H13" s="499">
        <v>5771727.9400000004</v>
      </c>
      <c r="I13" s="499">
        <v>71210822.510000005</v>
      </c>
      <c r="J13" s="499">
        <v>100269900.84</v>
      </c>
      <c r="K13" s="499">
        <v>6533790.1500000004</v>
      </c>
      <c r="L13" s="148">
        <v>5452063.1399999997</v>
      </c>
      <c r="M13" s="148">
        <v>6399901.1399999997</v>
      </c>
      <c r="N13" s="148">
        <v>3297843.93</v>
      </c>
      <c r="O13" s="148">
        <v>3451625.75</v>
      </c>
      <c r="P13" s="148">
        <v>1559675.82</v>
      </c>
      <c r="Q13" s="148">
        <v>1503515.81</v>
      </c>
      <c r="R13" s="148">
        <v>6565545.0700000003</v>
      </c>
      <c r="S13" s="227">
        <f t="shared" ref="S13:S65" si="7">+SUM(G13:R13)</f>
        <v>213967876.99999997</v>
      </c>
      <c r="T13" s="436">
        <f t="shared" si="6"/>
        <v>2.8685047202700873</v>
      </c>
      <c r="V13" s="276"/>
      <c r="W13" s="276"/>
      <c r="X13" s="494"/>
    </row>
    <row r="14" spans="1:24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499">
        <v>91572726.909999996</v>
      </c>
      <c r="H15" s="499">
        <v>81980319.980000004</v>
      </c>
      <c r="I15" s="499">
        <v>78800496.590000004</v>
      </c>
      <c r="J15" s="499">
        <v>94537941.620000005</v>
      </c>
      <c r="K15" s="499">
        <v>88184792.75</v>
      </c>
      <c r="L15" s="148">
        <v>100885481.09</v>
      </c>
      <c r="M15" s="148">
        <v>119418214.70999999</v>
      </c>
      <c r="N15" s="148">
        <v>126480010.05</v>
      </c>
      <c r="O15" s="148">
        <v>119699878.62</v>
      </c>
      <c r="P15" s="148">
        <v>118929652.58</v>
      </c>
      <c r="Q15" s="148">
        <v>90529869.280000001</v>
      </c>
      <c r="R15" s="148">
        <v>111577546.98999999</v>
      </c>
      <c r="S15" s="227">
        <f t="shared" si="7"/>
        <v>1222596931.1700001</v>
      </c>
      <c r="T15" s="436">
        <f t="shared" si="6"/>
        <v>16.390427933483064</v>
      </c>
      <c r="V15" s="276"/>
      <c r="W15" s="276"/>
      <c r="X15" s="494"/>
    </row>
    <row r="16" spans="1:24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499">
        <v>22556344.960000001</v>
      </c>
      <c r="H16" s="499">
        <v>22366846.550000001</v>
      </c>
      <c r="I16" s="499">
        <v>21994790.370000001</v>
      </c>
      <c r="J16" s="499">
        <v>26932676.210000001</v>
      </c>
      <c r="K16" s="499">
        <v>31723753.75</v>
      </c>
      <c r="L16" s="148">
        <v>34644163.43</v>
      </c>
      <c r="M16" s="148">
        <v>34841981.670000002</v>
      </c>
      <c r="N16" s="148">
        <v>43213446.43</v>
      </c>
      <c r="O16" s="148">
        <v>38641287.920000002</v>
      </c>
      <c r="P16" s="148">
        <v>33032024.920000002</v>
      </c>
      <c r="Q16" s="148">
        <v>28020758.82</v>
      </c>
      <c r="R16" s="148">
        <v>30621579.68</v>
      </c>
      <c r="S16" s="227">
        <f t="shared" si="7"/>
        <v>368589654.71000004</v>
      </c>
      <c r="T16" s="436">
        <f t="shared" si="6"/>
        <v>4.9414013879212195</v>
      </c>
      <c r="V16" s="276"/>
      <c r="W16" s="276"/>
      <c r="X16" s="494"/>
    </row>
    <row r="17" spans="1:24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499">
        <v>2997811.11</v>
      </c>
      <c r="H17" s="499">
        <v>3849203.28</v>
      </c>
      <c r="I17" s="499">
        <v>4636318.09</v>
      </c>
      <c r="J17" s="499">
        <v>5632584.1600000001</v>
      </c>
      <c r="K17" s="499">
        <v>5010618.79</v>
      </c>
      <c r="L17" s="148">
        <v>5120393.08</v>
      </c>
      <c r="M17" s="148">
        <v>6113583.7999999998</v>
      </c>
      <c r="N17" s="148">
        <v>5829872.2699999996</v>
      </c>
      <c r="O17" s="148">
        <v>5498962.25</v>
      </c>
      <c r="P17" s="148">
        <v>5536331.3300000001</v>
      </c>
      <c r="Q17" s="148">
        <v>4591287.2699999996</v>
      </c>
      <c r="R17" s="148">
        <v>5559914.0899999999</v>
      </c>
      <c r="S17" s="227">
        <f t="shared" si="7"/>
        <v>60376879.519999996</v>
      </c>
      <c r="T17" s="436">
        <f t="shared" si="6"/>
        <v>0.80942693981255132</v>
      </c>
      <c r="V17" s="276"/>
      <c r="W17" s="276"/>
      <c r="X17" s="494"/>
    </row>
    <row r="18" spans="1:24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499">
        <v>935525.03</v>
      </c>
      <c r="H18" s="499">
        <v>1177745.51</v>
      </c>
      <c r="I18" s="499">
        <v>1140306.55</v>
      </c>
      <c r="J18" s="499">
        <v>1213350.5</v>
      </c>
      <c r="K18" s="499">
        <v>1273370.29</v>
      </c>
      <c r="L18" s="148">
        <v>1187162.6200000001</v>
      </c>
      <c r="M18" s="148">
        <v>1409919.08</v>
      </c>
      <c r="N18" s="148">
        <v>1444461.28</v>
      </c>
      <c r="O18" s="148">
        <v>1245145.1299999999</v>
      </c>
      <c r="P18" s="148">
        <v>1392153.28</v>
      </c>
      <c r="Q18" s="148">
        <v>1293293.49</v>
      </c>
      <c r="R18" s="148">
        <v>1200461.8799999999</v>
      </c>
      <c r="S18" s="227">
        <f t="shared" si="7"/>
        <v>14912894.639999997</v>
      </c>
      <c r="T18" s="436">
        <f t="shared" si="6"/>
        <v>0.19992584526008303</v>
      </c>
      <c r="V18" s="276"/>
      <c r="W18" s="276"/>
      <c r="X18" s="494"/>
    </row>
    <row r="19" spans="1:24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520">
        <f t="shared" ref="G19" si="8">SUM(G20:G23)</f>
        <v>13548213.42</v>
      </c>
      <c r="H19" s="520">
        <f t="shared" ref="H19:L19" si="9">SUM(H20:H23)</f>
        <v>51209301.960000001</v>
      </c>
      <c r="I19" s="520">
        <f t="shared" si="9"/>
        <v>50079162.990000002</v>
      </c>
      <c r="J19" s="520">
        <f t="shared" si="9"/>
        <v>58312079.649999999</v>
      </c>
      <c r="K19" s="520">
        <f t="shared" si="9"/>
        <v>44239433.410000004</v>
      </c>
      <c r="L19" s="520">
        <f t="shared" si="9"/>
        <v>48567223.640000001</v>
      </c>
      <c r="M19" s="520">
        <f t="shared" ref="M19:R19" si="10">SUM(M20:M23)</f>
        <v>55016979.530000001</v>
      </c>
      <c r="N19" s="520">
        <f t="shared" si="10"/>
        <v>54498567.900000006</v>
      </c>
      <c r="O19" s="520">
        <f t="shared" si="10"/>
        <v>54697462.289999999</v>
      </c>
      <c r="P19" s="520">
        <f t="shared" si="10"/>
        <v>54762650.329999998</v>
      </c>
      <c r="Q19" s="520">
        <f t="shared" si="10"/>
        <v>37399955.219999999</v>
      </c>
      <c r="R19" s="520">
        <f t="shared" si="10"/>
        <v>62375513.169999994</v>
      </c>
      <c r="S19" s="521">
        <f t="shared" si="7"/>
        <v>584706543.50999999</v>
      </c>
      <c r="T19" s="522">
        <f t="shared" si="6"/>
        <v>7.8387162762345035</v>
      </c>
      <c r="V19" s="276"/>
      <c r="W19" s="276"/>
      <c r="X19" s="494"/>
    </row>
    <row r="20" spans="1:24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499">
        <v>12277377.310000001</v>
      </c>
      <c r="H20" s="499">
        <v>47091163.350000001</v>
      </c>
      <c r="I20" s="499">
        <v>45892077.740000002</v>
      </c>
      <c r="J20" s="499">
        <v>53612426.219999999</v>
      </c>
      <c r="K20" s="499">
        <v>40659761.590000004</v>
      </c>
      <c r="L20" s="148">
        <v>44568700.899999999</v>
      </c>
      <c r="M20" s="148">
        <v>50382564.299999997</v>
      </c>
      <c r="N20" s="148">
        <v>49830258.149999999</v>
      </c>
      <c r="O20" s="148">
        <v>50178879.670000002</v>
      </c>
      <c r="P20" s="148">
        <v>50008955.340000004</v>
      </c>
      <c r="Q20" s="148">
        <v>33816105.539999999</v>
      </c>
      <c r="R20" s="148">
        <v>54430290.539999999</v>
      </c>
      <c r="S20" s="227">
        <f>+SUM(G20:R20)</f>
        <v>532748560.6500001</v>
      </c>
      <c r="T20" s="436">
        <f t="shared" si="6"/>
        <v>7.1421550859319893</v>
      </c>
      <c r="V20" s="276"/>
      <c r="W20" s="276"/>
      <c r="X20" s="494"/>
    </row>
    <row r="21" spans="1:24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499">
        <v>307850.36</v>
      </c>
      <c r="H21" s="499">
        <v>382153.8</v>
      </c>
      <c r="I21" s="499">
        <v>494660.43</v>
      </c>
      <c r="J21" s="499">
        <v>456232.43</v>
      </c>
      <c r="K21" s="499">
        <v>296984.02</v>
      </c>
      <c r="L21" s="148">
        <v>372046.09</v>
      </c>
      <c r="M21" s="148">
        <v>516613.79</v>
      </c>
      <c r="N21" s="148">
        <v>463962.06</v>
      </c>
      <c r="O21" s="148">
        <v>380875.64</v>
      </c>
      <c r="P21" s="148">
        <v>631287.55000000005</v>
      </c>
      <c r="Q21" s="148">
        <v>382115.57</v>
      </c>
      <c r="R21" s="148">
        <v>739249.91</v>
      </c>
      <c r="S21" s="227">
        <f t="shared" si="7"/>
        <v>5424031.6500000004</v>
      </c>
      <c r="T21" s="436">
        <f t="shared" si="6"/>
        <v>7.2715870293555099E-2</v>
      </c>
      <c r="V21" s="276"/>
      <c r="W21" s="276"/>
      <c r="X21" s="494"/>
    </row>
    <row r="22" spans="1:24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499">
        <v>569229.31000000006</v>
      </c>
      <c r="H22" s="499">
        <v>2203988.56</v>
      </c>
      <c r="I22" s="499">
        <v>2137007.6800000002</v>
      </c>
      <c r="J22" s="499">
        <v>2464722.08</v>
      </c>
      <c r="K22" s="499">
        <v>1910648.69</v>
      </c>
      <c r="L22" s="148">
        <v>2095564.37</v>
      </c>
      <c r="M22" s="148">
        <v>2381944.41</v>
      </c>
      <c r="N22" s="148">
        <v>2401758.41</v>
      </c>
      <c r="O22" s="148">
        <v>2372941.4300000002</v>
      </c>
      <c r="P22" s="148">
        <v>2360830.64</v>
      </c>
      <c r="Q22" s="148">
        <v>1848685.14</v>
      </c>
      <c r="R22" s="148">
        <v>4213340.57</v>
      </c>
      <c r="S22" s="227">
        <f t="shared" si="7"/>
        <v>26960661.290000003</v>
      </c>
      <c r="T22" s="436">
        <f t="shared" si="6"/>
        <v>0.36144109693609772</v>
      </c>
    </row>
    <row r="23" spans="1:24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499">
        <v>393756.44</v>
      </c>
      <c r="H23" s="499">
        <v>1531996.25</v>
      </c>
      <c r="I23" s="499">
        <v>1555417.14</v>
      </c>
      <c r="J23" s="499">
        <v>1778698.92</v>
      </c>
      <c r="K23" s="499">
        <v>1372039.11</v>
      </c>
      <c r="L23" s="148">
        <v>1530912.28</v>
      </c>
      <c r="M23" s="148">
        <v>1735857.03</v>
      </c>
      <c r="N23" s="148">
        <v>1802589.28</v>
      </c>
      <c r="O23" s="148">
        <v>1764765.55</v>
      </c>
      <c r="P23" s="148">
        <v>1761576.8</v>
      </c>
      <c r="Q23" s="148">
        <v>1353048.97</v>
      </c>
      <c r="R23" s="148">
        <v>2992632.15</v>
      </c>
      <c r="S23" s="227">
        <f t="shared" si="7"/>
        <v>19573289.920000002</v>
      </c>
      <c r="T23" s="436">
        <f t="shared" si="6"/>
        <v>0.26240422307286304</v>
      </c>
      <c r="V23" s="495"/>
      <c r="W23" s="495"/>
      <c r="X23" s="494"/>
    </row>
    <row r="24" spans="1:24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859681.09</v>
      </c>
      <c r="H24" s="160">
        <v>998586.78</v>
      </c>
      <c r="I24" s="160">
        <v>986568.83000000007</v>
      </c>
      <c r="J24" s="160">
        <v>1424375.7499999998</v>
      </c>
      <c r="K24" s="160">
        <v>1250720.22</v>
      </c>
      <c r="L24" s="523">
        <v>1305037.74</v>
      </c>
      <c r="M24" s="523">
        <v>1842088.0599999998</v>
      </c>
      <c r="N24" s="523">
        <v>1839749.14</v>
      </c>
      <c r="O24" s="523">
        <v>1512960.99</v>
      </c>
      <c r="P24" s="523">
        <v>1483761.4700000002</v>
      </c>
      <c r="Q24" s="523">
        <v>1124852.74</v>
      </c>
      <c r="R24" s="523">
        <v>1603542.58</v>
      </c>
      <c r="S24" s="521">
        <f t="shared" si="7"/>
        <v>16231925.390000002</v>
      </c>
      <c r="T24" s="522">
        <f t="shared" si="6"/>
        <v>0.21760908811693677</v>
      </c>
    </row>
    <row r="25" spans="1:24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2491580.6799999997</v>
      </c>
      <c r="H25" s="160">
        <v>4111753.23</v>
      </c>
      <c r="I25" s="160">
        <v>3497306.59</v>
      </c>
      <c r="J25" s="160">
        <v>5307671.18</v>
      </c>
      <c r="K25" s="160">
        <v>3457943.4</v>
      </c>
      <c r="L25" s="523">
        <v>4104367.62</v>
      </c>
      <c r="M25" s="523">
        <v>6739444.4199999999</v>
      </c>
      <c r="N25" s="523">
        <v>3916013.25</v>
      </c>
      <c r="O25" s="523">
        <v>4184422.2199999997</v>
      </c>
      <c r="P25" s="523">
        <v>5561939.7699999996</v>
      </c>
      <c r="Q25" s="523">
        <v>4081588.3299999991</v>
      </c>
      <c r="R25" s="523">
        <v>5674135.9900000002</v>
      </c>
      <c r="S25" s="521">
        <f t="shared" si="7"/>
        <v>53128166.68</v>
      </c>
      <c r="T25" s="522">
        <f t="shared" si="6"/>
        <v>0.71224895548632272</v>
      </c>
    </row>
    <row r="26" spans="1:24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7787071.8500000006</v>
      </c>
      <c r="H26" s="160">
        <v>2506490.67</v>
      </c>
      <c r="I26" s="160">
        <v>2145824.85</v>
      </c>
      <c r="J26" s="160">
        <v>12834932.449999999</v>
      </c>
      <c r="K26" s="160">
        <v>3927502.05</v>
      </c>
      <c r="L26" s="523">
        <v>13138607.77</v>
      </c>
      <c r="M26" s="523">
        <v>20193025.280000001</v>
      </c>
      <c r="N26" s="523">
        <v>3567908.3099999996</v>
      </c>
      <c r="O26" s="523">
        <v>9668557.370000001</v>
      </c>
      <c r="P26" s="523">
        <v>3219272.99</v>
      </c>
      <c r="Q26" s="523">
        <v>2043908.05</v>
      </c>
      <c r="R26" s="523">
        <v>10514044.74</v>
      </c>
      <c r="S26" s="521">
        <f t="shared" si="7"/>
        <v>91547146.379999995</v>
      </c>
      <c r="T26" s="522">
        <f t="shared" si="6"/>
        <v>1.2273030195008507</v>
      </c>
    </row>
    <row r="27" spans="1:24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4232324.3600000003</v>
      </c>
      <c r="H28" s="160">
        <v>113935.73</v>
      </c>
      <c r="I28" s="160">
        <v>3280879.61</v>
      </c>
      <c r="J28" s="160">
        <v>1986252.18</v>
      </c>
      <c r="K28" s="160">
        <v>1598183.88</v>
      </c>
      <c r="L28" s="523">
        <v>2512594.9</v>
      </c>
      <c r="M28" s="523">
        <v>3161833.91</v>
      </c>
      <c r="N28" s="523">
        <v>3345939.22</v>
      </c>
      <c r="O28" s="523">
        <v>3182006.68</v>
      </c>
      <c r="P28" s="523">
        <v>5569165.9900000002</v>
      </c>
      <c r="Q28" s="523">
        <v>3354070.5</v>
      </c>
      <c r="R28" s="523">
        <v>8517320.7400000002</v>
      </c>
      <c r="S28" s="521">
        <f t="shared" si="7"/>
        <v>40854507.700000003</v>
      </c>
      <c r="T28" s="524">
        <f t="shared" si="6"/>
        <v>0.5477053370107543</v>
      </c>
    </row>
    <row r="29" spans="1:24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137917013.63</v>
      </c>
      <c r="H29" s="136">
        <f t="shared" ref="H29:L29" si="11">+H30+H40+H46+SUM(H47:H51)</f>
        <v>214357140.56999999</v>
      </c>
      <c r="I29" s="136">
        <f t="shared" si="11"/>
        <v>231119506.67999998</v>
      </c>
      <c r="J29" s="136">
        <f t="shared" si="11"/>
        <v>258880577.03999999</v>
      </c>
      <c r="K29" s="136">
        <f t="shared" si="11"/>
        <v>214022176.51000005</v>
      </c>
      <c r="L29" s="136">
        <f t="shared" si="11"/>
        <v>224344749.5</v>
      </c>
      <c r="M29" s="136">
        <f t="shared" ref="M29:R29" si="12">+M30+M40+M46+SUM(M47:M51)</f>
        <v>248903594.07999998</v>
      </c>
      <c r="N29" s="136">
        <f t="shared" si="12"/>
        <v>204255101.17999998</v>
      </c>
      <c r="O29" s="136">
        <f t="shared" si="12"/>
        <v>254448666.02999997</v>
      </c>
      <c r="P29" s="136">
        <f t="shared" si="12"/>
        <v>253534655.30999997</v>
      </c>
      <c r="Q29" s="136">
        <f t="shared" si="12"/>
        <v>255617995.34999996</v>
      </c>
      <c r="R29" s="136">
        <f t="shared" si="12"/>
        <v>488587091.8499999</v>
      </c>
      <c r="S29" s="525">
        <f t="shared" si="7"/>
        <v>2985988267.73</v>
      </c>
      <c r="T29" s="526">
        <f t="shared" si="6"/>
        <v>40.030875478820619</v>
      </c>
    </row>
    <row r="30" spans="1:24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" si="13">+SUM(G31:G39)</f>
        <v>61605376.840000004</v>
      </c>
      <c r="H30" s="172">
        <f t="shared" ref="H30:L30" si="14">+SUM(H31:H39)</f>
        <v>82044417.609999955</v>
      </c>
      <c r="I30" s="172">
        <f t="shared" si="14"/>
        <v>89984626.639999986</v>
      </c>
      <c r="J30" s="172">
        <f t="shared" si="14"/>
        <v>107677052.5</v>
      </c>
      <c r="K30" s="172">
        <f t="shared" si="14"/>
        <v>86442364.25000003</v>
      </c>
      <c r="L30" s="172">
        <f t="shared" si="14"/>
        <v>85962545.140000015</v>
      </c>
      <c r="M30" s="172">
        <f t="shared" ref="M30:R30" si="15">+SUM(M31:M39)</f>
        <v>88279555.040000021</v>
      </c>
      <c r="N30" s="172">
        <f t="shared" si="15"/>
        <v>78695582.790000007</v>
      </c>
      <c r="O30" s="172">
        <f t="shared" si="15"/>
        <v>109956476.82000002</v>
      </c>
      <c r="P30" s="172">
        <f t="shared" si="15"/>
        <v>104929268.66</v>
      </c>
      <c r="Q30" s="172">
        <f t="shared" si="15"/>
        <v>106663151.85999998</v>
      </c>
      <c r="R30" s="231">
        <f t="shared" si="15"/>
        <v>190222864.52999994</v>
      </c>
      <c r="S30" s="527">
        <f t="shared" si="7"/>
        <v>1192463282.6799998</v>
      </c>
      <c r="T30" s="519">
        <f t="shared" si="6"/>
        <v>15.986449008494594</v>
      </c>
      <c r="U30" s="472"/>
    </row>
    <row r="31" spans="1:24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499">
        <v>55136615.750000007</v>
      </c>
      <c r="H31" s="499">
        <v>55692244.729999967</v>
      </c>
      <c r="I31" s="499">
        <v>55409720.469999999</v>
      </c>
      <c r="J31" s="499">
        <v>52206366.690000013</v>
      </c>
      <c r="K31" s="499">
        <v>59775787.140000023</v>
      </c>
      <c r="L31" s="499">
        <v>56818382.910000011</v>
      </c>
      <c r="M31" s="499">
        <v>56266659.160000019</v>
      </c>
      <c r="N31" s="499">
        <v>55237690.129999988</v>
      </c>
      <c r="O31" s="499">
        <v>57435269.210000031</v>
      </c>
      <c r="P31" s="499">
        <v>57178613.530000001</v>
      </c>
      <c r="Q31" s="499">
        <v>56317280.460000001</v>
      </c>
      <c r="R31" s="148">
        <v>57788253.059999973</v>
      </c>
      <c r="S31" s="227">
        <f t="shared" si="7"/>
        <v>675262883.24000013</v>
      </c>
      <c r="T31" s="436">
        <f t="shared" si="6"/>
        <v>9.0527363039505655</v>
      </c>
      <c r="U31" s="472"/>
    </row>
    <row r="32" spans="1:24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499">
        <v>104790.61</v>
      </c>
      <c r="H32" s="499">
        <v>1837884.4900000002</v>
      </c>
      <c r="I32" s="499">
        <v>2257740.919999999</v>
      </c>
      <c r="J32" s="499">
        <v>1683790.7199999997</v>
      </c>
      <c r="K32" s="499">
        <v>1510365</v>
      </c>
      <c r="L32" s="499">
        <v>1609176.6600000001</v>
      </c>
      <c r="M32" s="499">
        <v>1737204.9199999995</v>
      </c>
      <c r="N32" s="499">
        <v>1253291.9899999995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20705381.390000001</v>
      </c>
      <c r="T32" s="436">
        <f t="shared" si="6"/>
        <v>0.27758131306881839</v>
      </c>
      <c r="U32" s="472"/>
      <c r="V32" s="275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499">
        <v>201738.93999999997</v>
      </c>
      <c r="H33" s="499">
        <v>3185464.5300000003</v>
      </c>
      <c r="I33" s="499">
        <v>3529714.7899999996</v>
      </c>
      <c r="J33" s="499">
        <v>3288871.4699999997</v>
      </c>
      <c r="K33" s="499">
        <v>2243018</v>
      </c>
      <c r="L33" s="499">
        <v>2355582.7499999995</v>
      </c>
      <c r="M33" s="499">
        <v>3351257.3600000003</v>
      </c>
      <c r="N33" s="499">
        <v>1740999.7799999998</v>
      </c>
      <c r="O33" s="499">
        <v>4493526.6500000013</v>
      </c>
      <c r="P33" s="499">
        <v>3461755.82</v>
      </c>
      <c r="Q33" s="499">
        <v>3009530.58</v>
      </c>
      <c r="R33" s="148">
        <v>9296726.089999998</v>
      </c>
      <c r="S33" s="227">
        <f t="shared" si="7"/>
        <v>40158186.759999998</v>
      </c>
      <c r="T33" s="436">
        <f t="shared" si="6"/>
        <v>0.53837029134306791</v>
      </c>
      <c r="U33" s="472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499">
        <v>768611.57000000007</v>
      </c>
      <c r="H34" s="499">
        <v>3306116.05</v>
      </c>
      <c r="I34" s="499">
        <v>6882103.8800000008</v>
      </c>
      <c r="J34" s="499">
        <v>6038423.1499999994</v>
      </c>
      <c r="K34" s="499">
        <v>4178033.2299999995</v>
      </c>
      <c r="L34" s="499">
        <v>5578834.5299999984</v>
      </c>
      <c r="M34" s="499">
        <v>6879280.6200000001</v>
      </c>
      <c r="N34" s="499">
        <v>3798717.7099999995</v>
      </c>
      <c r="O34" s="499">
        <v>4392465.6800000006</v>
      </c>
      <c r="P34" s="499">
        <v>7255308.7199999997</v>
      </c>
      <c r="Q34" s="499">
        <v>8218317.4400000013</v>
      </c>
      <c r="R34" s="148">
        <v>24152775.589999996</v>
      </c>
      <c r="S34" s="227">
        <f t="shared" si="7"/>
        <v>81448988.169999987</v>
      </c>
      <c r="T34" s="436">
        <f t="shared" si="6"/>
        <v>1.091924686558756</v>
      </c>
      <c r="U34" s="472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499">
        <v>4201.5999999999995</v>
      </c>
      <c r="H35" s="499">
        <v>1444596.6199999996</v>
      </c>
      <c r="I35" s="499">
        <v>1881519.3199999998</v>
      </c>
      <c r="J35" s="499">
        <v>3225908.9499999997</v>
      </c>
      <c r="K35" s="499">
        <v>504578.94999999995</v>
      </c>
      <c r="L35" s="499">
        <v>3145877.9800000004</v>
      </c>
      <c r="M35" s="499">
        <v>3731629.6500000004</v>
      </c>
      <c r="N35" s="499">
        <v>2811315.1200000006</v>
      </c>
      <c r="O35" s="499">
        <v>4062574.1599999997</v>
      </c>
      <c r="P35" s="499">
        <v>2530485.4200000004</v>
      </c>
      <c r="Q35" s="499">
        <v>2992759.4499999997</v>
      </c>
      <c r="R35" s="148">
        <v>7565106.5099999998</v>
      </c>
      <c r="S35" s="227">
        <f t="shared" si="7"/>
        <v>33900553.730000004</v>
      </c>
      <c r="T35" s="436">
        <f t="shared" si="6"/>
        <v>0.45447896085015943</v>
      </c>
      <c r="U35" s="472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499">
        <v>4029329.47</v>
      </c>
      <c r="H36" s="499">
        <v>4129191.9600000004</v>
      </c>
      <c r="I36" s="499">
        <v>7187848.6899999976</v>
      </c>
      <c r="J36" s="499">
        <v>31152856.879999992</v>
      </c>
      <c r="K36" s="499">
        <v>8072726.5900000008</v>
      </c>
      <c r="L36" s="499">
        <v>5854363.290000001</v>
      </c>
      <c r="M36" s="499">
        <v>3738849.7</v>
      </c>
      <c r="N36" s="499">
        <v>3977652.6799999997</v>
      </c>
      <c r="O36" s="499">
        <v>25966444.500000004</v>
      </c>
      <c r="P36" s="499">
        <v>14869850.659999998</v>
      </c>
      <c r="Q36" s="499">
        <v>13088141.829999998</v>
      </c>
      <c r="R36" s="148">
        <v>27216224.940000001</v>
      </c>
      <c r="S36" s="227">
        <f>+SUM(G36:R36)</f>
        <v>149283481.19</v>
      </c>
      <c r="T36" s="436">
        <f t="shared" si="6"/>
        <v>2.0013301830903609</v>
      </c>
      <c r="U36" s="472"/>
      <c r="V36" s="275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996164.27000000025</v>
      </c>
      <c r="M37" s="499">
        <v>1022257.5800000003</v>
      </c>
      <c r="N37" s="499">
        <v>1097677.0900000001</v>
      </c>
      <c r="O37" s="499">
        <v>582375.03000000014</v>
      </c>
      <c r="P37" s="499">
        <v>871596.95000000019</v>
      </c>
      <c r="Q37" s="499">
        <v>1032976.0700000001</v>
      </c>
      <c r="R37" s="148">
        <v>3915830.2400000012</v>
      </c>
      <c r="S37" s="227">
        <f t="shared" si="7"/>
        <v>13883495.820000004</v>
      </c>
      <c r="T37" s="436">
        <f t="shared" si="6"/>
        <v>0.18612547758054374</v>
      </c>
      <c r="U37" s="472"/>
      <c r="V37" s="275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499">
        <v>1261570.0099999986</v>
      </c>
      <c r="H38" s="499">
        <v>3823193.8399999933</v>
      </c>
      <c r="I38" s="499">
        <v>6034941.5099999923</v>
      </c>
      <c r="J38" s="499">
        <v>4256461.2399999993</v>
      </c>
      <c r="K38" s="499">
        <v>4091213.4399999962</v>
      </c>
      <c r="L38" s="499">
        <v>5603254.6099999957</v>
      </c>
      <c r="M38" s="499">
        <v>6020163.6199999992</v>
      </c>
      <c r="N38" s="499">
        <v>5377628.4600000018</v>
      </c>
      <c r="O38" s="499">
        <v>8420721.0699999966</v>
      </c>
      <c r="P38" s="499">
        <v>11936637.319999991</v>
      </c>
      <c r="Q38" s="499">
        <v>14006807.799999999</v>
      </c>
      <c r="R38" s="148">
        <v>17955567.600000001</v>
      </c>
      <c r="S38" s="227">
        <f t="shared" si="7"/>
        <v>88788160.519999951</v>
      </c>
      <c r="T38" s="436">
        <f t="shared" si="6"/>
        <v>1.1903153927900967</v>
      </c>
      <c r="U38" s="472"/>
    </row>
    <row r="39" spans="1:24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499">
        <v>98363.42</v>
      </c>
      <c r="H39" s="499">
        <v>7565592.3899999987</v>
      </c>
      <c r="I39" s="499">
        <v>5572488.7899999991</v>
      </c>
      <c r="J39" s="499">
        <v>4456229.17</v>
      </c>
      <c r="K39" s="499">
        <v>5359004.28</v>
      </c>
      <c r="L39" s="499">
        <v>4000908.1399999997</v>
      </c>
      <c r="M39" s="499">
        <v>5532252.4299999997</v>
      </c>
      <c r="N39" s="499">
        <v>3400609.830000001</v>
      </c>
      <c r="O39" s="499">
        <v>3066230.8499999996</v>
      </c>
      <c r="P39" s="499">
        <v>4835198.42</v>
      </c>
      <c r="Q39" s="499">
        <v>6182265.3500000006</v>
      </c>
      <c r="R39" s="148">
        <v>38963008.789999999</v>
      </c>
      <c r="S39" s="227">
        <f t="shared" si="7"/>
        <v>89032151.859999999</v>
      </c>
      <c r="T39" s="436">
        <f t="shared" si="6"/>
        <v>1.1935863992622278</v>
      </c>
      <c r="U39" s="472"/>
      <c r="V39" s="275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88657241.409999952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86739794.689999983</v>
      </c>
      <c r="Q40" s="178">
        <f t="shared" si="17"/>
        <v>88251296.139999986</v>
      </c>
      <c r="R40" s="178">
        <f t="shared" si="17"/>
        <v>93256353.089999989</v>
      </c>
      <c r="S40" s="528">
        <f t="shared" si="7"/>
        <v>1008229217.2699997</v>
      </c>
      <c r="T40" s="529">
        <f t="shared" si="6"/>
        <v>13.516562903754052</v>
      </c>
      <c r="U40" s="472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18980290.810000002</v>
      </c>
      <c r="Q41" s="499">
        <v>20373669.920000002</v>
      </c>
      <c r="R41" s="148">
        <v>17695774.5</v>
      </c>
      <c r="S41" s="227">
        <f t="shared" si="7"/>
        <v>213056822.80000001</v>
      </c>
      <c r="T41" s="436">
        <f t="shared" si="6"/>
        <v>2.856290908973909</v>
      </c>
      <c r="U41" s="472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0.34878440084764983</v>
      </c>
      <c r="U42" s="472"/>
      <c r="V42" s="275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61550827.919999957</v>
      </c>
      <c r="N43" s="499">
        <v>62111987.969999999</v>
      </c>
      <c r="O43" s="499">
        <v>62041259.769999973</v>
      </c>
      <c r="P43" s="499">
        <v>62741828.979999974</v>
      </c>
      <c r="Q43" s="499">
        <v>62810408.869999982</v>
      </c>
      <c r="R43" s="148">
        <v>63648277.499999985</v>
      </c>
      <c r="S43" s="227">
        <f t="shared" si="7"/>
        <v>730408864.30999994</v>
      </c>
      <c r="T43" s="436">
        <f t="shared" si="6"/>
        <v>9.7920365635087769</v>
      </c>
      <c r="U43" s="472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499">
        <v>893164.23999999976</v>
      </c>
      <c r="H44" s="499">
        <v>857362.14999999979</v>
      </c>
      <c r="I44" s="499">
        <v>1257824.81</v>
      </c>
      <c r="J44" s="499">
        <v>1233497.5799999998</v>
      </c>
      <c r="K44" s="499">
        <v>1005825.6499999999</v>
      </c>
      <c r="L44" s="499">
        <v>1033640.7399999999</v>
      </c>
      <c r="M44" s="499">
        <v>6613796.0999999996</v>
      </c>
      <c r="N44" s="499">
        <v>1831545.6900000004</v>
      </c>
      <c r="O44" s="499">
        <v>1235670.44</v>
      </c>
      <c r="P44" s="499">
        <v>1750407.2900000003</v>
      </c>
      <c r="Q44" s="499">
        <v>1490076.6400000001</v>
      </c>
      <c r="R44" s="148">
        <v>2910809.95</v>
      </c>
      <c r="S44" s="227">
        <f t="shared" si="7"/>
        <v>22113621.280000001</v>
      </c>
      <c r="T44" s="436">
        <f t="shared" si="6"/>
        <v>0.2964605150704237</v>
      </c>
      <c r="U44" s="472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499">
        <v>34748.049999999996</v>
      </c>
      <c r="H45" s="499">
        <v>1222905.48</v>
      </c>
      <c r="I45" s="499">
        <v>2373259.1799999997</v>
      </c>
      <c r="J45" s="499">
        <v>1410333.5000000005</v>
      </c>
      <c r="K45" s="499">
        <v>1163295.2799999993</v>
      </c>
      <c r="L45" s="499">
        <v>1245194.8499999996</v>
      </c>
      <c r="M45" s="499">
        <v>1669001.2000000009</v>
      </c>
      <c r="N45" s="499">
        <v>679384.87999999989</v>
      </c>
      <c r="O45" s="499">
        <v>1758483.15</v>
      </c>
      <c r="P45" s="499">
        <v>1449378.3600000006</v>
      </c>
      <c r="Q45" s="499">
        <v>1884503.7700000007</v>
      </c>
      <c r="R45" s="148">
        <v>1742849.8100000003</v>
      </c>
      <c r="S45" s="227">
        <f t="shared" si="7"/>
        <v>16633337.510000005</v>
      </c>
      <c r="T45" s="436">
        <f t="shared" si="6"/>
        <v>0.22299051535329539</v>
      </c>
      <c r="U45" s="472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3021521.19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33632618.140000008</v>
      </c>
      <c r="M46" s="160">
        <v>42236253.310000002</v>
      </c>
      <c r="N46" s="160">
        <v>25401726.260000002</v>
      </c>
      <c r="O46" s="160">
        <v>33679241.530000001</v>
      </c>
      <c r="P46" s="160">
        <v>30731068.659999993</v>
      </c>
      <c r="Q46" s="160">
        <v>34754428.659999996</v>
      </c>
      <c r="R46" s="160">
        <v>86074511.290000021</v>
      </c>
      <c r="S46" s="521">
        <f t="shared" si="7"/>
        <v>429406210.39000005</v>
      </c>
      <c r="T46" s="522">
        <f t="shared" si="6"/>
        <v>5.7567227318753345</v>
      </c>
      <c r="U46" s="472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27899068.32</v>
      </c>
      <c r="Q47" s="160">
        <v>24238274.819999997</v>
      </c>
      <c r="R47" s="160">
        <v>91475231.98999998</v>
      </c>
      <c r="S47" s="521">
        <f t="shared" si="7"/>
        <v>280754371.82999992</v>
      </c>
      <c r="T47" s="522">
        <f t="shared" si="6"/>
        <v>3.7638605015033075</v>
      </c>
      <c r="U47" s="472"/>
      <c r="V47" s="275"/>
      <c r="W47" s="292"/>
      <c r="X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3778637.9000000004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0.65434896362391015</v>
      </c>
      <c r="U49" s="472"/>
    </row>
    <row r="50" spans="1:21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7.8418027076046767E-2</v>
      </c>
      <c r="U50" s="472"/>
    </row>
    <row r="51" spans="1:21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2277126.5499999989</v>
      </c>
      <c r="N51" s="430">
        <v>644150.00000000012</v>
      </c>
      <c r="O51" s="430">
        <v>1059498.3099999998</v>
      </c>
      <c r="P51" s="430">
        <v>886392.03999999992</v>
      </c>
      <c r="Q51" s="430">
        <v>1087506.1600000001</v>
      </c>
      <c r="R51" s="430">
        <v>2189241.63</v>
      </c>
      <c r="S51" s="398">
        <f>+SUM(G51:R51)</f>
        <v>20476534.929999996</v>
      </c>
      <c r="T51" s="440">
        <f t="shared" si="6"/>
        <v>0.27451334249337023</v>
      </c>
      <c r="U51" s="472"/>
    </row>
    <row r="52" spans="1:21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" si="18">+G10-G29</f>
        <v>13013809.830000013</v>
      </c>
      <c r="H53" s="136">
        <f t="shared" ref="H53:L53" si="19">+H10-H29</f>
        <v>-34108473.029999971</v>
      </c>
      <c r="I53" s="136">
        <f t="shared" si="19"/>
        <v>13427611.140000045</v>
      </c>
      <c r="J53" s="136">
        <f t="shared" si="19"/>
        <v>58691867.169999987</v>
      </c>
      <c r="K53" s="136">
        <f t="shared" si="19"/>
        <v>-18822884.970000058</v>
      </c>
      <c r="L53" s="136">
        <f t="shared" si="19"/>
        <v>-1713511.0399999917</v>
      </c>
      <c r="M53" s="136">
        <f t="shared" ref="M53:R53" si="20">+M10-M29</f>
        <v>14337226.990000069</v>
      </c>
      <c r="N53" s="136">
        <f t="shared" si="20"/>
        <v>50685103.800000042</v>
      </c>
      <c r="O53" s="136">
        <f t="shared" si="20"/>
        <v>-6536541.619999975</v>
      </c>
      <c r="P53" s="136">
        <f t="shared" si="20"/>
        <v>-11997160.029999971</v>
      </c>
      <c r="Q53" s="136">
        <f t="shared" si="20"/>
        <v>-76632881.549999982</v>
      </c>
      <c r="R53" s="136">
        <f t="shared" si="20"/>
        <v>-231264561.49999991</v>
      </c>
      <c r="S53" s="530">
        <f>SUM(G53:R53)</f>
        <v>-230920394.8099997</v>
      </c>
      <c r="T53" s="531">
        <f t="shared" si="6"/>
        <v>-3.0957742433417534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" si="21">+G53+G36</f>
        <v>17043139.300000012</v>
      </c>
      <c r="H54" s="190">
        <f t="shared" ref="H54:L54" si="22">+H53+H36</f>
        <v>-29979281.06999997</v>
      </c>
      <c r="I54" s="190">
        <f t="shared" si="22"/>
        <v>20615459.830000043</v>
      </c>
      <c r="J54" s="190">
        <f t="shared" si="22"/>
        <v>89844724.049999982</v>
      </c>
      <c r="K54" s="190">
        <f t="shared" si="22"/>
        <v>-10750158.380000059</v>
      </c>
      <c r="L54" s="190">
        <f t="shared" si="22"/>
        <v>4140852.2500000093</v>
      </c>
      <c r="M54" s="190">
        <f t="shared" ref="M54:R54" si="23">+M53+M36</f>
        <v>18076076.690000068</v>
      </c>
      <c r="N54" s="190">
        <f t="shared" si="23"/>
        <v>54662756.480000041</v>
      </c>
      <c r="O54" s="190">
        <f t="shared" si="23"/>
        <v>19429902.880000029</v>
      </c>
      <c r="P54" s="190">
        <f t="shared" si="23"/>
        <v>2872690.6300000269</v>
      </c>
      <c r="Q54" s="190">
        <f t="shared" si="23"/>
        <v>-63544739.719999984</v>
      </c>
      <c r="R54" s="190">
        <f t="shared" si="23"/>
        <v>-204048336.55999991</v>
      </c>
      <c r="S54" s="530">
        <f t="shared" si="7"/>
        <v>-81636913.619999692</v>
      </c>
      <c r="T54" s="531">
        <f t="shared" si="6"/>
        <v>-1.0944440602513923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59757330.13000001</v>
      </c>
      <c r="J55" s="160">
        <f t="shared" si="25"/>
        <v>117170926.2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7153919.7600000007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495639249.9600001</v>
      </c>
      <c r="T55" s="533">
        <f t="shared" si="6"/>
        <v>6.6446587590406665</v>
      </c>
    </row>
    <row r="56" spans="1:21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554">
        <v>2494755.4499999997</v>
      </c>
      <c r="H56" s="554">
        <v>2954245.6799999997</v>
      </c>
      <c r="I56" s="554">
        <v>23477657.120000005</v>
      </c>
      <c r="J56" s="554">
        <v>95643965.920000002</v>
      </c>
      <c r="K56" s="554">
        <v>9858911.2700000014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9977859.9299999978</v>
      </c>
      <c r="R56" s="196">
        <v>13242556.039999997</v>
      </c>
      <c r="S56" s="235">
        <f t="shared" si="7"/>
        <v>206764325.04000002</v>
      </c>
      <c r="T56" s="444">
        <f t="shared" si="6"/>
        <v>2.7719321735416327</v>
      </c>
    </row>
    <row r="57" spans="1:21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554">
        <v>32313186.740000002</v>
      </c>
      <c r="H57" s="554">
        <v>3787783.5300000007</v>
      </c>
      <c r="I57" s="554">
        <v>36279673.010000005</v>
      </c>
      <c r="J57" s="554">
        <v>21526960.279999997</v>
      </c>
      <c r="K57" s="554">
        <v>29335488.09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4512450.24</v>
      </c>
      <c r="Q57" s="554">
        <v>46829980.980000004</v>
      </c>
      <c r="R57" s="196">
        <v>23391696.940000001</v>
      </c>
      <c r="S57" s="235">
        <f t="shared" si="7"/>
        <v>288874924.92000002</v>
      </c>
      <c r="T57" s="444">
        <f t="shared" si="6"/>
        <v>3.8727265854990334</v>
      </c>
    </row>
    <row r="58" spans="1:21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4.3832552442194639E-2</v>
      </c>
    </row>
    <row r="59" spans="1:21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0</v>
      </c>
      <c r="O59" s="499">
        <v>841263.3</v>
      </c>
      <c r="P59" s="499">
        <v>716355.96</v>
      </c>
      <c r="Q59" s="499">
        <v>341199.15</v>
      </c>
      <c r="R59" s="432">
        <v>1073189.8700000001</v>
      </c>
      <c r="S59" s="532">
        <f>SUM(G59:R59)</f>
        <v>7895734.4800000004</v>
      </c>
      <c r="T59" s="534">
        <f t="shared" si="6"/>
        <v>0.10585211174422825</v>
      </c>
    </row>
    <row r="60" spans="1:21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-22508853.969999991</v>
      </c>
      <c r="H60" s="202">
        <f t="shared" ref="H60:L60" si="27">+H53-H55-H58-H59</f>
        <v>-41361812.239999972</v>
      </c>
      <c r="I60" s="202">
        <f t="shared" si="27"/>
        <v>-48653781.18999996</v>
      </c>
      <c r="J60" s="202">
        <f t="shared" si="27"/>
        <v>-59447143.130000018</v>
      </c>
      <c r="K60" s="202">
        <f t="shared" si="27"/>
        <v>-60179882.650000058</v>
      </c>
      <c r="L60" s="202">
        <f t="shared" si="27"/>
        <v>-53012930.079999991</v>
      </c>
      <c r="M60" s="202">
        <f t="shared" ref="M60" si="28">+M53-M55-M58-M59</f>
        <v>-21136417.299999934</v>
      </c>
      <c r="N60" s="202">
        <f t="shared" ref="N60" si="29">+N53-N55-N58-N59</f>
        <v>43103792.530000038</v>
      </c>
      <c r="O60" s="202">
        <f t="shared" ref="O60" si="30">+O53-O55-O58-O59</f>
        <v>-51903447.959999971</v>
      </c>
      <c r="P60" s="202">
        <f t="shared" ref="P60" si="31">+P53-P55-P58-P59</f>
        <v>-19870540.749999974</v>
      </c>
      <c r="Q60" s="202">
        <f t="shared" ref="Q60" si="32">+Q53-Q55-Q58-Q59</f>
        <v>-133781921.60999998</v>
      </c>
      <c r="R60" s="202">
        <f t="shared" ref="R60:S60" si="33">+R53-R55-R58-R59</f>
        <v>-268972004.3499999</v>
      </c>
      <c r="S60" s="532">
        <f t="shared" si="33"/>
        <v>-737724942.69999981</v>
      </c>
      <c r="T60" s="535">
        <f t="shared" si="6"/>
        <v>-9.8901176665688428</v>
      </c>
    </row>
    <row r="61" spans="1:21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22508853.969999991</v>
      </c>
      <c r="H61" s="136">
        <f t="shared" ref="H61:L61" si="34">+SUM(H62:H66)</f>
        <v>41361812.239999972</v>
      </c>
      <c r="I61" s="136">
        <f t="shared" si="34"/>
        <v>48653781.189999938</v>
      </c>
      <c r="J61" s="136">
        <f t="shared" si="34"/>
        <v>59447143.130000025</v>
      </c>
      <c r="K61" s="136">
        <f t="shared" si="34"/>
        <v>60179882.650000058</v>
      </c>
      <c r="L61" s="136">
        <f t="shared" si="34"/>
        <v>53012930.079999991</v>
      </c>
      <c r="M61" s="136">
        <f t="shared" ref="M61:R61" si="35">+SUM(M62:M66)</f>
        <v>21136417.299999934</v>
      </c>
      <c r="N61" s="136">
        <f t="shared" si="35"/>
        <v>-43103792.530000038</v>
      </c>
      <c r="O61" s="136">
        <f t="shared" si="35"/>
        <v>51903447.959999971</v>
      </c>
      <c r="P61" s="136">
        <f t="shared" si="35"/>
        <v>19870540.749999974</v>
      </c>
      <c r="Q61" s="136">
        <f t="shared" si="35"/>
        <v>133781921.60999998</v>
      </c>
      <c r="R61" s="136">
        <f t="shared" si="35"/>
        <v>268972004.3499999</v>
      </c>
      <c r="S61" s="536">
        <f t="shared" si="7"/>
        <v>737724942.69999981</v>
      </c>
      <c r="T61" s="537">
        <f t="shared" si="6"/>
        <v>9.8901176665688428</v>
      </c>
    </row>
    <row r="62" spans="1:21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554">
        <v>1570614.04</v>
      </c>
      <c r="H63" s="554">
        <v>1779527.23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5323879.3100000005</v>
      </c>
      <c r="N63" s="554">
        <v>98091.86</v>
      </c>
      <c r="O63" s="554">
        <v>4856753.8</v>
      </c>
      <c r="P63" s="554">
        <v>6239384.3199999994</v>
      </c>
      <c r="Q63" s="554">
        <v>10216784.279999999</v>
      </c>
      <c r="R63" s="196">
        <v>3834470.9</v>
      </c>
      <c r="S63" s="235">
        <f t="shared" si="7"/>
        <v>732900074.75999987</v>
      </c>
      <c r="T63" s="444">
        <f t="shared" si="6"/>
        <v>9.8254343287958115</v>
      </c>
    </row>
    <row r="64" spans="1:21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3.1659834087054493E-2</v>
      </c>
    </row>
    <row r="65" spans="1:20">
      <c r="A65" s="129">
        <v>73</v>
      </c>
      <c r="B65" s="596" t="s">
        <v>101</v>
      </c>
      <c r="C65" s="597"/>
      <c r="D65" s="597"/>
      <c r="E65" s="597"/>
      <c r="F65" s="597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482610.40999999992</v>
      </c>
      <c r="P65" s="160">
        <v>672233.76000000013</v>
      </c>
      <c r="Q65" s="160">
        <v>2331030.3800000004</v>
      </c>
      <c r="R65" s="160">
        <v>2884134.7699999996</v>
      </c>
      <c r="S65" s="228">
        <f t="shared" si="7"/>
        <v>20241376.960000001</v>
      </c>
      <c r="T65" s="437">
        <f t="shared" si="6"/>
        <v>0.27136075829983675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17767153.249999993</v>
      </c>
      <c r="H66" s="210">
        <f t="shared" ref="H66:L66" si="36">-H60-SUM(H62:H65)</f>
        <v>38062643.06999997</v>
      </c>
      <c r="I66" s="210">
        <f t="shared" si="36"/>
        <v>-643416237.55000007</v>
      </c>
      <c r="J66" s="210">
        <f t="shared" si="36"/>
        <v>53604360.51000002</v>
      </c>
      <c r="K66" s="210">
        <f t="shared" si="36"/>
        <v>58158936.530000061</v>
      </c>
      <c r="L66" s="210">
        <f t="shared" si="36"/>
        <v>47366948.649999991</v>
      </c>
      <c r="M66" s="210">
        <f t="shared" ref="M66:S66" si="37">-M60-SUM(M62:M65)</f>
        <v>12385279.359999932</v>
      </c>
      <c r="N66" s="210">
        <f t="shared" si="37"/>
        <v>-43872718.970000036</v>
      </c>
      <c r="O66" s="210">
        <f t="shared" si="37"/>
        <v>46512272.519999973</v>
      </c>
      <c r="P66" s="210">
        <f t="shared" si="37"/>
        <v>12830591.559999974</v>
      </c>
      <c r="Q66" s="210">
        <f t="shared" si="37"/>
        <v>121091237.16999999</v>
      </c>
      <c r="R66" s="210">
        <f t="shared" si="37"/>
        <v>261731450.4199999</v>
      </c>
      <c r="S66" s="238">
        <f t="shared" si="37"/>
        <v>-17778083.480000138</v>
      </c>
      <c r="T66" s="448">
        <f t="shared" si="6"/>
        <v>-0.23833725461385991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2024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7279700000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18" t="str">
        <f>+Master!G247</f>
        <v>Jan - Dec</v>
      </c>
      <c r="T84" s="620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27" t="s">
        <v>113</v>
      </c>
      <c r="C135" s="628"/>
      <c r="D135" s="628"/>
      <c r="E135" s="628"/>
      <c r="F135" s="628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53" t="str">
        <f>+VLOOKUP(LEFT($A136,LEN(A136)-1)*1,Master!$D$30:$G$226,4,FALSE)</f>
        <v>Nedostajuća sredstva</v>
      </c>
      <c r="C136" s="654"/>
      <c r="D136" s="654"/>
      <c r="E136" s="654"/>
      <c r="F136" s="654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27" t="str">
        <f>+VLOOKUP(LEFT($A137,LEN(A137)-1)*1,Master!$D$30:$G$226,4,FALSE)</f>
        <v>Finansiranje</v>
      </c>
      <c r="C137" s="628"/>
      <c r="D137" s="628"/>
      <c r="E137" s="628"/>
      <c r="F137" s="628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55" t="str">
        <f>+VLOOKUP(LEFT($A138,LEN(A138)-1)*1,Master!$D$30:$G$226,4,FALSE)</f>
        <v>Pozajmice i krediti od domaćih izvora</v>
      </c>
      <c r="C138" s="656"/>
      <c r="D138" s="656"/>
      <c r="E138" s="656"/>
      <c r="F138" s="656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49" t="str">
        <f>+VLOOKUP(LEFT($A139,LEN(A139)-1)*1,Master!$D$30:$G$226,4,FALSE)</f>
        <v>Pozajmice i krediti od inostranih izvora</v>
      </c>
      <c r="C139" s="650"/>
      <c r="D139" s="650"/>
      <c r="E139" s="650"/>
      <c r="F139" s="650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49" t="str">
        <f>+VLOOKUP(LEFT($A140,LEN(A140)-1)*1,Master!$D$30:$G$226,4,FALSE)</f>
        <v>Primici od prodaje imovine</v>
      </c>
      <c r="C140" s="650"/>
      <c r="D140" s="650"/>
      <c r="E140" s="650"/>
      <c r="F140" s="650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50"/>
  <sheetViews>
    <sheetView zoomScale="80" zoomScaleNormal="80" workbookViewId="0">
      <pane ySplit="1" topLeftCell="A2" activePane="bottomLeft" state="frozen"/>
      <selection pane="bottomLeft" activeCell="E5" sqref="E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869</v>
      </c>
      <c r="H6" s="219" t="s">
        <v>870</v>
      </c>
      <c r="I6" s="219" t="s">
        <v>871</v>
      </c>
      <c r="J6" s="219" t="s">
        <v>872</v>
      </c>
      <c r="K6" s="219" t="s">
        <v>873</v>
      </c>
      <c r="L6" s="219" t="s">
        <v>874</v>
      </c>
      <c r="M6" s="219" t="s">
        <v>875</v>
      </c>
      <c r="N6" s="219" t="s">
        <v>876</v>
      </c>
      <c r="O6" s="219" t="s">
        <v>877</v>
      </c>
      <c r="P6" s="219" t="s">
        <v>878</v>
      </c>
      <c r="Q6" s="219" t="s">
        <v>879</v>
      </c>
      <c r="R6" s="219" t="s">
        <v>880</v>
      </c>
      <c r="S6" s="218"/>
      <c r="T6" s="218"/>
    </row>
    <row r="7" spans="1:23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2025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7965400000</v>
      </c>
    </row>
    <row r="8" spans="1:23" ht="16.5" customHeight="1">
      <c r="A8" s="129"/>
      <c r="B8" s="566"/>
      <c r="C8" s="567"/>
      <c r="D8" s="567"/>
      <c r="E8" s="567"/>
      <c r="F8" s="568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3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513">
        <f>G11+G19+G24+G25+G26+G27+G28</f>
        <v>156750672.07999998</v>
      </c>
      <c r="H10" s="513">
        <f t="shared" ref="H10:L10" si="1">+H11+H19+SUM(H24:H28)</f>
        <v>178349396.47</v>
      </c>
      <c r="I10" s="513">
        <f t="shared" si="1"/>
        <v>245307196.66999999</v>
      </c>
      <c r="J10" s="513">
        <f t="shared" si="1"/>
        <v>0</v>
      </c>
      <c r="K10" s="513">
        <f t="shared" si="1"/>
        <v>0</v>
      </c>
      <c r="L10" s="513">
        <f t="shared" si="1"/>
        <v>0</v>
      </c>
      <c r="M10" s="513">
        <f t="shared" ref="M10:R10" si="2">+M11+M19+SUM(M24:M28)</f>
        <v>0</v>
      </c>
      <c r="N10" s="513">
        <f t="shared" si="2"/>
        <v>0</v>
      </c>
      <c r="O10" s="513">
        <f t="shared" si="2"/>
        <v>0</v>
      </c>
      <c r="P10" s="513">
        <f t="shared" si="2"/>
        <v>0</v>
      </c>
      <c r="Q10" s="513">
        <f t="shared" si="2"/>
        <v>0</v>
      </c>
      <c r="R10" s="513">
        <f t="shared" si="2"/>
        <v>0</v>
      </c>
      <c r="S10" s="514">
        <f>+SUM(G10:R10)</f>
        <v>580407265.21999991</v>
      </c>
      <c r="T10" s="515">
        <f>+S10/$T$7*100</f>
        <v>7.2866053835337823</v>
      </c>
    </row>
    <row r="11" spans="1:23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516">
        <f t="shared" ref="G11:I11" si="3">+SUM(G12:G18)</f>
        <v>132702629.50999999</v>
      </c>
      <c r="H11" s="516">
        <f t="shared" si="3"/>
        <v>134657233.55000001</v>
      </c>
      <c r="I11" s="516">
        <f t="shared" si="3"/>
        <v>202518041.17999998</v>
      </c>
      <c r="J11" s="516">
        <f>+SUM(J12:J18)</f>
        <v>0</v>
      </c>
      <c r="K11" s="516">
        <f>+SUM(K12:K18)</f>
        <v>0</v>
      </c>
      <c r="L11" s="516">
        <f>+SUM(L12:L18)</f>
        <v>0</v>
      </c>
      <c r="M11" s="516">
        <f t="shared" ref="M11:R11" si="4">+SUM(M12:M18)</f>
        <v>0</v>
      </c>
      <c r="N11" s="516">
        <f t="shared" si="4"/>
        <v>0</v>
      </c>
      <c r="O11" s="516">
        <f t="shared" si="4"/>
        <v>0</v>
      </c>
      <c r="P11" s="516">
        <f t="shared" si="4"/>
        <v>0</v>
      </c>
      <c r="Q11" s="516">
        <f t="shared" si="4"/>
        <v>0</v>
      </c>
      <c r="R11" s="517">
        <f t="shared" si="4"/>
        <v>0</v>
      </c>
      <c r="S11" s="518">
        <f>+SUM(G11:R11)</f>
        <v>469877904.24000001</v>
      </c>
      <c r="T11" s="519">
        <f t="shared" ref="T11:T66" si="5">+S11/$T$7*100</f>
        <v>5.8989869214352071</v>
      </c>
    </row>
    <row r="12" spans="1:23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499">
        <v>3030555.43</v>
      </c>
      <c r="H12" s="499">
        <v>8431658.6199999992</v>
      </c>
      <c r="I12" s="499">
        <v>8822636.5500000007</v>
      </c>
      <c r="J12" s="499"/>
      <c r="K12" s="499"/>
      <c r="L12" s="148"/>
      <c r="M12" s="148"/>
      <c r="N12" s="148"/>
      <c r="O12" s="148"/>
      <c r="P12" s="148"/>
      <c r="Q12" s="148"/>
      <c r="R12" s="148"/>
      <c r="S12" s="227">
        <f>+SUM(G12:R12)</f>
        <v>20284850.600000001</v>
      </c>
      <c r="T12" s="436">
        <f t="shared" si="5"/>
        <v>0.25466204584829388</v>
      </c>
    </row>
    <row r="13" spans="1:23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499">
        <v>4758743.22</v>
      </c>
      <c r="H13" s="499">
        <v>4374185.16</v>
      </c>
      <c r="I13" s="499">
        <v>69066545.549999997</v>
      </c>
      <c r="J13" s="499"/>
      <c r="K13" s="499"/>
      <c r="L13" s="148"/>
      <c r="M13" s="148"/>
      <c r="N13" s="148"/>
      <c r="O13" s="148"/>
      <c r="P13" s="148"/>
      <c r="Q13" s="148"/>
      <c r="R13" s="148"/>
      <c r="S13" s="227">
        <f t="shared" ref="S13:S65" si="6">+SUM(G13:R13)</f>
        <v>78199473.929999992</v>
      </c>
      <c r="T13" s="436">
        <f t="shared" si="5"/>
        <v>0.98173944723428819</v>
      </c>
      <c r="V13" s="276"/>
      <c r="W13" s="494"/>
    </row>
    <row r="14" spans="1:23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499">
        <v>0</v>
      </c>
      <c r="H14" s="499">
        <v>0</v>
      </c>
      <c r="I14" s="499">
        <v>0</v>
      </c>
      <c r="J14" s="499"/>
      <c r="K14" s="499"/>
      <c r="L14" s="148"/>
      <c r="M14" s="148"/>
      <c r="N14" s="148"/>
      <c r="O14" s="148"/>
      <c r="P14" s="148"/>
      <c r="Q14" s="148"/>
      <c r="R14" s="148"/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499">
        <v>96606704.819999993</v>
      </c>
      <c r="H15" s="499">
        <v>90486320.040000007</v>
      </c>
      <c r="I15" s="499">
        <v>95190601.359999999</v>
      </c>
      <c r="J15" s="499"/>
      <c r="K15" s="499"/>
      <c r="L15" s="148"/>
      <c r="M15" s="148"/>
      <c r="N15" s="148"/>
      <c r="O15" s="148"/>
      <c r="P15" s="148"/>
      <c r="Q15" s="148"/>
      <c r="R15" s="148"/>
      <c r="S15" s="227">
        <f t="shared" si="6"/>
        <v>282283626.22000003</v>
      </c>
      <c r="T15" s="436">
        <f t="shared" si="5"/>
        <v>3.5438725766439854</v>
      </c>
      <c r="V15" s="276"/>
      <c r="W15" s="494"/>
    </row>
    <row r="16" spans="1:23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499">
        <v>23651764.850000001</v>
      </c>
      <c r="H16" s="499">
        <v>25416734.460000001</v>
      </c>
      <c r="I16" s="499">
        <v>22396675.600000001</v>
      </c>
      <c r="J16" s="499"/>
      <c r="K16" s="499"/>
      <c r="L16" s="148"/>
      <c r="M16" s="148"/>
      <c r="N16" s="148"/>
      <c r="O16" s="148"/>
      <c r="P16" s="148"/>
      <c r="Q16" s="148"/>
      <c r="R16" s="148"/>
      <c r="S16" s="227">
        <f t="shared" si="6"/>
        <v>71465174.909999996</v>
      </c>
      <c r="T16" s="436">
        <f t="shared" si="5"/>
        <v>0.89719505498782226</v>
      </c>
      <c r="V16" s="276"/>
      <c r="W16" s="494"/>
    </row>
    <row r="17" spans="1:23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499">
        <v>3527264.2</v>
      </c>
      <c r="H17" s="499">
        <v>4794688.67</v>
      </c>
      <c r="I17" s="499">
        <v>5839125.4400000004</v>
      </c>
      <c r="J17" s="499"/>
      <c r="K17" s="499"/>
      <c r="L17" s="148"/>
      <c r="M17" s="148"/>
      <c r="N17" s="148"/>
      <c r="O17" s="148"/>
      <c r="P17" s="148"/>
      <c r="Q17" s="148"/>
      <c r="R17" s="148"/>
      <c r="S17" s="227">
        <f t="shared" si="6"/>
        <v>14161078.310000001</v>
      </c>
      <c r="T17" s="436">
        <f t="shared" si="5"/>
        <v>0.17778238770181032</v>
      </c>
      <c r="V17" s="276"/>
      <c r="W17" s="494"/>
    </row>
    <row r="18" spans="1:23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499">
        <v>1127596.99</v>
      </c>
      <c r="H18" s="499">
        <v>1153646.6000000001</v>
      </c>
      <c r="I18" s="499">
        <v>1202456.68</v>
      </c>
      <c r="J18" s="499"/>
      <c r="K18" s="499"/>
      <c r="L18" s="148"/>
      <c r="M18" s="148"/>
      <c r="N18" s="148"/>
      <c r="O18" s="148"/>
      <c r="P18" s="148"/>
      <c r="Q18" s="148"/>
      <c r="R18" s="148"/>
      <c r="S18" s="227">
        <f t="shared" si="6"/>
        <v>3483700.2699999996</v>
      </c>
      <c r="T18" s="436">
        <f t="shared" si="5"/>
        <v>4.3735409019007201E-2</v>
      </c>
      <c r="V18" s="276"/>
      <c r="W18" s="494"/>
    </row>
    <row r="19" spans="1:23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520">
        <f t="shared" ref="G19:R19" si="7">SUM(G20:G23)</f>
        <v>16612975.690000001</v>
      </c>
      <c r="H19" s="520">
        <f t="shared" si="7"/>
        <v>35354452.780000001</v>
      </c>
      <c r="I19" s="520">
        <f t="shared" si="7"/>
        <v>32433143.130000003</v>
      </c>
      <c r="J19" s="520">
        <f t="shared" si="7"/>
        <v>0</v>
      </c>
      <c r="K19" s="520">
        <f t="shared" si="7"/>
        <v>0</v>
      </c>
      <c r="L19" s="520">
        <f t="shared" si="7"/>
        <v>0</v>
      </c>
      <c r="M19" s="520">
        <f t="shared" si="7"/>
        <v>0</v>
      </c>
      <c r="N19" s="520">
        <f t="shared" si="7"/>
        <v>0</v>
      </c>
      <c r="O19" s="520">
        <f t="shared" si="7"/>
        <v>0</v>
      </c>
      <c r="P19" s="520">
        <f t="shared" si="7"/>
        <v>0</v>
      </c>
      <c r="Q19" s="520">
        <f t="shared" si="7"/>
        <v>0</v>
      </c>
      <c r="R19" s="520">
        <f t="shared" si="7"/>
        <v>0</v>
      </c>
      <c r="S19" s="521">
        <f t="shared" si="6"/>
        <v>84400571.599999994</v>
      </c>
      <c r="T19" s="522">
        <f t="shared" si="5"/>
        <v>1.0595898711929093</v>
      </c>
      <c r="V19" s="276"/>
      <c r="W19" s="494"/>
    </row>
    <row r="20" spans="1:23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499">
        <v>14262452.49</v>
      </c>
      <c r="H20" s="499">
        <v>29554149.210000001</v>
      </c>
      <c r="I20" s="499">
        <v>27476313.780000001</v>
      </c>
      <c r="J20" s="499"/>
      <c r="K20" s="499"/>
      <c r="L20" s="148"/>
      <c r="M20" s="148"/>
      <c r="N20" s="148"/>
      <c r="O20" s="148"/>
      <c r="P20" s="148"/>
      <c r="Q20" s="148"/>
      <c r="R20" s="148"/>
      <c r="S20" s="227">
        <f>+SUM(G20:R20)</f>
        <v>71292915.480000004</v>
      </c>
      <c r="T20" s="436">
        <f t="shared" si="5"/>
        <v>0.8950324588846762</v>
      </c>
      <c r="V20" s="276"/>
      <c r="W20" s="494"/>
    </row>
    <row r="21" spans="1:23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499">
        <v>314658.88</v>
      </c>
      <c r="H21" s="499">
        <v>1154569.93</v>
      </c>
      <c r="I21" s="499">
        <v>583561.47</v>
      </c>
      <c r="J21" s="499"/>
      <c r="K21" s="499"/>
      <c r="L21" s="148"/>
      <c r="M21" s="148"/>
      <c r="N21" s="148"/>
      <c r="O21" s="148"/>
      <c r="P21" s="148"/>
      <c r="Q21" s="148"/>
      <c r="R21" s="148"/>
      <c r="S21" s="227">
        <f t="shared" si="6"/>
        <v>2052790.28</v>
      </c>
      <c r="T21" s="436">
        <f t="shared" si="5"/>
        <v>2.5771339543525746E-2</v>
      </c>
      <c r="V21" s="276"/>
      <c r="W21" s="494"/>
    </row>
    <row r="22" spans="1:23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499">
        <v>1216722.56</v>
      </c>
      <c r="H22" s="499">
        <v>2764148.03</v>
      </c>
      <c r="I22" s="499">
        <v>2567338.7400000002</v>
      </c>
      <c r="J22" s="499"/>
      <c r="K22" s="499"/>
      <c r="L22" s="148"/>
      <c r="M22" s="148"/>
      <c r="N22" s="148"/>
      <c r="O22" s="148"/>
      <c r="P22" s="148"/>
      <c r="Q22" s="148"/>
      <c r="R22" s="148"/>
      <c r="S22" s="227">
        <f t="shared" si="6"/>
        <v>6548209.3300000001</v>
      </c>
      <c r="T22" s="436">
        <f t="shared" si="5"/>
        <v>8.2208166947045982E-2</v>
      </c>
    </row>
    <row r="23" spans="1:23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499">
        <v>819141.76</v>
      </c>
      <c r="H23" s="499">
        <v>1881585.61</v>
      </c>
      <c r="I23" s="499">
        <v>1805929.14</v>
      </c>
      <c r="J23" s="499"/>
      <c r="K23" s="499"/>
      <c r="L23" s="148"/>
      <c r="M23" s="148"/>
      <c r="N23" s="148"/>
      <c r="O23" s="148"/>
      <c r="P23" s="148"/>
      <c r="Q23" s="148"/>
      <c r="R23" s="148"/>
      <c r="S23" s="227">
        <f t="shared" si="6"/>
        <v>4506656.51</v>
      </c>
      <c r="T23" s="436">
        <f t="shared" si="5"/>
        <v>5.6577905817661381E-2</v>
      </c>
      <c r="V23" s="495"/>
      <c r="W23" s="494"/>
    </row>
    <row r="24" spans="1:23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876568.74</v>
      </c>
      <c r="H24" s="160">
        <v>1052557.3699999999</v>
      </c>
      <c r="I24" s="160">
        <v>1058406.27</v>
      </c>
      <c r="J24" s="160"/>
      <c r="K24" s="160"/>
      <c r="L24" s="523"/>
      <c r="M24" s="523"/>
      <c r="N24" s="523"/>
      <c r="O24" s="523"/>
      <c r="P24" s="523"/>
      <c r="Q24" s="523"/>
      <c r="R24" s="523"/>
      <c r="S24" s="521">
        <f t="shared" si="6"/>
        <v>2987532.38</v>
      </c>
      <c r="T24" s="522">
        <f t="shared" si="5"/>
        <v>3.7506369799382322E-2</v>
      </c>
    </row>
    <row r="25" spans="1:23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4273770.1400000006</v>
      </c>
      <c r="H25" s="160">
        <v>3496530.8</v>
      </c>
      <c r="I25" s="160">
        <v>4383671.12</v>
      </c>
      <c r="J25" s="160"/>
      <c r="K25" s="160"/>
      <c r="L25" s="523"/>
      <c r="M25" s="523"/>
      <c r="N25" s="523"/>
      <c r="O25" s="523"/>
      <c r="P25" s="523"/>
      <c r="Q25" s="523"/>
      <c r="R25" s="523"/>
      <c r="S25" s="521">
        <f t="shared" si="6"/>
        <v>12153972.060000001</v>
      </c>
      <c r="T25" s="522">
        <f t="shared" si="5"/>
        <v>0.15258457905441034</v>
      </c>
    </row>
    <row r="26" spans="1:23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2284728</v>
      </c>
      <c r="H26" s="160">
        <v>2935771.86</v>
      </c>
      <c r="I26" s="160">
        <v>2897666.37</v>
      </c>
      <c r="J26" s="160"/>
      <c r="K26" s="160"/>
      <c r="L26" s="523"/>
      <c r="M26" s="523"/>
      <c r="N26" s="523"/>
      <c r="O26" s="523"/>
      <c r="P26" s="523"/>
      <c r="Q26" s="523"/>
      <c r="R26" s="523"/>
      <c r="S26" s="521">
        <f t="shared" si="6"/>
        <v>8118166.2299999995</v>
      </c>
      <c r="T26" s="522">
        <f t="shared" si="5"/>
        <v>0.1019178726743164</v>
      </c>
    </row>
    <row r="27" spans="1:23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/>
      <c r="K27" s="160"/>
      <c r="L27" s="523"/>
      <c r="M27" s="523"/>
      <c r="N27" s="523"/>
      <c r="O27" s="523"/>
      <c r="P27" s="523"/>
      <c r="Q27" s="523"/>
      <c r="R27" s="523"/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0</v>
      </c>
      <c r="H28" s="160">
        <v>852850.11</v>
      </c>
      <c r="I28" s="160">
        <v>2016268.6</v>
      </c>
      <c r="J28" s="160"/>
      <c r="K28" s="160"/>
      <c r="L28" s="523"/>
      <c r="M28" s="523"/>
      <c r="N28" s="523"/>
      <c r="O28" s="523"/>
      <c r="P28" s="523"/>
      <c r="Q28" s="523"/>
      <c r="R28" s="523"/>
      <c r="S28" s="521">
        <f t="shared" si="6"/>
        <v>2869118.71</v>
      </c>
      <c r="T28" s="524">
        <f t="shared" si="5"/>
        <v>3.6019769377557936E-2</v>
      </c>
    </row>
    <row r="29" spans="1:23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154390546.60999992</v>
      </c>
      <c r="H29" s="136">
        <f t="shared" ref="H29:L29" si="8">+H30+H40+H46+SUM(H47:H51)</f>
        <v>212760650.81</v>
      </c>
      <c r="I29" s="136">
        <f t="shared" si="8"/>
        <v>277144296.42000002</v>
      </c>
      <c r="J29" s="136">
        <f t="shared" si="8"/>
        <v>0</v>
      </c>
      <c r="K29" s="136">
        <f t="shared" si="8"/>
        <v>0</v>
      </c>
      <c r="L29" s="136">
        <f t="shared" si="8"/>
        <v>0</v>
      </c>
      <c r="M29" s="136">
        <f t="shared" ref="M29:R29" si="9">+M30+M40+M46+SUM(M47:M51)</f>
        <v>0</v>
      </c>
      <c r="N29" s="136">
        <f t="shared" si="9"/>
        <v>0</v>
      </c>
      <c r="O29" s="136">
        <f t="shared" si="9"/>
        <v>0</v>
      </c>
      <c r="P29" s="136">
        <f t="shared" si="9"/>
        <v>0</v>
      </c>
      <c r="Q29" s="136">
        <f t="shared" si="9"/>
        <v>0</v>
      </c>
      <c r="R29" s="136">
        <f t="shared" si="9"/>
        <v>0</v>
      </c>
      <c r="S29" s="525">
        <f t="shared" si="6"/>
        <v>644295493.83999991</v>
      </c>
      <c r="T29" s="526">
        <f t="shared" si="5"/>
        <v>8.0886772018982089</v>
      </c>
    </row>
    <row r="30" spans="1:23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" si="10">+SUM(G31:G39)</f>
        <v>62043543.54999999</v>
      </c>
      <c r="H30" s="172">
        <f t="shared" ref="H30:L30" si="11">+SUM(H31:H39)</f>
        <v>75178364.720000029</v>
      </c>
      <c r="I30" s="172">
        <f t="shared" si="11"/>
        <v>110904466.10000001</v>
      </c>
      <c r="J30" s="172">
        <f t="shared" si="11"/>
        <v>0</v>
      </c>
      <c r="K30" s="172">
        <f t="shared" si="11"/>
        <v>0</v>
      </c>
      <c r="L30" s="172">
        <f t="shared" si="11"/>
        <v>0</v>
      </c>
      <c r="M30" s="172">
        <f t="shared" ref="M30:R30" si="12">+SUM(M31:M39)</f>
        <v>0</v>
      </c>
      <c r="N30" s="172">
        <f t="shared" si="12"/>
        <v>0</v>
      </c>
      <c r="O30" s="172">
        <f t="shared" si="12"/>
        <v>0</v>
      </c>
      <c r="P30" s="172">
        <f t="shared" si="12"/>
        <v>0</v>
      </c>
      <c r="Q30" s="172">
        <f t="shared" si="12"/>
        <v>0</v>
      </c>
      <c r="R30" s="231">
        <f t="shared" si="12"/>
        <v>0</v>
      </c>
      <c r="S30" s="527">
        <f t="shared" si="6"/>
        <v>248126374.37</v>
      </c>
      <c r="T30" s="519">
        <f t="shared" si="5"/>
        <v>3.1150522807391967</v>
      </c>
      <c r="U30" s="472"/>
    </row>
    <row r="31" spans="1:23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499">
        <v>55836509.87999998</v>
      </c>
      <c r="H31" s="499">
        <v>57530041.020000026</v>
      </c>
      <c r="I31" s="499">
        <v>56241192.140000015</v>
      </c>
      <c r="J31" s="499"/>
      <c r="K31" s="499"/>
      <c r="L31" s="499"/>
      <c r="M31" s="499"/>
      <c r="N31" s="499"/>
      <c r="O31" s="499"/>
      <c r="P31" s="499"/>
      <c r="Q31" s="499"/>
      <c r="R31" s="148"/>
      <c r="S31" s="227">
        <f t="shared" si="6"/>
        <v>169607743.04000002</v>
      </c>
      <c r="T31" s="436">
        <f t="shared" si="5"/>
        <v>2.1293060366083312</v>
      </c>
      <c r="U31" s="472"/>
    </row>
    <row r="32" spans="1:23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499">
        <v>31766.52</v>
      </c>
      <c r="H32" s="499">
        <v>1842166.1700000016</v>
      </c>
      <c r="I32" s="499">
        <v>1859578.6300000004</v>
      </c>
      <c r="J32" s="499"/>
      <c r="K32" s="499"/>
      <c r="L32" s="499"/>
      <c r="M32" s="499"/>
      <c r="N32" s="499"/>
      <c r="O32" s="499"/>
      <c r="P32" s="499"/>
      <c r="Q32" s="499"/>
      <c r="R32" s="148"/>
      <c r="S32" s="227">
        <f t="shared" si="6"/>
        <v>3733511.3200000022</v>
      </c>
      <c r="T32" s="436">
        <f t="shared" si="5"/>
        <v>4.6871611218520126E-2</v>
      </c>
      <c r="U32" s="472"/>
    </row>
    <row r="33" spans="1:23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499">
        <v>39625.339999999997</v>
      </c>
      <c r="H33" s="499">
        <v>1487088.8500000003</v>
      </c>
      <c r="I33" s="499">
        <v>4592024.6900000004</v>
      </c>
      <c r="J33" s="499"/>
      <c r="K33" s="499"/>
      <c r="L33" s="499"/>
      <c r="M33" s="499"/>
      <c r="N33" s="499"/>
      <c r="O33" s="499"/>
      <c r="P33" s="499"/>
      <c r="Q33" s="499"/>
      <c r="R33" s="148"/>
      <c r="S33" s="227">
        <f t="shared" si="6"/>
        <v>6118738.8800000008</v>
      </c>
      <c r="T33" s="436">
        <f t="shared" si="5"/>
        <v>7.681646722072967E-2</v>
      </c>
      <c r="U33" s="472"/>
    </row>
    <row r="34" spans="1:23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499">
        <v>1245697.8400000001</v>
      </c>
      <c r="H34" s="499">
        <v>3162648.5499999993</v>
      </c>
      <c r="I34" s="499">
        <v>5719644.3200000012</v>
      </c>
      <c r="J34" s="499"/>
      <c r="K34" s="499"/>
      <c r="L34" s="499"/>
      <c r="M34" s="499"/>
      <c r="N34" s="499"/>
      <c r="O34" s="499"/>
      <c r="P34" s="499"/>
      <c r="Q34" s="499"/>
      <c r="R34" s="148"/>
      <c r="S34" s="227">
        <f t="shared" si="6"/>
        <v>10127990.710000001</v>
      </c>
      <c r="T34" s="436">
        <f t="shared" si="5"/>
        <v>0.12714980678936402</v>
      </c>
      <c r="U34" s="472"/>
    </row>
    <row r="35" spans="1:23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499">
        <v>1721.01</v>
      </c>
      <c r="H35" s="499">
        <v>948846.46</v>
      </c>
      <c r="I35" s="499">
        <v>3236889.07</v>
      </c>
      <c r="J35" s="499"/>
      <c r="K35" s="499"/>
      <c r="L35" s="499"/>
      <c r="M35" s="499"/>
      <c r="N35" s="499"/>
      <c r="O35" s="499"/>
      <c r="P35" s="499"/>
      <c r="Q35" s="499"/>
      <c r="R35" s="148"/>
      <c r="S35" s="227">
        <f t="shared" si="6"/>
        <v>4187456.54</v>
      </c>
      <c r="T35" s="436">
        <f t="shared" si="5"/>
        <v>5.2570574484646096E-2</v>
      </c>
      <c r="U35" s="472"/>
    </row>
    <row r="36" spans="1:23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499">
        <v>3788619.5500000003</v>
      </c>
      <c r="H36" s="499">
        <v>3320574.02</v>
      </c>
      <c r="I36" s="499">
        <v>24471807.800000001</v>
      </c>
      <c r="J36" s="499"/>
      <c r="K36" s="499"/>
      <c r="L36" s="499"/>
      <c r="M36" s="499"/>
      <c r="N36" s="499"/>
      <c r="O36" s="499"/>
      <c r="P36" s="499"/>
      <c r="Q36" s="499"/>
      <c r="R36" s="148"/>
      <c r="S36" s="227">
        <f>+SUM(G36:R36)</f>
        <v>31581001.370000001</v>
      </c>
      <c r="T36" s="436">
        <f t="shared" si="5"/>
        <v>0.3964772813669119</v>
      </c>
      <c r="U36" s="472"/>
    </row>
    <row r="37" spans="1:23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499">
        <v>17739.240000000002</v>
      </c>
      <c r="H37" s="499">
        <v>658913.61</v>
      </c>
      <c r="I37" s="499">
        <v>1423673.45</v>
      </c>
      <c r="J37" s="499"/>
      <c r="K37" s="499"/>
      <c r="L37" s="499"/>
      <c r="M37" s="499"/>
      <c r="N37" s="499"/>
      <c r="O37" s="499"/>
      <c r="P37" s="499"/>
      <c r="Q37" s="499"/>
      <c r="R37" s="148"/>
      <c r="S37" s="227">
        <f t="shared" si="6"/>
        <v>2100326.2999999998</v>
      </c>
      <c r="T37" s="436">
        <f t="shared" si="5"/>
        <v>2.6368120872774747E-2</v>
      </c>
      <c r="U37" s="472"/>
    </row>
    <row r="38" spans="1:23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499">
        <v>651862.92999999982</v>
      </c>
      <c r="H38" s="499">
        <v>4133251.8899999931</v>
      </c>
      <c r="I38" s="499">
        <v>6084455.6399999969</v>
      </c>
      <c r="J38" s="499"/>
      <c r="K38" s="499"/>
      <c r="L38" s="499"/>
      <c r="M38" s="499"/>
      <c r="N38" s="499"/>
      <c r="O38" s="499"/>
      <c r="P38" s="499"/>
      <c r="Q38" s="499"/>
      <c r="R38" s="148"/>
      <c r="S38" s="227">
        <f t="shared" si="6"/>
        <v>10869570.45999999</v>
      </c>
      <c r="T38" s="436">
        <f t="shared" si="5"/>
        <v>0.13645981946920419</v>
      </c>
      <c r="U38" s="472"/>
    </row>
    <row r="39" spans="1:23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499">
        <v>430001.24</v>
      </c>
      <c r="H39" s="499">
        <v>2094834.1499999992</v>
      </c>
      <c r="I39" s="499">
        <v>7275200.3600000003</v>
      </c>
      <c r="J39" s="499"/>
      <c r="K39" s="499"/>
      <c r="L39" s="499"/>
      <c r="M39" s="499"/>
      <c r="N39" s="499"/>
      <c r="O39" s="499"/>
      <c r="P39" s="499"/>
      <c r="Q39" s="499"/>
      <c r="R39" s="148"/>
      <c r="S39" s="227">
        <f t="shared" si="6"/>
        <v>9800035.75</v>
      </c>
      <c r="T39" s="436">
        <f t="shared" si="5"/>
        <v>0.1230325627087152</v>
      </c>
      <c r="U39" s="472"/>
    </row>
    <row r="40" spans="1:23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82168714.539999962</v>
      </c>
      <c r="H40" s="178">
        <f t="shared" ref="H40:L40" si="13">+SUM(H41:H45)</f>
        <v>94353481.819999963</v>
      </c>
      <c r="I40" s="178">
        <f t="shared" si="13"/>
        <v>92709109.359999999</v>
      </c>
      <c r="J40" s="178">
        <f t="shared" si="13"/>
        <v>0</v>
      </c>
      <c r="K40" s="178">
        <f t="shared" si="13"/>
        <v>0</v>
      </c>
      <c r="L40" s="178">
        <f t="shared" si="13"/>
        <v>0</v>
      </c>
      <c r="M40" s="178">
        <f t="shared" ref="M40:R40" si="14">+SUM(M41:M45)</f>
        <v>0</v>
      </c>
      <c r="N40" s="178">
        <f t="shared" si="14"/>
        <v>0</v>
      </c>
      <c r="O40" s="178">
        <f t="shared" si="14"/>
        <v>0</v>
      </c>
      <c r="P40" s="178">
        <f t="shared" si="14"/>
        <v>0</v>
      </c>
      <c r="Q40" s="178">
        <f t="shared" si="14"/>
        <v>0</v>
      </c>
      <c r="R40" s="178">
        <f t="shared" si="14"/>
        <v>0</v>
      </c>
      <c r="S40" s="528">
        <f t="shared" si="6"/>
        <v>269231305.71999991</v>
      </c>
      <c r="T40" s="529">
        <f t="shared" si="5"/>
        <v>3.3800098641625018</v>
      </c>
      <c r="U40" s="472"/>
    </row>
    <row r="41" spans="1:23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499">
        <v>19200151.200000003</v>
      </c>
      <c r="H41" s="499">
        <v>22395140.600000005</v>
      </c>
      <c r="I41" s="499">
        <v>21236495.860000007</v>
      </c>
      <c r="J41" s="499"/>
      <c r="K41" s="499"/>
      <c r="L41" s="499"/>
      <c r="M41" s="499"/>
      <c r="N41" s="499"/>
      <c r="O41" s="499"/>
      <c r="P41" s="499"/>
      <c r="Q41" s="499"/>
      <c r="R41" s="148"/>
      <c r="S41" s="227">
        <f t="shared" si="6"/>
        <v>62831787.660000019</v>
      </c>
      <c r="T41" s="436">
        <f t="shared" si="5"/>
        <v>0.78880894443468019</v>
      </c>
      <c r="U41" s="472"/>
    </row>
    <row r="42" spans="1:23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499">
        <v>37260</v>
      </c>
      <c r="H42" s="499">
        <v>2149155.9300000002</v>
      </c>
      <c r="I42" s="499">
        <v>2167887.46</v>
      </c>
      <c r="J42" s="499"/>
      <c r="K42" s="499"/>
      <c r="L42" s="499"/>
      <c r="M42" s="499"/>
      <c r="N42" s="499"/>
      <c r="O42" s="499"/>
      <c r="P42" s="499"/>
      <c r="Q42" s="499"/>
      <c r="R42" s="148"/>
      <c r="S42" s="227">
        <f t="shared" si="6"/>
        <v>4354303.3900000006</v>
      </c>
      <c r="T42" s="436">
        <f t="shared" si="5"/>
        <v>5.4665219449117439E-2</v>
      </c>
      <c r="U42" s="472"/>
    </row>
    <row r="43" spans="1:23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499">
        <v>62931303.339999951</v>
      </c>
      <c r="H43" s="499">
        <v>65497529.849999964</v>
      </c>
      <c r="I43" s="499">
        <v>65458140.899999991</v>
      </c>
      <c r="J43" s="499"/>
      <c r="K43" s="499"/>
      <c r="L43" s="499"/>
      <c r="M43" s="499"/>
      <c r="N43" s="499"/>
      <c r="O43" s="499"/>
      <c r="P43" s="499"/>
      <c r="Q43" s="499"/>
      <c r="R43" s="148"/>
      <c r="S43" s="227">
        <f t="shared" si="6"/>
        <v>193886974.08999991</v>
      </c>
      <c r="T43" s="436">
        <f t="shared" si="5"/>
        <v>2.4341147222989421</v>
      </c>
      <c r="U43" s="472"/>
    </row>
    <row r="44" spans="1:23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499">
        <v>0</v>
      </c>
      <c r="H44" s="499">
        <v>2943314.72</v>
      </c>
      <c r="I44" s="499">
        <v>1833014.77</v>
      </c>
      <c r="J44" s="499"/>
      <c r="K44" s="499"/>
      <c r="L44" s="499"/>
      <c r="M44" s="499"/>
      <c r="N44" s="499"/>
      <c r="O44" s="499"/>
      <c r="P44" s="499"/>
      <c r="Q44" s="499"/>
      <c r="R44" s="148"/>
      <c r="S44" s="227">
        <f t="shared" si="6"/>
        <v>4776329.49</v>
      </c>
      <c r="T44" s="436">
        <f t="shared" si="5"/>
        <v>5.9963460592060668E-2</v>
      </c>
      <c r="U44" s="472"/>
    </row>
    <row r="45" spans="1:23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499">
        <v>0</v>
      </c>
      <c r="H45" s="499">
        <v>1368340.7200000002</v>
      </c>
      <c r="I45" s="499">
        <v>2013570.3699999992</v>
      </c>
      <c r="J45" s="499"/>
      <c r="K45" s="499"/>
      <c r="L45" s="499"/>
      <c r="M45" s="499"/>
      <c r="N45" s="499"/>
      <c r="O45" s="499"/>
      <c r="P45" s="499"/>
      <c r="Q45" s="499"/>
      <c r="R45" s="148"/>
      <c r="S45" s="227">
        <f t="shared" si="6"/>
        <v>3381911.0899999994</v>
      </c>
      <c r="T45" s="436">
        <f t="shared" si="5"/>
        <v>4.2457517387701801E-2</v>
      </c>
      <c r="U45" s="472"/>
    </row>
    <row r="46" spans="1:23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4939804.07</v>
      </c>
      <c r="H46" s="160">
        <v>29118491.300000001</v>
      </c>
      <c r="I46" s="160">
        <v>48318574.230000004</v>
      </c>
      <c r="J46" s="160"/>
      <c r="K46" s="160"/>
      <c r="L46" s="160"/>
      <c r="M46" s="160"/>
      <c r="N46" s="160"/>
      <c r="O46" s="160"/>
      <c r="P46" s="160"/>
      <c r="Q46" s="160"/>
      <c r="R46" s="160"/>
      <c r="S46" s="521">
        <f t="shared" si="6"/>
        <v>82376869.600000009</v>
      </c>
      <c r="T46" s="522">
        <f t="shared" si="5"/>
        <v>1.0341837145654957</v>
      </c>
      <c r="U46" s="472"/>
    </row>
    <row r="47" spans="1:23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125800.66000000002</v>
      </c>
      <c r="H47" s="160">
        <v>11702685.83</v>
      </c>
      <c r="I47" s="160">
        <v>18927254.34</v>
      </c>
      <c r="J47" s="160"/>
      <c r="K47" s="160"/>
      <c r="L47" s="160"/>
      <c r="M47" s="160"/>
      <c r="N47" s="160"/>
      <c r="O47" s="160"/>
      <c r="P47" s="160"/>
      <c r="Q47" s="160"/>
      <c r="R47" s="160"/>
      <c r="S47" s="521">
        <f t="shared" si="6"/>
        <v>30755740.829999998</v>
      </c>
      <c r="T47" s="522">
        <f t="shared" si="5"/>
        <v>0.38611671516810203</v>
      </c>
      <c r="U47" s="472"/>
      <c r="V47" s="292"/>
      <c r="W47" s="292"/>
    </row>
    <row r="48" spans="1:23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499">
        <v>0</v>
      </c>
      <c r="H48" s="499">
        <v>0</v>
      </c>
      <c r="I48" s="499">
        <v>0</v>
      </c>
      <c r="J48" s="499"/>
      <c r="K48" s="499"/>
      <c r="L48" s="499"/>
      <c r="M48" s="499"/>
      <c r="N48" s="499"/>
      <c r="O48" s="499"/>
      <c r="P48" s="499"/>
      <c r="Q48" s="499"/>
      <c r="R48" s="148"/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499">
        <v>0</v>
      </c>
      <c r="H49" s="499">
        <v>209850</v>
      </c>
      <c r="I49" s="499">
        <v>4097639.84</v>
      </c>
      <c r="J49" s="499"/>
      <c r="K49" s="499"/>
      <c r="L49" s="499"/>
      <c r="M49" s="499"/>
      <c r="N49" s="499"/>
      <c r="O49" s="499"/>
      <c r="P49" s="499"/>
      <c r="Q49" s="499"/>
      <c r="R49" s="148"/>
      <c r="S49" s="227">
        <f t="shared" si="6"/>
        <v>4307489.84</v>
      </c>
      <c r="T49" s="436">
        <f t="shared" si="5"/>
        <v>5.4077508223064751E-2</v>
      </c>
      <c r="U49" s="472"/>
    </row>
    <row r="50" spans="1:21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499">
        <v>4062322.96</v>
      </c>
      <c r="H50" s="499">
        <v>0</v>
      </c>
      <c r="I50" s="499">
        <v>0</v>
      </c>
      <c r="J50" s="499"/>
      <c r="K50" s="499"/>
      <c r="L50" s="499"/>
      <c r="M50" s="499"/>
      <c r="N50" s="499"/>
      <c r="O50" s="499"/>
      <c r="P50" s="499"/>
      <c r="Q50" s="499"/>
      <c r="R50" s="148"/>
      <c r="S50" s="227">
        <f t="shared" si="6"/>
        <v>4062322.96</v>
      </c>
      <c r="T50" s="436">
        <f t="shared" si="5"/>
        <v>5.0999610314610686E-2</v>
      </c>
      <c r="U50" s="472"/>
    </row>
    <row r="51" spans="1:21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1050360.8299999998</v>
      </c>
      <c r="H51" s="430">
        <v>2197777.1399999997</v>
      </c>
      <c r="I51" s="430">
        <v>2187252.5500000003</v>
      </c>
      <c r="J51" s="430"/>
      <c r="K51" s="430"/>
      <c r="L51" s="430"/>
      <c r="M51" s="430"/>
      <c r="N51" s="430"/>
      <c r="O51" s="430"/>
      <c r="P51" s="430"/>
      <c r="Q51" s="430"/>
      <c r="R51" s="430"/>
      <c r="S51" s="398">
        <f>+SUM(G51:R51)</f>
        <v>5435390.5199999996</v>
      </c>
      <c r="T51" s="440">
        <f t="shared" si="5"/>
        <v>6.8237508725236637E-2</v>
      </c>
      <c r="U51" s="472"/>
    </row>
    <row r="52" spans="1:21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15">+G10-G29</f>
        <v>2360125.4700000584</v>
      </c>
      <c r="H53" s="136">
        <f t="shared" si="15"/>
        <v>-34411254.340000004</v>
      </c>
      <c r="I53" s="136">
        <f t="shared" si="15"/>
        <v>-31837099.75000003</v>
      </c>
      <c r="J53" s="136">
        <f t="shared" si="15"/>
        <v>0</v>
      </c>
      <c r="K53" s="136">
        <f t="shared" si="15"/>
        <v>0</v>
      </c>
      <c r="L53" s="136">
        <f t="shared" si="15"/>
        <v>0</v>
      </c>
      <c r="M53" s="136">
        <f t="shared" si="15"/>
        <v>0</v>
      </c>
      <c r="N53" s="136">
        <f t="shared" si="15"/>
        <v>0</v>
      </c>
      <c r="O53" s="136">
        <f t="shared" si="15"/>
        <v>0</v>
      </c>
      <c r="P53" s="136">
        <f t="shared" si="15"/>
        <v>0</v>
      </c>
      <c r="Q53" s="136">
        <f t="shared" si="15"/>
        <v>0</v>
      </c>
      <c r="R53" s="136">
        <f t="shared" si="15"/>
        <v>0</v>
      </c>
      <c r="S53" s="530">
        <f>SUM(G53:R53)</f>
        <v>-63888228.619999975</v>
      </c>
      <c r="T53" s="531">
        <f t="shared" si="5"/>
        <v>-0.80207181836442587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6">+G53+G36</f>
        <v>6148745.0200000592</v>
      </c>
      <c r="H54" s="190">
        <f t="shared" si="16"/>
        <v>-31090680.320000004</v>
      </c>
      <c r="I54" s="190">
        <f t="shared" si="16"/>
        <v>-7365291.9500000291</v>
      </c>
      <c r="J54" s="190">
        <f t="shared" si="16"/>
        <v>0</v>
      </c>
      <c r="K54" s="190">
        <f t="shared" si="16"/>
        <v>0</v>
      </c>
      <c r="L54" s="190">
        <f t="shared" si="16"/>
        <v>0</v>
      </c>
      <c r="M54" s="190">
        <f t="shared" si="16"/>
        <v>0</v>
      </c>
      <c r="N54" s="190">
        <f t="shared" si="16"/>
        <v>0</v>
      </c>
      <c r="O54" s="190">
        <f t="shared" si="16"/>
        <v>0</v>
      </c>
      <c r="P54" s="190">
        <f t="shared" si="16"/>
        <v>0</v>
      </c>
      <c r="Q54" s="190">
        <f t="shared" si="16"/>
        <v>0</v>
      </c>
      <c r="R54" s="190">
        <f t="shared" si="16"/>
        <v>0</v>
      </c>
      <c r="S54" s="530">
        <f t="shared" si="6"/>
        <v>-32307227.249999974</v>
      </c>
      <c r="T54" s="531">
        <f t="shared" si="5"/>
        <v>-0.40559453699751391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" si="17">+SUM(G56:G57)</f>
        <v>34620662.689999998</v>
      </c>
      <c r="H55" s="178">
        <f t="shared" ref="H55:L55" si="18">+SUM(H56:H57)</f>
        <v>8280354.3400000008</v>
      </c>
      <c r="I55" s="178">
        <f t="shared" si="18"/>
        <v>35822753.07</v>
      </c>
      <c r="J55" s="160">
        <f t="shared" si="18"/>
        <v>0</v>
      </c>
      <c r="K55" s="178">
        <f t="shared" si="18"/>
        <v>0</v>
      </c>
      <c r="L55" s="178">
        <f t="shared" si="18"/>
        <v>0</v>
      </c>
      <c r="M55" s="178">
        <f t="shared" ref="M55:R55" si="19">+SUM(M56:M57)</f>
        <v>0</v>
      </c>
      <c r="N55" s="178">
        <f t="shared" si="19"/>
        <v>0</v>
      </c>
      <c r="O55" s="178">
        <f t="shared" si="19"/>
        <v>0</v>
      </c>
      <c r="P55" s="178">
        <f t="shared" si="19"/>
        <v>0</v>
      </c>
      <c r="Q55" s="178">
        <f t="shared" si="19"/>
        <v>0</v>
      </c>
      <c r="R55" s="178">
        <f t="shared" si="19"/>
        <v>0</v>
      </c>
      <c r="S55" s="532">
        <f t="shared" si="6"/>
        <v>78723770.099999994</v>
      </c>
      <c r="T55" s="533">
        <f t="shared" si="5"/>
        <v>0.98832161724458267</v>
      </c>
    </row>
    <row r="56" spans="1:21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554">
        <v>1984895.29</v>
      </c>
      <c r="H56" s="554">
        <v>1705490.1300000001</v>
      </c>
      <c r="I56" s="554">
        <v>4420486.6500000004</v>
      </c>
      <c r="J56" s="554"/>
      <c r="K56" s="554"/>
      <c r="L56" s="554"/>
      <c r="M56" s="554"/>
      <c r="N56" s="554"/>
      <c r="O56" s="554"/>
      <c r="P56" s="554"/>
      <c r="Q56" s="554"/>
      <c r="R56" s="196"/>
      <c r="S56" s="235">
        <f t="shared" si="6"/>
        <v>8110872.0700000003</v>
      </c>
      <c r="T56" s="444">
        <f t="shared" si="5"/>
        <v>0.10182629962086022</v>
      </c>
    </row>
    <row r="57" spans="1:21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554">
        <v>32635767.399999999</v>
      </c>
      <c r="H57" s="554">
        <v>6574864.2100000009</v>
      </c>
      <c r="I57" s="554">
        <v>31402266.419999998</v>
      </c>
      <c r="J57" s="554"/>
      <c r="K57" s="554"/>
      <c r="L57" s="554"/>
      <c r="M57" s="554"/>
      <c r="N57" s="554"/>
      <c r="O57" s="554"/>
      <c r="P57" s="554"/>
      <c r="Q57" s="554"/>
      <c r="R57" s="196"/>
      <c r="S57" s="235">
        <f t="shared" si="6"/>
        <v>70612898.030000001</v>
      </c>
      <c r="T57" s="444">
        <f t="shared" si="5"/>
        <v>0.88649531762372258</v>
      </c>
    </row>
    <row r="58" spans="1:21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1042170.92</v>
      </c>
      <c r="J58" s="432"/>
      <c r="K58" s="432"/>
      <c r="L58" s="432"/>
      <c r="M58" s="432"/>
      <c r="N58" s="432"/>
      <c r="O58" s="432"/>
      <c r="P58" s="432"/>
      <c r="Q58" s="432"/>
      <c r="R58" s="432"/>
      <c r="S58" s="532">
        <f>SUM(G58:R58)</f>
        <v>1042170.92</v>
      </c>
      <c r="T58" s="534">
        <f t="shared" si="5"/>
        <v>1.3083723604589851E-2</v>
      </c>
    </row>
    <row r="59" spans="1:21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99">
        <v>0</v>
      </c>
      <c r="H59" s="499">
        <v>1478222</v>
      </c>
      <c r="I59" s="499">
        <v>815774.12</v>
      </c>
      <c r="J59" s="499"/>
      <c r="K59" s="499"/>
      <c r="L59" s="499"/>
      <c r="M59" s="499"/>
      <c r="N59" s="499"/>
      <c r="O59" s="499"/>
      <c r="P59" s="499"/>
      <c r="Q59" s="499"/>
      <c r="R59" s="432"/>
      <c r="S59" s="532">
        <f>SUM(G59:R59)</f>
        <v>2293996.12</v>
      </c>
      <c r="T59" s="534">
        <f t="shared" si="5"/>
        <v>2.8799509378060112E-2</v>
      </c>
    </row>
    <row r="60" spans="1:21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-32260537.219999939</v>
      </c>
      <c r="H60" s="202">
        <f t="shared" ref="H60:S60" si="20">+H53-H55-H58-H59</f>
        <v>-44169830.680000007</v>
      </c>
      <c r="I60" s="202">
        <f t="shared" si="20"/>
        <v>-69517797.860000029</v>
      </c>
      <c r="J60" s="202">
        <f t="shared" si="20"/>
        <v>0</v>
      </c>
      <c r="K60" s="202">
        <f t="shared" si="20"/>
        <v>0</v>
      </c>
      <c r="L60" s="202">
        <f t="shared" si="20"/>
        <v>0</v>
      </c>
      <c r="M60" s="202">
        <f t="shared" si="20"/>
        <v>0</v>
      </c>
      <c r="N60" s="202">
        <f t="shared" si="20"/>
        <v>0</v>
      </c>
      <c r="O60" s="202">
        <f t="shared" si="20"/>
        <v>0</v>
      </c>
      <c r="P60" s="202">
        <f t="shared" si="20"/>
        <v>0</v>
      </c>
      <c r="Q60" s="202">
        <f t="shared" si="20"/>
        <v>0</v>
      </c>
      <c r="R60" s="202">
        <f t="shared" si="20"/>
        <v>0</v>
      </c>
      <c r="S60" s="532">
        <f t="shared" si="20"/>
        <v>-145948165.75999996</v>
      </c>
      <c r="T60" s="535">
        <f t="shared" si="5"/>
        <v>-1.8322766685916585</v>
      </c>
    </row>
    <row r="61" spans="1:21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32260537.219999939</v>
      </c>
      <c r="H61" s="136">
        <f t="shared" ref="H61:L61" si="21">+SUM(H62:H66)</f>
        <v>44169830.680000007</v>
      </c>
      <c r="I61" s="136">
        <f t="shared" si="21"/>
        <v>69517797.860000029</v>
      </c>
      <c r="J61" s="136">
        <f t="shared" si="21"/>
        <v>0</v>
      </c>
      <c r="K61" s="136">
        <f t="shared" si="21"/>
        <v>0</v>
      </c>
      <c r="L61" s="136">
        <f t="shared" si="21"/>
        <v>0</v>
      </c>
      <c r="M61" s="136">
        <f t="shared" ref="M61:R61" si="22">+SUM(M62:M66)</f>
        <v>0</v>
      </c>
      <c r="N61" s="136">
        <f t="shared" si="22"/>
        <v>0</v>
      </c>
      <c r="O61" s="136">
        <f t="shared" si="22"/>
        <v>0</v>
      </c>
      <c r="P61" s="136">
        <f t="shared" si="22"/>
        <v>0</v>
      </c>
      <c r="Q61" s="136">
        <f t="shared" si="22"/>
        <v>0</v>
      </c>
      <c r="R61" s="136">
        <f t="shared" si="22"/>
        <v>0</v>
      </c>
      <c r="S61" s="536">
        <f t="shared" si="6"/>
        <v>145948165.75999999</v>
      </c>
      <c r="T61" s="537">
        <f t="shared" si="5"/>
        <v>1.8322766685916587</v>
      </c>
    </row>
    <row r="62" spans="1:21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554">
        <v>0</v>
      </c>
      <c r="H62" s="554">
        <v>0</v>
      </c>
      <c r="I62" s="554">
        <v>0</v>
      </c>
      <c r="J62" s="554"/>
      <c r="K62" s="554"/>
      <c r="L62" s="554"/>
      <c r="M62" s="555"/>
      <c r="N62" s="554"/>
      <c r="O62" s="554"/>
      <c r="P62" s="554"/>
      <c r="Q62" s="554"/>
      <c r="R62" s="196"/>
      <c r="S62" s="235">
        <f t="shared" si="6"/>
        <v>0</v>
      </c>
      <c r="T62" s="444">
        <f t="shared" si="5"/>
        <v>0</v>
      </c>
    </row>
    <row r="63" spans="1:21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554">
        <v>1824723.8699999999</v>
      </c>
      <c r="H63" s="554">
        <v>12400327.83</v>
      </c>
      <c r="I63" s="554">
        <v>1516264.56</v>
      </c>
      <c r="J63" s="554"/>
      <c r="K63" s="554"/>
      <c r="L63" s="554"/>
      <c r="M63" s="555"/>
      <c r="N63" s="554"/>
      <c r="O63" s="554"/>
      <c r="P63" s="554"/>
      <c r="Q63" s="554"/>
      <c r="R63" s="196"/>
      <c r="S63" s="235">
        <f t="shared" si="6"/>
        <v>15741316.26</v>
      </c>
      <c r="T63" s="444">
        <f t="shared" si="5"/>
        <v>0.19762116478770683</v>
      </c>
    </row>
    <row r="64" spans="1:21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554">
        <v>106186.26999999999</v>
      </c>
      <c r="H64" s="554">
        <v>433040.59000000008</v>
      </c>
      <c r="I64" s="554">
        <v>56765.9</v>
      </c>
      <c r="J64" s="554"/>
      <c r="K64" s="554"/>
      <c r="L64" s="554"/>
      <c r="M64" s="555"/>
      <c r="N64" s="554"/>
      <c r="O64" s="554"/>
      <c r="P64" s="554"/>
      <c r="Q64" s="554"/>
      <c r="R64" s="196"/>
      <c r="S64" s="235">
        <f t="shared" si="6"/>
        <v>595992.76000000013</v>
      </c>
      <c r="T64" s="444">
        <f t="shared" si="5"/>
        <v>7.4822703191302397E-3</v>
      </c>
    </row>
    <row r="65" spans="1:20">
      <c r="A65" s="129">
        <v>73</v>
      </c>
      <c r="B65" s="596" t="s">
        <v>101</v>
      </c>
      <c r="C65" s="597"/>
      <c r="D65" s="597"/>
      <c r="E65" s="597"/>
      <c r="F65" s="597"/>
      <c r="G65" s="160">
        <v>2934144.88</v>
      </c>
      <c r="H65" s="160">
        <v>677559.08000000007</v>
      </c>
      <c r="I65" s="160">
        <v>623345.78999999992</v>
      </c>
      <c r="J65" s="160"/>
      <c r="K65" s="160"/>
      <c r="L65" s="160"/>
      <c r="M65" s="160"/>
      <c r="N65" s="160"/>
      <c r="O65" s="160"/>
      <c r="P65" s="160"/>
      <c r="Q65" s="160"/>
      <c r="R65" s="160"/>
      <c r="S65" s="228">
        <f t="shared" si="6"/>
        <v>4235049.75</v>
      </c>
      <c r="T65" s="437">
        <f t="shared" si="5"/>
        <v>5.3168073794159748E-2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27395482.19999994</v>
      </c>
      <c r="H66" s="210">
        <f t="shared" ref="H66:L66" si="23">-H60-SUM(H62:H65)</f>
        <v>30658903.180000007</v>
      </c>
      <c r="I66" s="210">
        <f t="shared" si="23"/>
        <v>67321421.610000029</v>
      </c>
      <c r="J66" s="210">
        <f t="shared" si="23"/>
        <v>0</v>
      </c>
      <c r="K66" s="210">
        <f t="shared" si="23"/>
        <v>0</v>
      </c>
      <c r="L66" s="210">
        <f t="shared" si="23"/>
        <v>0</v>
      </c>
      <c r="M66" s="210">
        <f t="shared" ref="M66:S66" si="24">-M60-SUM(M62:M65)</f>
        <v>0</v>
      </c>
      <c r="N66" s="210">
        <f t="shared" si="24"/>
        <v>0</v>
      </c>
      <c r="O66" s="210">
        <f t="shared" si="24"/>
        <v>0</v>
      </c>
      <c r="P66" s="210">
        <f t="shared" si="24"/>
        <v>0</v>
      </c>
      <c r="Q66" s="210">
        <f t="shared" si="24"/>
        <v>0</v>
      </c>
      <c r="R66" s="210">
        <f t="shared" si="24"/>
        <v>0</v>
      </c>
      <c r="S66" s="238">
        <f t="shared" si="24"/>
        <v>125375806.98999996</v>
      </c>
      <c r="T66" s="448">
        <f t="shared" si="5"/>
        <v>1.5740051596906617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2025-01p</v>
      </c>
      <c r="H82" s="59" t="str">
        <f t="shared" si="25"/>
        <v>2025-02p</v>
      </c>
      <c r="I82" s="59" t="str">
        <f t="shared" si="25"/>
        <v>2025-03p</v>
      </c>
      <c r="J82" s="59" t="str">
        <f t="shared" si="25"/>
        <v>2025-04p</v>
      </c>
      <c r="K82" s="59" t="str">
        <f t="shared" si="25"/>
        <v>2025-05p</v>
      </c>
      <c r="L82" s="59" t="str">
        <f t="shared" si="25"/>
        <v>2025-06p</v>
      </c>
      <c r="M82" s="59" t="str">
        <f t="shared" si="25"/>
        <v>2025-07p</v>
      </c>
      <c r="N82" s="59" t="str">
        <f t="shared" si="25"/>
        <v>2025-08p</v>
      </c>
      <c r="O82" s="59" t="str">
        <f t="shared" si="25"/>
        <v>2025-09p</v>
      </c>
      <c r="P82" s="59" t="str">
        <f t="shared" si="25"/>
        <v>2025-10p</v>
      </c>
      <c r="Q82" s="59" t="str">
        <f t="shared" si="25"/>
        <v>2025-11p</v>
      </c>
      <c r="R82" s="59" t="str">
        <f t="shared" si="25"/>
        <v>2025-12p</v>
      </c>
    </row>
    <row r="83" spans="1:25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2025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7965400000</v>
      </c>
    </row>
    <row r="84" spans="1:25" ht="15.75" customHeight="1">
      <c r="B84" s="635"/>
      <c r="C84" s="636"/>
      <c r="D84" s="636"/>
      <c r="E84" s="636"/>
      <c r="F84" s="637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18" t="str">
        <f>+Master!G247</f>
        <v>Jan - Dec</v>
      </c>
      <c r="T84" s="620">
        <f>+T8</f>
        <v>0</v>
      </c>
    </row>
    <row r="85" spans="1:25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504">
        <v>156165361.56999996</v>
      </c>
      <c r="H86" s="504">
        <v>186465774.61270151</v>
      </c>
      <c r="I86" s="504">
        <v>250781153.76077548</v>
      </c>
      <c r="J86" s="504">
        <v>317134934.20958984</v>
      </c>
      <c r="K86" s="504">
        <v>208696974.08136445</v>
      </c>
      <c r="L86" s="504">
        <v>240317685.16175744</v>
      </c>
      <c r="M86" s="504">
        <v>244303914.76144812</v>
      </c>
      <c r="N86" s="504">
        <v>262837561.07319617</v>
      </c>
      <c r="O86" s="504">
        <v>253424978.7566644</v>
      </c>
      <c r="P86" s="504">
        <v>262167779.34604847</v>
      </c>
      <c r="Q86" s="504">
        <v>240706635.16073</v>
      </c>
      <c r="R86" s="504">
        <v>263070247.5857037</v>
      </c>
      <c r="S86" s="538">
        <f>+SUM(G86:R86)</f>
        <v>2886073000.0799794</v>
      </c>
      <c r="T86" s="539">
        <f>+S86/$T$83*100</f>
        <v>36.232618576342425</v>
      </c>
      <c r="U86" s="243"/>
    </row>
    <row r="87" spans="1:25">
      <c r="A87" s="105" t="str">
        <f t="shared" si="27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540">
        <v>132702629.50999999</v>
      </c>
      <c r="H87" s="540">
        <v>136856183.48622844</v>
      </c>
      <c r="I87" s="540">
        <v>201920347.83324856</v>
      </c>
      <c r="J87" s="540">
        <v>247314832.20223621</v>
      </c>
      <c r="K87" s="540">
        <v>158762845.03563526</v>
      </c>
      <c r="L87" s="540">
        <v>187364739.47822165</v>
      </c>
      <c r="M87" s="540">
        <v>189417204.71386531</v>
      </c>
      <c r="N87" s="540">
        <v>203488085.79363543</v>
      </c>
      <c r="O87" s="540">
        <v>197774192.28095666</v>
      </c>
      <c r="P87" s="540">
        <v>184622585.63486344</v>
      </c>
      <c r="Q87" s="540">
        <v>164727688.03347</v>
      </c>
      <c r="R87" s="541">
        <v>178627675.42838222</v>
      </c>
      <c r="S87" s="542">
        <f t="shared" ref="S87:S141" si="28">+SUM(G87:R87)</f>
        <v>2183579009.4307432</v>
      </c>
      <c r="T87" s="519">
        <f t="shared" ref="T87:T142" si="29">+S87/$T$83*100</f>
        <v>27.413300140994089</v>
      </c>
    </row>
    <row r="88" spans="1:25">
      <c r="A88" s="105" t="str">
        <f t="shared" si="27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3030555.43</v>
      </c>
      <c r="H88" s="77">
        <v>8130802.197536774</v>
      </c>
      <c r="I88" s="77">
        <v>8923400.7130561098</v>
      </c>
      <c r="J88" s="77">
        <v>10055739.886730701</v>
      </c>
      <c r="K88" s="77">
        <v>8682295.211686179</v>
      </c>
      <c r="L88" s="77">
        <v>8631219.9475545604</v>
      </c>
      <c r="M88" s="77">
        <v>8191795.9500511903</v>
      </c>
      <c r="N88" s="77">
        <v>9611353.9295238107</v>
      </c>
      <c r="O88" s="77">
        <v>9089054.5196827389</v>
      </c>
      <c r="P88" s="77">
        <v>9766273.4549816232</v>
      </c>
      <c r="Q88" s="77">
        <v>9540892.3657547906</v>
      </c>
      <c r="R88" s="77">
        <v>14670110.187131014</v>
      </c>
      <c r="S88" s="101">
        <f t="shared" si="28"/>
        <v>108323493.79368949</v>
      </c>
      <c r="T88" s="436">
        <f t="shared" si="29"/>
        <v>1.3599253495579566</v>
      </c>
    </row>
    <row r="89" spans="1:25">
      <c r="A89" s="105" t="str">
        <f t="shared" si="27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4758743.22</v>
      </c>
      <c r="H89" s="77">
        <v>4914823.2626296896</v>
      </c>
      <c r="I89" s="77">
        <v>72553471.511286497</v>
      </c>
      <c r="J89" s="77">
        <v>106836454.224443</v>
      </c>
      <c r="K89" s="77">
        <v>3872785.1409548498</v>
      </c>
      <c r="L89" s="77">
        <v>5448872.5777699081</v>
      </c>
      <c r="M89" s="77">
        <v>3374680.5796844289</v>
      </c>
      <c r="N89" s="77">
        <v>3232098.1048411233</v>
      </c>
      <c r="O89" s="77">
        <v>3724755.3693248676</v>
      </c>
      <c r="P89" s="77">
        <v>2722374.4844172499</v>
      </c>
      <c r="Q89" s="77">
        <v>3855532.0109211099</v>
      </c>
      <c r="R89" s="77">
        <v>4568258.7547133695</v>
      </c>
      <c r="S89" s="101">
        <f t="shared" si="28"/>
        <v>219862849.24098608</v>
      </c>
      <c r="T89" s="436">
        <f t="shared" si="29"/>
        <v>2.7602235825066672</v>
      </c>
    </row>
    <row r="90" spans="1:25">
      <c r="A90" s="105" t="str">
        <f t="shared" si="27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</row>
    <row r="91" spans="1:25">
      <c r="A91" s="105" t="str">
        <f t="shared" si="27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96606704.819999993</v>
      </c>
      <c r="H91" s="77">
        <v>94686429.308249339</v>
      </c>
      <c r="I91" s="77">
        <v>90983845.65021646</v>
      </c>
      <c r="J91" s="77">
        <v>95799152.256747037</v>
      </c>
      <c r="K91" s="77">
        <v>107408755.74085391</v>
      </c>
      <c r="L91" s="77">
        <v>126280000.17691053</v>
      </c>
      <c r="M91" s="77">
        <v>128361539.072551</v>
      </c>
      <c r="N91" s="77">
        <v>136238759.85345101</v>
      </c>
      <c r="O91" s="77">
        <v>134912099.00068101</v>
      </c>
      <c r="P91" s="77">
        <v>125537123.651255</v>
      </c>
      <c r="Q91" s="77">
        <v>115227526.402597</v>
      </c>
      <c r="R91" s="77">
        <v>120551064.06232101</v>
      </c>
      <c r="S91" s="101">
        <f t="shared" si="28"/>
        <v>1372592999.9958332</v>
      </c>
      <c r="T91" s="436">
        <f t="shared" si="29"/>
        <v>17.231940643229883</v>
      </c>
    </row>
    <row r="92" spans="1:25">
      <c r="A92" s="105" t="str">
        <f t="shared" si="27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23651764.850000001</v>
      </c>
      <c r="H92" s="77">
        <v>24000000</v>
      </c>
      <c r="I92" s="77">
        <v>23000000</v>
      </c>
      <c r="J92" s="77">
        <v>28000000</v>
      </c>
      <c r="K92" s="77">
        <v>32000000</v>
      </c>
      <c r="L92" s="77">
        <v>40000000</v>
      </c>
      <c r="M92" s="77">
        <v>42000000</v>
      </c>
      <c r="N92" s="77">
        <v>47000000</v>
      </c>
      <c r="O92" s="77">
        <v>43000000</v>
      </c>
      <c r="P92" s="77">
        <v>40000000</v>
      </c>
      <c r="Q92" s="77">
        <v>29000000</v>
      </c>
      <c r="R92" s="77">
        <v>31848235.149999999</v>
      </c>
      <c r="S92" s="101">
        <f t="shared" si="28"/>
        <v>403500000</v>
      </c>
      <c r="T92" s="436">
        <f t="shared" si="29"/>
        <v>5.0656589750671648</v>
      </c>
      <c r="W92" s="242"/>
      <c r="X92" s="242"/>
      <c r="Y92" s="242"/>
    </row>
    <row r="93" spans="1:25">
      <c r="A93" s="105" t="str">
        <f t="shared" si="27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3527264.2</v>
      </c>
      <c r="H93" s="77">
        <v>3959801.9366202727</v>
      </c>
      <c r="I93" s="77">
        <v>5206630.3006149847</v>
      </c>
      <c r="J93" s="77">
        <v>5016507.9766131351</v>
      </c>
      <c r="K93" s="77">
        <v>5327778.408901887</v>
      </c>
      <c r="L93" s="77">
        <v>5791471.9092387911</v>
      </c>
      <c r="M93" s="77">
        <v>6106528.2444638051</v>
      </c>
      <c r="N93" s="77">
        <v>6198763.4373714123</v>
      </c>
      <c r="O93" s="77">
        <v>5739734.4372862242</v>
      </c>
      <c r="P93" s="77">
        <v>5367439.8597435215</v>
      </c>
      <c r="Q93" s="77">
        <v>5883786.0595919928</v>
      </c>
      <c r="R93" s="77">
        <v>5867281.8477213243</v>
      </c>
      <c r="S93" s="101">
        <f t="shared" si="28"/>
        <v>63992988.618167341</v>
      </c>
      <c r="T93" s="436">
        <f t="shared" si="29"/>
        <v>0.80338700653033546</v>
      </c>
    </row>
    <row r="94" spans="1:25">
      <c r="A94" s="105" t="str">
        <f t="shared" si="27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1127596.99</v>
      </c>
      <c r="H94" s="77">
        <v>1164326.7811923751</v>
      </c>
      <c r="I94" s="77">
        <v>1252999.6580744842</v>
      </c>
      <c r="J94" s="77">
        <v>1606977.8577023186</v>
      </c>
      <c r="K94" s="77">
        <v>1471230.53323842</v>
      </c>
      <c r="L94" s="77">
        <v>1213174.8667478566</v>
      </c>
      <c r="M94" s="77">
        <v>1382660.8671149078</v>
      </c>
      <c r="N94" s="77">
        <v>1207110.468448082</v>
      </c>
      <c r="O94" s="77">
        <v>1308548.9539818142</v>
      </c>
      <c r="P94" s="77">
        <v>1229374.1844660435</v>
      </c>
      <c r="Q94" s="77">
        <v>1219951.1946050979</v>
      </c>
      <c r="R94" s="77">
        <v>1122725.4264954794</v>
      </c>
      <c r="S94" s="101">
        <f t="shared" si="28"/>
        <v>15306677.782066878</v>
      </c>
      <c r="T94" s="436">
        <f t="shared" si="29"/>
        <v>0.19216458410207746</v>
      </c>
    </row>
    <row r="95" spans="1:25">
      <c r="A95" s="105" t="str">
        <f t="shared" si="27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543">
        <v>16612975.690000001</v>
      </c>
      <c r="H95" s="543">
        <v>37852524.42184677</v>
      </c>
      <c r="I95" s="544">
        <v>37594151.372717343</v>
      </c>
      <c r="J95" s="543">
        <v>36350588.706063576</v>
      </c>
      <c r="K95" s="543">
        <v>36620384.10097748</v>
      </c>
      <c r="L95" s="543">
        <v>37745306.491635233</v>
      </c>
      <c r="M95" s="543">
        <v>38491145.098489322</v>
      </c>
      <c r="N95" s="543">
        <v>37029246.606001906</v>
      </c>
      <c r="O95" s="543">
        <v>34518386.848863028</v>
      </c>
      <c r="P95" s="543">
        <v>34451717.199254267</v>
      </c>
      <c r="Q95" s="543">
        <v>34831552.405104607</v>
      </c>
      <c r="R95" s="545">
        <v>66953342.92623014</v>
      </c>
      <c r="S95" s="546">
        <f t="shared" si="28"/>
        <v>449051321.86718363</v>
      </c>
      <c r="T95" s="522">
        <f t="shared" si="29"/>
        <v>5.6375238138346297</v>
      </c>
    </row>
    <row r="96" spans="1:25">
      <c r="A96" s="105" t="str">
        <f t="shared" si="27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14262452.49</v>
      </c>
      <c r="H96" s="77">
        <v>33693463.497614197</v>
      </c>
      <c r="I96" s="77">
        <v>33632306.939369902</v>
      </c>
      <c r="J96" s="77">
        <v>32550005.135860398</v>
      </c>
      <c r="K96" s="77">
        <v>32911672.021327198</v>
      </c>
      <c r="L96" s="77">
        <v>33551536.6065332</v>
      </c>
      <c r="M96" s="77">
        <v>34400667.245599404</v>
      </c>
      <c r="N96" s="77">
        <v>32533685.049054399</v>
      </c>
      <c r="O96" s="77">
        <v>30697939.923086599</v>
      </c>
      <c r="P96" s="77">
        <v>30021604.530378401</v>
      </c>
      <c r="Q96" s="77">
        <v>30769763.73510927</v>
      </c>
      <c r="R96" s="77">
        <v>58313830.16746816</v>
      </c>
      <c r="S96" s="101">
        <f t="shared" si="28"/>
        <v>397338927.3414011</v>
      </c>
      <c r="T96" s="436">
        <f t="shared" si="29"/>
        <v>4.9883110370025499</v>
      </c>
      <c r="V96" s="292"/>
    </row>
    <row r="97" spans="1:22">
      <c r="A97" s="105" t="str">
        <f t="shared" si="27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314658.88</v>
      </c>
      <c r="H97" s="77">
        <v>500023.86869410798</v>
      </c>
      <c r="I97" s="77">
        <v>500023.86869410798</v>
      </c>
      <c r="J97" s="77">
        <v>500023.86869410798</v>
      </c>
      <c r="K97" s="77">
        <v>585102.43738821615</v>
      </c>
      <c r="L97" s="77">
        <v>500023.86869410798</v>
      </c>
      <c r="M97" s="77">
        <v>500023.86869410798</v>
      </c>
      <c r="N97" s="77">
        <v>500023.86869410798</v>
      </c>
      <c r="O97" s="77">
        <v>500023.86869410798</v>
      </c>
      <c r="P97" s="77">
        <v>500023.86869410798</v>
      </c>
      <c r="Q97" s="77">
        <v>500023.86869410798</v>
      </c>
      <c r="R97" s="77">
        <v>600023.86869410798</v>
      </c>
      <c r="S97" s="101">
        <f t="shared" si="28"/>
        <v>6000000.0043292958</v>
      </c>
      <c r="T97" s="436">
        <f t="shared" si="29"/>
        <v>7.5325784070219892E-2</v>
      </c>
    </row>
    <row r="98" spans="1:22">
      <c r="A98" s="105" t="str">
        <f t="shared" si="27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1216722.56</v>
      </c>
      <c r="H98" s="77">
        <v>1942795.8693115544</v>
      </c>
      <c r="I98" s="77">
        <v>1806831.7959047167</v>
      </c>
      <c r="J98" s="77">
        <v>1856869.21673124</v>
      </c>
      <c r="K98" s="77">
        <v>1646859.62373312</v>
      </c>
      <c r="L98" s="77">
        <v>2083724.3671199933</v>
      </c>
      <c r="M98" s="77">
        <v>1921208.7370643199</v>
      </c>
      <c r="N98" s="77">
        <v>2372970.9052161444</v>
      </c>
      <c r="O98" s="77">
        <v>2112789.1518694106</v>
      </c>
      <c r="P98" s="77">
        <v>2212922.8121625958</v>
      </c>
      <c r="Q98" s="77">
        <v>2098566.5890894895</v>
      </c>
      <c r="R98" s="77">
        <v>4727738.3755188603</v>
      </c>
      <c r="S98" s="101">
        <f t="shared" si="28"/>
        <v>26000000.003721446</v>
      </c>
      <c r="T98" s="436">
        <f t="shared" si="29"/>
        <v>0.32641173078215086</v>
      </c>
    </row>
    <row r="99" spans="1:22">
      <c r="A99" s="105" t="str">
        <f t="shared" si="27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819141.76</v>
      </c>
      <c r="H99" s="77">
        <v>1716241.1862269118</v>
      </c>
      <c r="I99" s="77">
        <v>1654988.7687486098</v>
      </c>
      <c r="J99" s="77">
        <v>1443690.4847778305</v>
      </c>
      <c r="K99" s="77">
        <v>1476750.0185289488</v>
      </c>
      <c r="L99" s="77">
        <v>1610021.64928793</v>
      </c>
      <c r="M99" s="77">
        <v>1669245.2471314899</v>
      </c>
      <c r="N99" s="77">
        <v>1622566.7830372499</v>
      </c>
      <c r="O99" s="77">
        <v>1207633.9052129099</v>
      </c>
      <c r="P99" s="77">
        <v>1717165.9880191621</v>
      </c>
      <c r="Q99" s="77">
        <v>1463198.21221174</v>
      </c>
      <c r="R99" s="77">
        <v>3311750.51454901</v>
      </c>
      <c r="S99" s="101">
        <f t="shared" si="28"/>
        <v>19712394.517731793</v>
      </c>
      <c r="T99" s="436">
        <f t="shared" si="29"/>
        <v>0.24747526197970968</v>
      </c>
    </row>
    <row r="100" spans="1:22">
      <c r="A100" s="105" t="str">
        <f t="shared" si="27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510">
        <v>856323.95</v>
      </c>
      <c r="H100" s="510">
        <v>1153807.8904724922</v>
      </c>
      <c r="I100" s="510">
        <v>1218734.5012239015</v>
      </c>
      <c r="J100" s="510">
        <v>1399310.6778442736</v>
      </c>
      <c r="K100" s="510">
        <v>1175790.5158724259</v>
      </c>
      <c r="L100" s="510">
        <v>1413926.2298446554</v>
      </c>
      <c r="M100" s="510">
        <v>2048665.888410368</v>
      </c>
      <c r="N100" s="510">
        <v>2261701.9443485551</v>
      </c>
      <c r="O100" s="510">
        <v>1898315.1704538476</v>
      </c>
      <c r="P100" s="510">
        <v>1445137.6649783505</v>
      </c>
      <c r="Q100" s="510">
        <v>1242868.4327648836</v>
      </c>
      <c r="R100" s="510">
        <v>1675386.1561825529</v>
      </c>
      <c r="S100" s="546">
        <f t="shared" si="28"/>
        <v>17789969.022396307</v>
      </c>
      <c r="T100" s="522">
        <f t="shared" si="29"/>
        <v>0.22334056070500299</v>
      </c>
    </row>
    <row r="101" spans="1:22">
      <c r="A101" s="105" t="str">
        <f t="shared" si="27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510">
        <v>4273770.1400000006</v>
      </c>
      <c r="H101" s="510">
        <v>5219057.8914465308</v>
      </c>
      <c r="I101" s="510">
        <v>5747442.1481512357</v>
      </c>
      <c r="J101" s="510">
        <v>5467405.0671003535</v>
      </c>
      <c r="K101" s="510">
        <v>5526576.2795401867</v>
      </c>
      <c r="L101" s="510">
        <v>6855033.0871420931</v>
      </c>
      <c r="M101" s="510">
        <v>7217262.9527941998</v>
      </c>
      <c r="N101" s="510">
        <v>7038788.2697913963</v>
      </c>
      <c r="O101" s="510">
        <v>7556507.1075738491</v>
      </c>
      <c r="P101" s="510">
        <v>6100843.3902709605</v>
      </c>
      <c r="Q101" s="510">
        <v>6257172.119905103</v>
      </c>
      <c r="R101" s="510">
        <v>6923249.0767233642</v>
      </c>
      <c r="S101" s="546">
        <f t="shared" si="28"/>
        <v>74183107.530439287</v>
      </c>
      <c r="T101" s="522">
        <f t="shared" si="29"/>
        <v>0.93131678924397132</v>
      </c>
    </row>
    <row r="102" spans="1:22">
      <c r="A102" s="105" t="str">
        <f t="shared" si="27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510">
        <v>1719662.2799999998</v>
      </c>
      <c r="H102" s="510">
        <v>2384200.9227072466</v>
      </c>
      <c r="I102" s="510">
        <v>2300477.9054344208</v>
      </c>
      <c r="J102" s="510">
        <v>2449088.158567714</v>
      </c>
      <c r="K102" s="510">
        <v>2957668.7515613534</v>
      </c>
      <c r="L102" s="510">
        <v>2784970.4771360368</v>
      </c>
      <c r="M102" s="510">
        <v>3425926.7101111747</v>
      </c>
      <c r="N102" s="510">
        <v>8616029.0616411306</v>
      </c>
      <c r="O102" s="510">
        <v>7023867.9510392584</v>
      </c>
      <c r="P102" s="510">
        <v>7393786.0589036718</v>
      </c>
      <c r="Q102" s="510">
        <v>5493644.7717075925</v>
      </c>
      <c r="R102" s="510">
        <v>5720269.1804076433</v>
      </c>
      <c r="S102" s="546">
        <f t="shared" si="28"/>
        <v>52269592.229217246</v>
      </c>
      <c r="T102" s="522">
        <f t="shared" si="29"/>
        <v>0.65620800247592392</v>
      </c>
    </row>
    <row r="103" spans="1:22">
      <c r="A103" s="105" t="str">
        <f t="shared" si="27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V103" s="292"/>
    </row>
    <row r="104" spans="1:22" ht="13.5" thickBot="1">
      <c r="A104" s="105" t="str">
        <f t="shared" si="27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510">
        <v>0</v>
      </c>
      <c r="H104" s="510">
        <v>3000000</v>
      </c>
      <c r="I104" s="510">
        <v>2000000</v>
      </c>
      <c r="J104" s="510">
        <v>24153709.397777699</v>
      </c>
      <c r="K104" s="510">
        <v>3653709.39777778</v>
      </c>
      <c r="L104" s="510">
        <v>4153709.39777778</v>
      </c>
      <c r="M104" s="510">
        <v>3703709.39777778</v>
      </c>
      <c r="N104" s="510">
        <v>4403709.39777778</v>
      </c>
      <c r="O104" s="510">
        <v>4653709.39777778</v>
      </c>
      <c r="P104" s="510">
        <v>28153709.397777781</v>
      </c>
      <c r="Q104" s="510">
        <v>28153709.397777781</v>
      </c>
      <c r="R104" s="510">
        <v>3170324.8177777799</v>
      </c>
      <c r="S104" s="547">
        <f t="shared" si="28"/>
        <v>109199999.99999996</v>
      </c>
      <c r="T104" s="524">
        <f t="shared" si="29"/>
        <v>1.3709292690888086</v>
      </c>
    </row>
    <row r="105" spans="1:22" ht="13.5" thickBot="1">
      <c r="A105" s="105" t="str">
        <f t="shared" si="27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505">
        <f t="shared" ref="G105:R105" si="30">+G106+G116+G122+SUM(G123:G127)</f>
        <v>211236224.61000001</v>
      </c>
      <c r="H105" s="505">
        <f t="shared" si="30"/>
        <v>234904209.56</v>
      </c>
      <c r="I105" s="505">
        <f t="shared" si="30"/>
        <v>268084271.89999998</v>
      </c>
      <c r="J105" s="505">
        <f t="shared" si="30"/>
        <v>271983159.92000002</v>
      </c>
      <c r="K105" s="505">
        <f t="shared" si="30"/>
        <v>239166268.83999997</v>
      </c>
      <c r="L105" s="505">
        <f t="shared" si="30"/>
        <v>250480398.60000002</v>
      </c>
      <c r="M105" s="505">
        <f t="shared" si="30"/>
        <v>256378355.32999995</v>
      </c>
      <c r="N105" s="505">
        <f t="shared" si="30"/>
        <v>220819261.00000003</v>
      </c>
      <c r="O105" s="505">
        <f t="shared" si="30"/>
        <v>270591517.11999995</v>
      </c>
      <c r="P105" s="505">
        <f t="shared" si="30"/>
        <v>265743558.72</v>
      </c>
      <c r="Q105" s="505">
        <f t="shared" si="30"/>
        <v>262012238.51999995</v>
      </c>
      <c r="R105" s="505">
        <f t="shared" si="30"/>
        <v>412818902.18499994</v>
      </c>
      <c r="S105" s="548">
        <f>+SUM(G105:R105)</f>
        <v>3164218366.3049994</v>
      </c>
      <c r="T105" s="549">
        <f t="shared" si="29"/>
        <v>39.724538206555849</v>
      </c>
    </row>
    <row r="106" spans="1:22">
      <c r="A106" s="105" t="str">
        <f t="shared" si="27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511">
        <f t="shared" ref="G106" si="31">+SUM(G107:G115)</f>
        <v>80179073.160000026</v>
      </c>
      <c r="H106" s="511">
        <f t="shared" ref="H106:R106" si="32">+SUM(H107:H115)</f>
        <v>85369477.120000005</v>
      </c>
      <c r="I106" s="511">
        <f t="shared" si="32"/>
        <v>117430024.57999998</v>
      </c>
      <c r="J106" s="511">
        <f t="shared" si="32"/>
        <v>111771454.75</v>
      </c>
      <c r="K106" s="511">
        <f t="shared" si="32"/>
        <v>100285882.77999999</v>
      </c>
      <c r="L106" s="511">
        <f t="shared" si="32"/>
        <v>94353477</v>
      </c>
      <c r="M106" s="511">
        <f t="shared" si="32"/>
        <v>95032056.649999976</v>
      </c>
      <c r="N106" s="511">
        <f t="shared" si="32"/>
        <v>89599157.060000002</v>
      </c>
      <c r="O106" s="511">
        <f t="shared" si="32"/>
        <v>110989694.22999999</v>
      </c>
      <c r="P106" s="511">
        <f t="shared" si="32"/>
        <v>107501724.17999998</v>
      </c>
      <c r="Q106" s="511">
        <f t="shared" si="32"/>
        <v>106933053.46999997</v>
      </c>
      <c r="R106" s="512">
        <f t="shared" si="32"/>
        <v>156280296.685</v>
      </c>
      <c r="S106" s="542">
        <f t="shared" si="28"/>
        <v>1255725371.6649997</v>
      </c>
      <c r="T106" s="519">
        <f t="shared" si="29"/>
        <v>15.764749688214023</v>
      </c>
      <c r="V106" s="275"/>
    </row>
    <row r="107" spans="1:22">
      <c r="A107" s="105" t="str">
        <f t="shared" si="27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56135492.740000024</v>
      </c>
      <c r="H107" s="77">
        <v>59047491.199999981</v>
      </c>
      <c r="I107" s="77">
        <v>58514884.909999982</v>
      </c>
      <c r="J107" s="77">
        <v>60497556.229999982</v>
      </c>
      <c r="K107" s="77">
        <v>60514987.979999982</v>
      </c>
      <c r="L107" s="77">
        <v>60517104.439999983</v>
      </c>
      <c r="M107" s="77">
        <v>60506341.469999984</v>
      </c>
      <c r="N107" s="77">
        <v>60512263.949999988</v>
      </c>
      <c r="O107" s="77">
        <v>60506331.229999974</v>
      </c>
      <c r="P107" s="77">
        <v>60505659.619999975</v>
      </c>
      <c r="Q107" s="77">
        <v>60504946.429999985</v>
      </c>
      <c r="R107" s="77">
        <v>60212707.489999995</v>
      </c>
      <c r="S107" s="101">
        <f t="shared" si="28"/>
        <v>717975767.68999982</v>
      </c>
      <c r="T107" s="436">
        <f t="shared" si="29"/>
        <v>9.0136812676073994</v>
      </c>
    </row>
    <row r="108" spans="1:22">
      <c r="A108" s="105" t="str">
        <f t="shared" si="27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1756735.0200000005</v>
      </c>
      <c r="H108" s="77">
        <v>2007086.4100000001</v>
      </c>
      <c r="I108" s="77">
        <v>2263809.8699999992</v>
      </c>
      <c r="J108" s="77">
        <v>2111717.46</v>
      </c>
      <c r="K108" s="77">
        <v>2015158.8899999994</v>
      </c>
      <c r="L108" s="77">
        <v>2049900.9899999998</v>
      </c>
      <c r="M108" s="77">
        <v>2030489.8499999996</v>
      </c>
      <c r="N108" s="77">
        <v>1929225.4199999995</v>
      </c>
      <c r="O108" s="77">
        <v>2070793.0899999996</v>
      </c>
      <c r="P108" s="77">
        <v>2032613.7699999996</v>
      </c>
      <c r="Q108" s="77">
        <v>1988655.0999999994</v>
      </c>
      <c r="R108" s="77">
        <v>2093300.905</v>
      </c>
      <c r="S108" s="101">
        <f t="shared" si="28"/>
        <v>24349486.774999995</v>
      </c>
      <c r="T108" s="436">
        <f t="shared" si="29"/>
        <v>0.3056906969518165</v>
      </c>
    </row>
    <row r="109" spans="1:22">
      <c r="A109" s="105" t="str">
        <f t="shared" si="27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1797331.5399999998</v>
      </c>
      <c r="H109" s="77">
        <v>2059853.9899999995</v>
      </c>
      <c r="I109" s="77">
        <v>4747994.3400000026</v>
      </c>
      <c r="J109" s="77">
        <v>4363693.88</v>
      </c>
      <c r="K109" s="77">
        <v>3402748.160000002</v>
      </c>
      <c r="L109" s="77">
        <v>3769260.350000002</v>
      </c>
      <c r="M109" s="77">
        <v>4195178.4600000009</v>
      </c>
      <c r="N109" s="77">
        <v>3497789.4099999997</v>
      </c>
      <c r="O109" s="77">
        <v>5208631.060000008</v>
      </c>
      <c r="P109" s="77">
        <v>4231104.8699999982</v>
      </c>
      <c r="Q109" s="77">
        <v>3945556.2200000007</v>
      </c>
      <c r="R109" s="77">
        <v>8767787.660000002</v>
      </c>
      <c r="S109" s="101">
        <f t="shared" si="28"/>
        <v>49986929.940000013</v>
      </c>
      <c r="T109" s="436">
        <f t="shared" si="29"/>
        <v>0.62755078137946629</v>
      </c>
    </row>
    <row r="110" spans="1:22">
      <c r="A110" s="105" t="str">
        <f t="shared" si="27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4142017.4700000025</v>
      </c>
      <c r="H110" s="77">
        <v>3949104.120000002</v>
      </c>
      <c r="I110" s="77">
        <v>8807965.9300000016</v>
      </c>
      <c r="J110" s="77">
        <v>8593058.2600000054</v>
      </c>
      <c r="K110" s="77">
        <v>6014081.8800000027</v>
      </c>
      <c r="L110" s="77">
        <v>7815871.950000003</v>
      </c>
      <c r="M110" s="77">
        <v>8272378.2699999996</v>
      </c>
      <c r="N110" s="77">
        <v>5190892.16</v>
      </c>
      <c r="O110" s="77">
        <v>5516441.8700000029</v>
      </c>
      <c r="P110" s="77">
        <v>8096417.4600000018</v>
      </c>
      <c r="Q110" s="77">
        <v>9806407.3699999973</v>
      </c>
      <c r="R110" s="77">
        <v>24688851.140999999</v>
      </c>
      <c r="S110" s="101">
        <f t="shared" si="28"/>
        <v>100893487.88100001</v>
      </c>
      <c r="T110" s="436">
        <f t="shared" si="29"/>
        <v>1.2666468461219778</v>
      </c>
    </row>
    <row r="111" spans="1:22">
      <c r="A111" s="105" t="str">
        <f t="shared" si="27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2424675.0799999996</v>
      </c>
      <c r="H111" s="77">
        <v>3033187.83</v>
      </c>
      <c r="I111" s="77">
        <v>2717633.6299999994</v>
      </c>
      <c r="J111" s="77">
        <v>3285284.4000000004</v>
      </c>
      <c r="K111" s="77">
        <v>2743194.66</v>
      </c>
      <c r="L111" s="77">
        <v>3194128.9400000004</v>
      </c>
      <c r="M111" s="77">
        <v>3150952.77</v>
      </c>
      <c r="N111" s="77">
        <v>3743091.37</v>
      </c>
      <c r="O111" s="77">
        <v>3253060.6399999997</v>
      </c>
      <c r="P111" s="77">
        <v>3772905.1399999992</v>
      </c>
      <c r="Q111" s="77">
        <v>3713343.8</v>
      </c>
      <c r="R111" s="77">
        <v>7908265.3499999987</v>
      </c>
      <c r="S111" s="101">
        <f t="shared" si="28"/>
        <v>42939723.609999999</v>
      </c>
      <c r="T111" s="436">
        <f t="shared" si="29"/>
        <v>0.53907805772465911</v>
      </c>
    </row>
    <row r="112" spans="1:22">
      <c r="A112" s="105" t="str">
        <f t="shared" si="27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3805233.67</v>
      </c>
      <c r="H112" s="77">
        <v>3578253.08</v>
      </c>
      <c r="I112" s="77">
        <v>25813966.890000001</v>
      </c>
      <c r="J112" s="77">
        <v>21694612.899999999</v>
      </c>
      <c r="K112" s="77">
        <v>12888618.540000001</v>
      </c>
      <c r="L112" s="77">
        <v>7054881.1500000022</v>
      </c>
      <c r="M112" s="77">
        <v>4625091.8600000013</v>
      </c>
      <c r="N112" s="77">
        <v>5331542.2600000007</v>
      </c>
      <c r="O112" s="77">
        <v>23589775.02</v>
      </c>
      <c r="P112" s="77">
        <v>14779701.98</v>
      </c>
      <c r="Q112" s="77">
        <v>10334631.460000001</v>
      </c>
      <c r="R112" s="77">
        <v>26025668.690000001</v>
      </c>
      <c r="S112" s="101">
        <f t="shared" si="28"/>
        <v>159521977.5</v>
      </c>
      <c r="T112" s="436">
        <f t="shared" si="29"/>
        <v>2.0026863371582095</v>
      </c>
    </row>
    <row r="113" spans="1:21">
      <c r="A113" s="105" t="str">
        <f t="shared" si="27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1094967.51</v>
      </c>
      <c r="H113" s="77">
        <v>1081221.8299999994</v>
      </c>
      <c r="I113" s="77">
        <v>1169208.6800000006</v>
      </c>
      <c r="J113" s="77">
        <v>1104523.2700000005</v>
      </c>
      <c r="K113" s="77">
        <v>1131023.2700000007</v>
      </c>
      <c r="L113" s="77">
        <v>1104492.9300000002</v>
      </c>
      <c r="M113" s="77">
        <v>1104014.9300000002</v>
      </c>
      <c r="N113" s="77">
        <v>1094491.8900000001</v>
      </c>
      <c r="O113" s="77">
        <v>1096302.6800000002</v>
      </c>
      <c r="P113" s="77">
        <v>1093543.2100000002</v>
      </c>
      <c r="Q113" s="77">
        <v>1094459.8800000001</v>
      </c>
      <c r="R113" s="77">
        <v>1090003.1400000011</v>
      </c>
      <c r="S113" s="101">
        <f t="shared" si="28"/>
        <v>13258253.220000004</v>
      </c>
      <c r="T113" s="436">
        <f t="shared" si="29"/>
        <v>0.1664480530795692</v>
      </c>
    </row>
    <row r="114" spans="1:21">
      <c r="A114" s="105" t="str">
        <f t="shared" si="27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5746355.0200000005</v>
      </c>
      <c r="H114" s="77">
        <v>6000915.620000001</v>
      </c>
      <c r="I114" s="77">
        <v>4378900.540000001</v>
      </c>
      <c r="J114" s="77">
        <v>3866824.29</v>
      </c>
      <c r="K114" s="77">
        <v>3645748.38</v>
      </c>
      <c r="L114" s="77">
        <v>4114321.09</v>
      </c>
      <c r="M114" s="77">
        <v>4322479.209999999</v>
      </c>
      <c r="N114" s="77">
        <v>4473690.01</v>
      </c>
      <c r="O114" s="77">
        <v>5432451.6199999992</v>
      </c>
      <c r="P114" s="77">
        <v>7094172.6400000015</v>
      </c>
      <c r="Q114" s="77">
        <v>9152045.2799999975</v>
      </c>
      <c r="R114" s="77">
        <v>10728356.800000004</v>
      </c>
      <c r="S114" s="101">
        <f t="shared" si="28"/>
        <v>68956260.5</v>
      </c>
      <c r="T114" s="436">
        <f t="shared" si="29"/>
        <v>0.86569739749416219</v>
      </c>
    </row>
    <row r="115" spans="1:21">
      <c r="A115" s="105" t="str">
        <f t="shared" si="27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3276265.1100000013</v>
      </c>
      <c r="H115" s="77">
        <v>4612363.0400000019</v>
      </c>
      <c r="I115" s="77">
        <v>9015659.7899999991</v>
      </c>
      <c r="J115" s="77">
        <v>6254184.0600000015</v>
      </c>
      <c r="K115" s="77">
        <v>7930321.0199999996</v>
      </c>
      <c r="L115" s="77">
        <v>4733515.16</v>
      </c>
      <c r="M115" s="77">
        <v>6825129.8300000019</v>
      </c>
      <c r="N115" s="77">
        <v>3826170.5899999994</v>
      </c>
      <c r="O115" s="77">
        <v>4315907.0200000005</v>
      </c>
      <c r="P115" s="77">
        <v>5895605.4900000067</v>
      </c>
      <c r="Q115" s="77">
        <v>6393007.9300000006</v>
      </c>
      <c r="R115" s="77">
        <v>14765355.509</v>
      </c>
      <c r="S115" s="101">
        <f t="shared" si="28"/>
        <v>77843484.54900001</v>
      </c>
      <c r="T115" s="436">
        <f t="shared" si="29"/>
        <v>0.97727025069676354</v>
      </c>
    </row>
    <row r="116" spans="1:21">
      <c r="A116" s="105" t="str">
        <f t="shared" si="27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507">
        <f t="shared" ref="G116:R116" si="33">+SUM(G117:G121)</f>
        <v>86392001.569999993</v>
      </c>
      <c r="H116" s="507">
        <f t="shared" si="33"/>
        <v>94581114.409999996</v>
      </c>
      <c r="I116" s="507">
        <f t="shared" si="33"/>
        <v>84307968.950000018</v>
      </c>
      <c r="J116" s="507">
        <f t="shared" si="33"/>
        <v>88892587.659999996</v>
      </c>
      <c r="K116" s="507">
        <f t="shared" si="33"/>
        <v>88384140.230000004</v>
      </c>
      <c r="L116" s="507">
        <f t="shared" si="33"/>
        <v>88846142.960000008</v>
      </c>
      <c r="M116" s="507">
        <f t="shared" si="33"/>
        <v>89278533.219999984</v>
      </c>
      <c r="N116" s="507">
        <f t="shared" si="33"/>
        <v>89238627.989999995</v>
      </c>
      <c r="O116" s="507">
        <f t="shared" si="33"/>
        <v>89137761.069999993</v>
      </c>
      <c r="P116" s="507">
        <f t="shared" si="33"/>
        <v>89363805.640000001</v>
      </c>
      <c r="Q116" s="507">
        <f t="shared" si="33"/>
        <v>89298590.510000005</v>
      </c>
      <c r="R116" s="507">
        <f t="shared" si="33"/>
        <v>90280310.429999992</v>
      </c>
      <c r="S116" s="546">
        <f t="shared" si="28"/>
        <v>1068001584.6400001</v>
      </c>
      <c r="T116" s="522">
        <f t="shared" si="29"/>
        <v>13.408009448866348</v>
      </c>
    </row>
    <row r="117" spans="1:21">
      <c r="A117" s="105" t="str">
        <f t="shared" si="27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499">
        <v>19200151.200000003</v>
      </c>
      <c r="H117" s="499">
        <v>22628380.109999999</v>
      </c>
      <c r="I117" s="499">
        <v>14565687.030000001</v>
      </c>
      <c r="J117" s="499">
        <v>18346642.420000002</v>
      </c>
      <c r="K117" s="499">
        <v>18346642.420000002</v>
      </c>
      <c r="L117" s="499">
        <v>18350642.420000002</v>
      </c>
      <c r="M117" s="499">
        <v>18346642.420000002</v>
      </c>
      <c r="N117" s="499">
        <v>18346642.420000002</v>
      </c>
      <c r="O117" s="499">
        <v>18346642.420000002</v>
      </c>
      <c r="P117" s="499">
        <v>18346642.420000002</v>
      </c>
      <c r="Q117" s="499">
        <v>18346642.420000002</v>
      </c>
      <c r="R117" s="499">
        <v>18368642.299999997</v>
      </c>
      <c r="S117" s="101">
        <f t="shared" si="28"/>
        <v>221540000.00000006</v>
      </c>
      <c r="T117" s="436">
        <f t="shared" si="29"/>
        <v>2.78127903181259</v>
      </c>
    </row>
    <row r="118" spans="1:21">
      <c r="A118" s="105" t="str">
        <f t="shared" si="27"/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499">
        <v>2213718.67</v>
      </c>
      <c r="H118" s="499">
        <v>2230218.67</v>
      </c>
      <c r="I118" s="499">
        <v>2253586.37</v>
      </c>
      <c r="J118" s="499">
        <v>2274717.66</v>
      </c>
      <c r="K118" s="499">
        <v>2239410.62</v>
      </c>
      <c r="L118" s="499">
        <v>2246098.89</v>
      </c>
      <c r="M118" s="499">
        <v>2274717.66</v>
      </c>
      <c r="N118" s="499">
        <v>2237086.37</v>
      </c>
      <c r="O118" s="499">
        <v>2240348.58</v>
      </c>
      <c r="P118" s="499">
        <v>2255442.8600000003</v>
      </c>
      <c r="Q118" s="499">
        <v>2264704.7000000002</v>
      </c>
      <c r="R118" s="499">
        <v>2266249.9500000002</v>
      </c>
      <c r="S118" s="101">
        <f t="shared" si="28"/>
        <v>26996301</v>
      </c>
      <c r="T118" s="436">
        <f t="shared" si="29"/>
        <v>0.33891958972556308</v>
      </c>
    </row>
    <row r="119" spans="1:21">
      <c r="A119" s="105" t="str">
        <f t="shared" si="27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499">
        <v>63002630.410000004</v>
      </c>
      <c r="H119" s="499">
        <v>65944050.810000002</v>
      </c>
      <c r="I119" s="499">
        <v>63766610.790000007</v>
      </c>
      <c r="J119" s="499">
        <v>64943554.629999995</v>
      </c>
      <c r="K119" s="499">
        <v>64943554.629999995</v>
      </c>
      <c r="L119" s="499">
        <v>64943554.629999995</v>
      </c>
      <c r="M119" s="499">
        <v>64943554.629999995</v>
      </c>
      <c r="N119" s="499">
        <v>64943554.629999995</v>
      </c>
      <c r="O119" s="499">
        <v>64943554.629999995</v>
      </c>
      <c r="P119" s="499">
        <v>64943554.629999995</v>
      </c>
      <c r="Q119" s="499">
        <v>64943554.629999995</v>
      </c>
      <c r="R119" s="499">
        <v>64943554.590000004</v>
      </c>
      <c r="S119" s="101">
        <f t="shared" si="28"/>
        <v>777205283.63999999</v>
      </c>
      <c r="T119" s="436">
        <f t="shared" si="29"/>
        <v>9.7572662219097595</v>
      </c>
    </row>
    <row r="120" spans="1:21">
      <c r="A120" s="105" t="str">
        <f t="shared" si="27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499">
        <v>1296116.4099999999</v>
      </c>
      <c r="H120" s="499">
        <v>2492958.5700000003</v>
      </c>
      <c r="I120" s="499">
        <v>1988435.53</v>
      </c>
      <c r="J120" s="499">
        <v>1904853.6400000001</v>
      </c>
      <c r="K120" s="499">
        <v>1750586.83</v>
      </c>
      <c r="L120" s="499">
        <v>1838301.37</v>
      </c>
      <c r="M120" s="499">
        <v>2255237.94</v>
      </c>
      <c r="N120" s="499">
        <v>2476077.38</v>
      </c>
      <c r="O120" s="499">
        <v>2017779.69</v>
      </c>
      <c r="P120" s="499">
        <v>2411631.87</v>
      </c>
      <c r="Q120" s="499">
        <v>2067622.5</v>
      </c>
      <c r="R120" s="499">
        <v>3060398.27</v>
      </c>
      <c r="S120" s="101">
        <f t="shared" si="28"/>
        <v>25560000.000000004</v>
      </c>
      <c r="T120" s="436">
        <f t="shared" si="29"/>
        <v>0.32088783990760039</v>
      </c>
      <c r="U120" s="243"/>
    </row>
    <row r="121" spans="1:21">
      <c r="A121" s="105" t="str">
        <f t="shared" si="27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499">
        <v>679384.88</v>
      </c>
      <c r="H121" s="499">
        <v>1285506.25</v>
      </c>
      <c r="I121" s="499">
        <v>1733649.23</v>
      </c>
      <c r="J121" s="499">
        <v>1422819.31</v>
      </c>
      <c r="K121" s="499">
        <v>1103945.73</v>
      </c>
      <c r="L121" s="499">
        <v>1467545.6500000001</v>
      </c>
      <c r="M121" s="499">
        <v>1458380.57</v>
      </c>
      <c r="N121" s="499">
        <v>1235267.19</v>
      </c>
      <c r="O121" s="499">
        <v>1589435.75</v>
      </c>
      <c r="P121" s="499">
        <v>1406533.8599999999</v>
      </c>
      <c r="Q121" s="499">
        <v>1676066.2599999998</v>
      </c>
      <c r="R121" s="499">
        <v>1641465.3199999998</v>
      </c>
      <c r="S121" s="101">
        <f t="shared" si="28"/>
        <v>16700000</v>
      </c>
      <c r="T121" s="436">
        <f t="shared" si="29"/>
        <v>0.20965676551083437</v>
      </c>
      <c r="U121" s="243"/>
    </row>
    <row r="122" spans="1:21">
      <c r="A122" s="105" t="str">
        <f t="shared" si="27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510">
        <v>24931013.689999998</v>
      </c>
      <c r="H122" s="510">
        <v>31180928.069999997</v>
      </c>
      <c r="I122" s="510">
        <v>39918580.100000001</v>
      </c>
      <c r="J122" s="510">
        <v>40676903.800000004</v>
      </c>
      <c r="K122" s="510">
        <v>29994454.979999997</v>
      </c>
      <c r="L122" s="510">
        <v>44921912.290000007</v>
      </c>
      <c r="M122" s="510">
        <v>39798592.359999999</v>
      </c>
      <c r="N122" s="510">
        <v>25912246.900000006</v>
      </c>
      <c r="O122" s="510">
        <v>35907613.540000007</v>
      </c>
      <c r="P122" s="510">
        <v>33699136.390000001</v>
      </c>
      <c r="Q122" s="510">
        <v>32226924.029999997</v>
      </c>
      <c r="R122" s="510">
        <v>67235988.709999993</v>
      </c>
      <c r="S122" s="546">
        <f>+SUM(G122:R122)</f>
        <v>446404294.86000001</v>
      </c>
      <c r="T122" s="522">
        <f t="shared" si="29"/>
        <v>5.6042922497300829</v>
      </c>
      <c r="U122" s="243"/>
    </row>
    <row r="123" spans="1:21">
      <c r="A123" s="105" t="str">
        <f t="shared" si="27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510">
        <v>5501947.6000000006</v>
      </c>
      <c r="H123" s="510">
        <v>13559201.519999998</v>
      </c>
      <c r="I123" s="510">
        <v>20399713.319999993</v>
      </c>
      <c r="J123" s="510">
        <v>25745571.160000011</v>
      </c>
      <c r="K123" s="510">
        <v>15614229.359999996</v>
      </c>
      <c r="L123" s="510">
        <v>17136236.030000009</v>
      </c>
      <c r="M123" s="510">
        <v>26831930.680000003</v>
      </c>
      <c r="N123" s="510">
        <v>12551879.530000005</v>
      </c>
      <c r="O123" s="510">
        <v>30540650.899999999</v>
      </c>
      <c r="P123" s="510">
        <v>31370855.230000012</v>
      </c>
      <c r="Q123" s="510">
        <v>29504258.710000005</v>
      </c>
      <c r="R123" s="510">
        <v>94133149.759999976</v>
      </c>
      <c r="S123" s="546">
        <f>+SUM(G123:R123)</f>
        <v>322889623.80000001</v>
      </c>
      <c r="T123" s="522">
        <f t="shared" si="29"/>
        <v>4.0536523438873129</v>
      </c>
      <c r="U123" s="243"/>
    </row>
    <row r="124" spans="1:21">
      <c r="A124" s="105" t="str">
        <f t="shared" si="27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43"/>
    </row>
    <row r="125" spans="1:21">
      <c r="A125" s="105" t="str">
        <f t="shared" si="27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501">
        <v>8050000</v>
      </c>
      <c r="H125" s="501">
        <v>8050000</v>
      </c>
      <c r="I125" s="501">
        <v>2744200</v>
      </c>
      <c r="J125" s="501">
        <v>2744200</v>
      </c>
      <c r="K125" s="501">
        <v>2744200</v>
      </c>
      <c r="L125" s="501">
        <v>2744200</v>
      </c>
      <c r="M125" s="501">
        <v>2744200</v>
      </c>
      <c r="N125" s="501">
        <v>2744200</v>
      </c>
      <c r="O125" s="501">
        <v>2744200</v>
      </c>
      <c r="P125" s="501">
        <v>2744200</v>
      </c>
      <c r="Q125" s="501">
        <v>2744200</v>
      </c>
      <c r="R125" s="501">
        <v>2744200</v>
      </c>
      <c r="S125" s="101">
        <f t="shared" si="28"/>
        <v>43542000</v>
      </c>
      <c r="T125" s="436">
        <f t="shared" si="29"/>
        <v>0.54663921460315867</v>
      </c>
      <c r="U125" s="243"/>
    </row>
    <row r="126" spans="1:21">
      <c r="A126" s="105" t="str">
        <f t="shared" si="27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499">
        <v>4100000</v>
      </c>
      <c r="H126" s="499">
        <v>0</v>
      </c>
      <c r="I126" s="499">
        <v>0.4</v>
      </c>
      <c r="J126" s="499">
        <v>0.4</v>
      </c>
      <c r="K126" s="499">
        <v>0.4</v>
      </c>
      <c r="L126" s="499">
        <v>0.4</v>
      </c>
      <c r="M126" s="499">
        <v>0.4</v>
      </c>
      <c r="N126" s="499">
        <v>0.4</v>
      </c>
      <c r="O126" s="499">
        <v>0.4</v>
      </c>
      <c r="P126" s="499">
        <v>0.4</v>
      </c>
      <c r="Q126" s="499">
        <v>0.4</v>
      </c>
      <c r="R126" s="499">
        <v>0.4</v>
      </c>
      <c r="S126" s="101">
        <f t="shared" si="28"/>
        <v>4100003.9999999991</v>
      </c>
      <c r="T126" s="436">
        <f t="shared" si="29"/>
        <v>5.1472669294699562E-2</v>
      </c>
      <c r="U126" s="243"/>
    </row>
    <row r="127" spans="1:21">
      <c r="A127" s="106" t="str">
        <f t="shared" si="27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502">
        <v>2082188.5899999999</v>
      </c>
      <c r="H127" s="501">
        <v>2163488.44</v>
      </c>
      <c r="I127" s="501">
        <v>3283784.5499999984</v>
      </c>
      <c r="J127" s="501">
        <v>2152442.1499999985</v>
      </c>
      <c r="K127" s="501">
        <v>2143361.0899999985</v>
      </c>
      <c r="L127" s="501">
        <v>2478429.92</v>
      </c>
      <c r="M127" s="501">
        <v>2693042.0200000005</v>
      </c>
      <c r="N127" s="501">
        <v>773149.11999999965</v>
      </c>
      <c r="O127" s="501">
        <v>1271596.98</v>
      </c>
      <c r="P127" s="501">
        <v>1063836.8799999992</v>
      </c>
      <c r="Q127" s="501">
        <v>1305211.3999999999</v>
      </c>
      <c r="R127" s="501">
        <v>2144956.1999999997</v>
      </c>
      <c r="S127" s="92">
        <f>+SUM(G127:R127)</f>
        <v>23555487.339999992</v>
      </c>
      <c r="T127" s="444">
        <f t="shared" si="29"/>
        <v>0.29572259196022788</v>
      </c>
      <c r="U127" s="243"/>
    </row>
    <row r="128" spans="1:21" ht="13.5" thickBot="1">
      <c r="A128" s="105" t="str">
        <f t="shared" si="27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43"/>
    </row>
    <row r="129" spans="1:21" ht="13.5" thickBot="1">
      <c r="A129" s="106" t="str">
        <f t="shared" si="27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504">
        <f t="shared" ref="G129:R129" si="34">+G86-G105</f>
        <v>-55070863.040000051</v>
      </c>
      <c r="H129" s="505">
        <f t="shared" si="34"/>
        <v>-48438434.947298497</v>
      </c>
      <c r="I129" s="504">
        <f t="shared" si="34"/>
        <v>-17303118.139224499</v>
      </c>
      <c r="J129" s="504">
        <f t="shared" si="34"/>
        <v>45151774.289589822</v>
      </c>
      <c r="K129" s="504">
        <f t="shared" si="34"/>
        <v>-30469294.758635521</v>
      </c>
      <c r="L129" s="504">
        <f t="shared" si="34"/>
        <v>-10162713.438242584</v>
      </c>
      <c r="M129" s="504">
        <f t="shared" si="34"/>
        <v>-12074440.568551838</v>
      </c>
      <c r="N129" s="504">
        <f t="shared" si="34"/>
        <v>42018300.073196143</v>
      </c>
      <c r="O129" s="504">
        <f t="shared" si="34"/>
        <v>-17166538.36333555</v>
      </c>
      <c r="P129" s="504">
        <f t="shared" si="34"/>
        <v>-3575779.3739515245</v>
      </c>
      <c r="Q129" s="504">
        <f t="shared" si="34"/>
        <v>-21305603.359269947</v>
      </c>
      <c r="R129" s="504">
        <f t="shared" si="34"/>
        <v>-149748654.59929624</v>
      </c>
      <c r="S129" s="550">
        <f t="shared" si="28"/>
        <v>-278145366.22502029</v>
      </c>
      <c r="T129" s="531">
        <f t="shared" si="29"/>
        <v>-3.491919630213427</v>
      </c>
      <c r="U129" s="243"/>
    </row>
    <row r="130" spans="1:21" ht="13.5" thickBot="1">
      <c r="A130" s="106" t="str">
        <f t="shared" si="27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506">
        <f>+G129+G112</f>
        <v>-51265629.370000049</v>
      </c>
      <c r="H130" s="506">
        <f t="shared" ref="H130:R130" si="35">+H129+H112</f>
        <v>-44860181.867298499</v>
      </c>
      <c r="I130" s="506">
        <f t="shared" si="35"/>
        <v>8510848.7507755011</v>
      </c>
      <c r="J130" s="506">
        <f t="shared" si="35"/>
        <v>66846387.189589821</v>
      </c>
      <c r="K130" s="506">
        <f t="shared" si="35"/>
        <v>-17580676.218635522</v>
      </c>
      <c r="L130" s="506">
        <f t="shared" si="35"/>
        <v>-3107832.2882425822</v>
      </c>
      <c r="M130" s="506">
        <f t="shared" si="35"/>
        <v>-7449348.7085518371</v>
      </c>
      <c r="N130" s="506">
        <f t="shared" si="35"/>
        <v>47349842.333196141</v>
      </c>
      <c r="O130" s="506">
        <f t="shared" si="35"/>
        <v>6423236.6566644497</v>
      </c>
      <c r="P130" s="506">
        <f t="shared" si="35"/>
        <v>11203922.606048476</v>
      </c>
      <c r="Q130" s="506">
        <f t="shared" si="35"/>
        <v>-10970971.899269946</v>
      </c>
      <c r="R130" s="506">
        <f t="shared" si="35"/>
        <v>-123722985.90929624</v>
      </c>
      <c r="S130" s="550">
        <f t="shared" si="28"/>
        <v>-118623388.72502029</v>
      </c>
      <c r="T130" s="531">
        <f t="shared" si="29"/>
        <v>-1.4892332930552175</v>
      </c>
      <c r="U130" s="243"/>
    </row>
    <row r="131" spans="1:21">
      <c r="A131" s="106" t="str">
        <f t="shared" si="27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507">
        <f>+SUM(G132:G133)</f>
        <v>34629783.640000001</v>
      </c>
      <c r="H131" s="507">
        <f t="shared" ref="H131:R131" si="36">+SUM(H132:H133)</f>
        <v>9258152.0600000005</v>
      </c>
      <c r="I131" s="507">
        <f t="shared" si="36"/>
        <v>37277725.75</v>
      </c>
      <c r="J131" s="507">
        <f t="shared" si="36"/>
        <v>509032718.42000002</v>
      </c>
      <c r="K131" s="507">
        <f t="shared" si="36"/>
        <v>51424972.890000001</v>
      </c>
      <c r="L131" s="507">
        <f t="shared" si="36"/>
        <v>38999380.129999995</v>
      </c>
      <c r="M131" s="508">
        <f t="shared" si="36"/>
        <v>34464831.550000004</v>
      </c>
      <c r="N131" s="507">
        <f t="shared" si="36"/>
        <v>12238304.779999999</v>
      </c>
      <c r="O131" s="507">
        <f t="shared" si="36"/>
        <v>26363598.969999999</v>
      </c>
      <c r="P131" s="507">
        <f t="shared" si="36"/>
        <v>15223291.52</v>
      </c>
      <c r="Q131" s="507">
        <f t="shared" si="36"/>
        <v>24879249.909999996</v>
      </c>
      <c r="R131" s="507">
        <f t="shared" si="36"/>
        <v>27119636.140000001</v>
      </c>
      <c r="S131" s="551">
        <f t="shared" si="28"/>
        <v>820911645.75999987</v>
      </c>
      <c r="T131" s="533">
        <f t="shared" si="29"/>
        <v>10.305968887438169</v>
      </c>
      <c r="U131" s="243"/>
    </row>
    <row r="132" spans="1:21">
      <c r="A132" s="106" t="str">
        <f t="shared" si="27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502">
        <v>1994016.24</v>
      </c>
      <c r="H132" s="502">
        <v>1708211.7699999998</v>
      </c>
      <c r="I132" s="502">
        <v>4420663.5200000005</v>
      </c>
      <c r="J132" s="502">
        <v>2031985.0399999998</v>
      </c>
      <c r="K132" s="502">
        <v>2791685.76</v>
      </c>
      <c r="L132" s="502">
        <v>15431758.25</v>
      </c>
      <c r="M132" s="503">
        <v>1717903.2899999998</v>
      </c>
      <c r="N132" s="503">
        <v>1752462.0999999999</v>
      </c>
      <c r="O132" s="503">
        <v>4555783.9000000004</v>
      </c>
      <c r="P132" s="503">
        <v>1747992.7799999998</v>
      </c>
      <c r="Q132" s="503">
        <v>2865405.01</v>
      </c>
      <c r="R132" s="503">
        <v>15763777.100000001</v>
      </c>
      <c r="S132" s="92">
        <f t="shared" si="28"/>
        <v>56781644.759999998</v>
      </c>
      <c r="T132" s="444">
        <f t="shared" si="29"/>
        <v>0.71285365154292313</v>
      </c>
      <c r="U132" s="243"/>
    </row>
    <row r="133" spans="1:21" ht="13.5" thickBot="1">
      <c r="A133" s="106" t="str">
        <f t="shared" si="27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502">
        <v>32635767.399999999</v>
      </c>
      <c r="H133" s="502">
        <v>7549940.29</v>
      </c>
      <c r="I133" s="502">
        <v>32857062.23</v>
      </c>
      <c r="J133" s="502">
        <v>507000733.38</v>
      </c>
      <c r="K133" s="502">
        <v>48633287.130000003</v>
      </c>
      <c r="L133" s="502">
        <v>23567621.879999999</v>
      </c>
      <c r="M133" s="503">
        <v>32746928.260000002</v>
      </c>
      <c r="N133" s="503">
        <v>10485842.68</v>
      </c>
      <c r="O133" s="503">
        <v>21807815.07</v>
      </c>
      <c r="P133" s="503">
        <v>13475298.74</v>
      </c>
      <c r="Q133" s="503">
        <v>22013844.899999999</v>
      </c>
      <c r="R133" s="503">
        <v>11355859.039999999</v>
      </c>
      <c r="S133" s="92">
        <f t="shared" si="28"/>
        <v>764130000.99999988</v>
      </c>
      <c r="T133" s="444">
        <f t="shared" si="29"/>
        <v>9.5931152358952456</v>
      </c>
      <c r="U133" s="243"/>
    </row>
    <row r="134" spans="1:21" ht="13.5" thickBot="1">
      <c r="A134" s="106" t="str">
        <f t="shared" si="27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504">
        <v>0</v>
      </c>
      <c r="H134" s="504">
        <v>5000</v>
      </c>
      <c r="I134" s="504">
        <v>3420000.36</v>
      </c>
      <c r="J134" s="504">
        <v>3420000.36</v>
      </c>
      <c r="K134" s="504">
        <v>3420000.36</v>
      </c>
      <c r="L134" s="504">
        <v>3420000.36</v>
      </c>
      <c r="M134" s="504">
        <v>3420000.36</v>
      </c>
      <c r="N134" s="504">
        <v>3420000.36</v>
      </c>
      <c r="O134" s="504">
        <v>3420000.36</v>
      </c>
      <c r="P134" s="504">
        <v>3420000.36</v>
      </c>
      <c r="Q134" s="504">
        <v>3420000.36</v>
      </c>
      <c r="R134" s="504">
        <v>3420001.36</v>
      </c>
      <c r="S134" s="550">
        <f t="shared" si="28"/>
        <v>34205004.600000001</v>
      </c>
      <c r="T134" s="531">
        <f t="shared" si="29"/>
        <v>0.42941979812689884</v>
      </c>
      <c r="U134" s="243"/>
    </row>
    <row r="135" spans="1:21" ht="13.5" thickBot="1">
      <c r="A135" s="106" t="s">
        <v>856</v>
      </c>
      <c r="B135" s="627" t="s">
        <v>113</v>
      </c>
      <c r="C135" s="628"/>
      <c r="D135" s="628"/>
      <c r="E135" s="628"/>
      <c r="F135" s="628"/>
      <c r="G135" s="500">
        <v>0</v>
      </c>
      <c r="H135" s="500">
        <v>1500000</v>
      </c>
      <c r="I135" s="500">
        <v>780000.59999999986</v>
      </c>
      <c r="J135" s="500">
        <v>780000.59999999986</v>
      </c>
      <c r="K135" s="500">
        <v>780000.59999999986</v>
      </c>
      <c r="L135" s="500">
        <v>780000.59999999986</v>
      </c>
      <c r="M135" s="500">
        <v>180000.6</v>
      </c>
      <c r="N135" s="500">
        <v>180000.6</v>
      </c>
      <c r="O135" s="500">
        <v>780000.59999999986</v>
      </c>
      <c r="P135" s="500">
        <v>780000.59999999986</v>
      </c>
      <c r="Q135" s="500">
        <v>480000.60000000003</v>
      </c>
      <c r="R135" s="500">
        <v>480000.60000000003</v>
      </c>
      <c r="S135" s="550">
        <f t="shared" si="28"/>
        <v>7500005.9999999963</v>
      </c>
      <c r="T135" s="531">
        <f t="shared" si="29"/>
        <v>9.4157305345619766E-2</v>
      </c>
      <c r="U135" s="243"/>
    </row>
    <row r="136" spans="1:21" ht="13.5" thickBot="1">
      <c r="A136" s="106" t="str">
        <f>+CONCATENATE(A60,"p")</f>
        <v>1002p</v>
      </c>
      <c r="B136" s="653" t="str">
        <f>+VLOOKUP(LEFT($A136,LEN(A136)-1)*1,Master!$D$30:$G$226,4,FALSE)</f>
        <v>Nedostajuća sredstva</v>
      </c>
      <c r="C136" s="654"/>
      <c r="D136" s="654"/>
      <c r="E136" s="654"/>
      <c r="F136" s="654"/>
      <c r="G136" s="509">
        <f>+G129-G131-G134-G135</f>
        <v>-89700646.680000052</v>
      </c>
      <c r="H136" s="509">
        <f t="shared" ref="H136:R136" si="37">+H129-H131-H134-H135</f>
        <v>-59201587.007298499</v>
      </c>
      <c r="I136" s="509">
        <f t="shared" si="37"/>
        <v>-58780844.8492245</v>
      </c>
      <c r="J136" s="509">
        <f t="shared" si="37"/>
        <v>-468080945.09041023</v>
      </c>
      <c r="K136" s="509">
        <f t="shared" si="37"/>
        <v>-86094268.608635515</v>
      </c>
      <c r="L136" s="509">
        <f t="shared" si="37"/>
        <v>-53362094.528242581</v>
      </c>
      <c r="M136" s="509">
        <f t="shared" si="37"/>
        <v>-50139273.078551844</v>
      </c>
      <c r="N136" s="509">
        <f t="shared" si="37"/>
        <v>26179994.333196141</v>
      </c>
      <c r="O136" s="509">
        <f t="shared" si="37"/>
        <v>-47730138.29333555</v>
      </c>
      <c r="P136" s="509">
        <f t="shared" si="37"/>
        <v>-22999071.853951525</v>
      </c>
      <c r="Q136" s="509">
        <f t="shared" si="37"/>
        <v>-50084854.229269944</v>
      </c>
      <c r="R136" s="509">
        <f t="shared" si="37"/>
        <v>-180768292.69929627</v>
      </c>
      <c r="S136" s="552">
        <f t="shared" si="28"/>
        <v>-1140762022.5850205</v>
      </c>
      <c r="T136" s="535">
        <f t="shared" si="29"/>
        <v>-14.321465621124119</v>
      </c>
      <c r="U136" s="243"/>
    </row>
    <row r="137" spans="1:21" ht="13.5" thickBot="1">
      <c r="A137" s="106" t="str">
        <f>+CONCATENATE(A61,"p")</f>
        <v>1003p</v>
      </c>
      <c r="B137" s="627" t="str">
        <f>+VLOOKUP(LEFT($A137,LEN(A137)-1)*1,Master!$D$30:$G$226,4,FALSE)</f>
        <v>Finansiranje</v>
      </c>
      <c r="C137" s="628"/>
      <c r="D137" s="628"/>
      <c r="E137" s="628"/>
      <c r="F137" s="628"/>
      <c r="G137" s="504">
        <f t="shared" ref="G137" si="38">+SUM(G138:G142)</f>
        <v>89700646.680000052</v>
      </c>
      <c r="H137" s="504">
        <f t="shared" ref="H137:R137" si="39">+SUM(H138:H142)</f>
        <v>59201587.007298499</v>
      </c>
      <c r="I137" s="504">
        <f t="shared" si="39"/>
        <v>58780844.8492245</v>
      </c>
      <c r="J137" s="504">
        <f t="shared" si="39"/>
        <v>468080945.09041023</v>
      </c>
      <c r="K137" s="504">
        <f t="shared" si="39"/>
        <v>86094268.608635515</v>
      </c>
      <c r="L137" s="504">
        <f t="shared" si="39"/>
        <v>53362094.528242581</v>
      </c>
      <c r="M137" s="504">
        <f t="shared" si="39"/>
        <v>50139273.078551844</v>
      </c>
      <c r="N137" s="504">
        <f t="shared" si="39"/>
        <v>-26179994.333196141</v>
      </c>
      <c r="O137" s="504">
        <f t="shared" si="39"/>
        <v>47730138.29333555</v>
      </c>
      <c r="P137" s="504">
        <f t="shared" si="39"/>
        <v>22999071.853951525</v>
      </c>
      <c r="Q137" s="504">
        <f t="shared" si="39"/>
        <v>50084854.229269944</v>
      </c>
      <c r="R137" s="504">
        <f t="shared" si="39"/>
        <v>180768292.69929627</v>
      </c>
      <c r="S137" s="553">
        <f t="shared" si="28"/>
        <v>1140762022.5850205</v>
      </c>
      <c r="T137" s="537">
        <f t="shared" si="29"/>
        <v>14.321465621124119</v>
      </c>
      <c r="U137" s="243"/>
    </row>
    <row r="138" spans="1:21">
      <c r="A138" s="106" t="str">
        <f>+CONCATENATE(A62,"p")</f>
        <v>7511p</v>
      </c>
      <c r="B138" s="655" t="str">
        <f>+VLOOKUP(LEFT($A138,LEN(A138)-1)*1,Master!$D$30:$G$226,4,FALSE)</f>
        <v>Pozajmice i krediti od domaćih izvora</v>
      </c>
      <c r="C138" s="656"/>
      <c r="D138" s="656"/>
      <c r="E138" s="656"/>
      <c r="F138" s="656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35014118.590000004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28"/>
        <v>35014118.590000004</v>
      </c>
      <c r="T138" s="444">
        <f t="shared" si="29"/>
        <v>0.43957765573605856</v>
      </c>
      <c r="U138" s="243"/>
    </row>
    <row r="139" spans="1:21">
      <c r="A139" s="106" t="str">
        <f>+CONCATENATE(A63,"p")</f>
        <v>7512p</v>
      </c>
      <c r="B139" s="649" t="str">
        <f>+VLOOKUP(LEFT($A139,LEN(A139)-1)*1,Master!$D$30:$G$226,4,FALSE)</f>
        <v>Pozajmice i krediti od inostranih izvora</v>
      </c>
      <c r="C139" s="650"/>
      <c r="D139" s="650"/>
      <c r="E139" s="650"/>
      <c r="F139" s="650"/>
      <c r="G139" s="502">
        <v>0</v>
      </c>
      <c r="H139" s="502">
        <v>0</v>
      </c>
      <c r="I139" s="502">
        <v>0</v>
      </c>
      <c r="J139" s="502">
        <v>850000000</v>
      </c>
      <c r="K139" s="502">
        <v>0</v>
      </c>
      <c r="L139" s="502">
        <v>0</v>
      </c>
      <c r="M139" s="502">
        <v>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28"/>
        <v>850000000</v>
      </c>
      <c r="T139" s="444">
        <f t="shared" si="29"/>
        <v>10.671152735581389</v>
      </c>
      <c r="U139" s="243"/>
    </row>
    <row r="140" spans="1:21">
      <c r="A140" s="106" t="str">
        <f>+CONCATENATE(A64,"p")</f>
        <v>72p</v>
      </c>
      <c r="B140" s="649" t="str">
        <f>+VLOOKUP(LEFT($A140,LEN(A140)-1)*1,Master!$D$30:$G$226,4,FALSE)</f>
        <v>Primici od prodaje imovine</v>
      </c>
      <c r="C140" s="650"/>
      <c r="D140" s="650"/>
      <c r="E140" s="650"/>
      <c r="F140" s="650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7.5325784015868633E-2</v>
      </c>
      <c r="U140" s="243"/>
    </row>
    <row r="141" spans="1:21">
      <c r="A141" s="106" t="s">
        <v>855</v>
      </c>
      <c r="B141" s="558" t="s">
        <v>101</v>
      </c>
      <c r="C141" s="559"/>
      <c r="D141" s="559"/>
      <c r="E141" s="559"/>
      <c r="F141" s="559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28"/>
        <v>9747904</v>
      </c>
      <c r="T141" s="444">
        <f t="shared" si="29"/>
        <v>0.12237808521857031</v>
      </c>
      <c r="U141" s="243"/>
    </row>
    <row r="142" spans="1:21" ht="13.5" thickBot="1">
      <c r="A142" s="106" t="str">
        <f t="shared" ref="A142" si="40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89119124.34348534</v>
      </c>
      <c r="H142" s="86">
        <f t="shared" ref="H142:R142" si="41">-H136-SUM(H138:H141)</f>
        <v>58255613.894182786</v>
      </c>
      <c r="I142" s="86">
        <f t="shared" si="41"/>
        <v>57977697.339923441</v>
      </c>
      <c r="J142" s="86">
        <f t="shared" si="41"/>
        <v>-382830726.20150948</v>
      </c>
      <c r="K142" s="86">
        <f t="shared" si="41"/>
        <v>84641049.798458472</v>
      </c>
      <c r="L142" s="86">
        <f t="shared" si="41"/>
        <v>16317045.345546715</v>
      </c>
      <c r="M142" s="86">
        <f t="shared" si="41"/>
        <v>49480553.214294419</v>
      </c>
      <c r="N142" s="86">
        <f>-N136-SUM(N138:N141)</f>
        <v>-28207447.298324399</v>
      </c>
      <c r="O142" s="86">
        <f>-O136-SUM(O138:O141)</f>
        <v>47013701.483625539</v>
      </c>
      <c r="P142" s="86">
        <f t="shared" si="41"/>
        <v>22235885.1641916</v>
      </c>
      <c r="Q142" s="86">
        <f t="shared" si="41"/>
        <v>47881261.753553711</v>
      </c>
      <c r="R142" s="86">
        <f t="shared" si="41"/>
        <v>178116241.15759218</v>
      </c>
      <c r="S142" s="94">
        <f>+SUM(G142:R142)</f>
        <v>239999999.99502033</v>
      </c>
      <c r="T142" s="448">
        <f t="shared" si="29"/>
        <v>3.0130313605722292</v>
      </c>
    </row>
    <row r="144" spans="1:21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9HrrgvwcF+oZlRvBimgW3WyUXxRdGEeCauvI5vk2UL3vzJ2qo1g8rEVfbK/9i5fjyTSXlvAT4A8k9foDOSBRDA==" saltValue="LxsKfPBlMmPmPWMSgKG3XQ==" spinCount="100000" sheet="1" objects="1" scenarios="1"/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horizontalDpi="4294967294" verticalDpi="4294967294" r:id="rId1"/>
  <ignoredErrors>
    <ignoredError sqref="G40:H40 G55:H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2023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6963615000</v>
      </c>
    </row>
    <row r="8" spans="1:24" ht="16.5" customHeight="1">
      <c r="A8" s="129"/>
      <c r="B8" s="566"/>
      <c r="C8" s="567"/>
      <c r="D8" s="567"/>
      <c r="E8" s="567"/>
      <c r="F8" s="568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4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62" t="s">
        <v>101</v>
      </c>
      <c r="C65" s="563"/>
      <c r="D65" s="563"/>
      <c r="E65" s="563"/>
      <c r="F65" s="563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2023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6624340418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18" t="str">
        <f>+Master!G247</f>
        <v>Jan - Dec</v>
      </c>
      <c r="T84" s="620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27" t="s">
        <v>113</v>
      </c>
      <c r="C135" s="628"/>
      <c r="D135" s="628"/>
      <c r="E135" s="628"/>
      <c r="F135" s="628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53" t="str">
        <f>+VLOOKUP(LEFT($A136,LEN(A136)-1)*1,Master!$D$30:$G$226,4,FALSE)</f>
        <v>Nedostajuća sredstva</v>
      </c>
      <c r="C136" s="654"/>
      <c r="D136" s="654"/>
      <c r="E136" s="654"/>
      <c r="F136" s="654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27" t="str">
        <f>+VLOOKUP(LEFT($A137,LEN(A137)-1)*1,Master!$D$30:$G$226,4,FALSE)</f>
        <v>Finansiranje</v>
      </c>
      <c r="C137" s="628"/>
      <c r="D137" s="628"/>
      <c r="E137" s="628"/>
      <c r="F137" s="628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55" t="str">
        <f>+VLOOKUP(LEFT($A138,LEN(A138)-1)*1,Master!$D$30:$G$226,4,FALSE)</f>
        <v>Pozajmice i krediti od domaćih izvora</v>
      </c>
      <c r="C138" s="656"/>
      <c r="D138" s="656"/>
      <c r="E138" s="656"/>
      <c r="F138" s="656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49" t="str">
        <f>+VLOOKUP(LEFT($A139,LEN(A139)-1)*1,Master!$D$30:$G$226,4,FALSE)</f>
        <v>Pozajmice i krediti od inostranih izvora</v>
      </c>
      <c r="C139" s="650"/>
      <c r="D139" s="650"/>
      <c r="E139" s="650"/>
      <c r="F139" s="650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49" t="str">
        <f>+VLOOKUP(LEFT($A140,LEN(A140)-1)*1,Master!$D$30:$G$226,4,FALSE)</f>
        <v>Primici od prodaje imovine</v>
      </c>
      <c r="C140" s="650"/>
      <c r="D140" s="650"/>
      <c r="E140" s="650"/>
      <c r="F140" s="650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2022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5796761000</v>
      </c>
    </row>
    <row r="8" spans="1:23" ht="16.5" customHeight="1">
      <c r="A8" s="129"/>
      <c r="B8" s="566"/>
      <c r="C8" s="567"/>
      <c r="D8" s="567"/>
      <c r="E8" s="567"/>
      <c r="F8" s="568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3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78" t="str">
        <f>+VLOOKUP($A63,Master!$D$30:$G$226,4,FALSE)</f>
        <v>Pozajmice i krediti od inostranih izvora</v>
      </c>
      <c r="C63" s="579"/>
      <c r="D63" s="579"/>
      <c r="E63" s="579"/>
      <c r="F63" s="579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62" t="s">
        <v>101</v>
      </c>
      <c r="C65" s="563"/>
      <c r="D65" s="563"/>
      <c r="E65" s="563"/>
      <c r="F65" s="563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2022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5700400000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18" t="str">
        <f>+Master!G247</f>
        <v>Jan - Dec</v>
      </c>
      <c r="T84" s="620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53" t="str">
        <f>+VLOOKUP(LEFT($A135,LEN(A135)-1)*1,Master!$D$30:$G$226,4,FALSE)</f>
        <v>Nedostajuća sredstva</v>
      </c>
      <c r="C135" s="654"/>
      <c r="D135" s="654"/>
      <c r="E135" s="654"/>
      <c r="F135" s="654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27" t="str">
        <f>+VLOOKUP(LEFT($A136,LEN(A136)-1)*1,Master!$D$30:$G$226,4,FALSE)</f>
        <v>Finansiranje</v>
      </c>
      <c r="C136" s="628"/>
      <c r="D136" s="628"/>
      <c r="E136" s="628"/>
      <c r="F136" s="628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55" t="str">
        <f>+VLOOKUP(LEFT($A137,LEN(A137)-1)*1,Master!$D$30:$G$226,4,FALSE)</f>
        <v>Pozajmice i krediti od domaćih izvora</v>
      </c>
      <c r="C137" s="656"/>
      <c r="D137" s="656"/>
      <c r="E137" s="656"/>
      <c r="F137" s="656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49" t="str">
        <f>+VLOOKUP(LEFT($A138,LEN(A138)-1)*1,Master!$D$30:$G$226,4,FALSE)</f>
        <v>Pozajmice i krediti od inostranih izvora</v>
      </c>
      <c r="C138" s="650"/>
      <c r="D138" s="650"/>
      <c r="E138" s="650"/>
      <c r="F138" s="650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49" t="str">
        <f>+VLOOKUP(LEFT($A139,LEN(A139)-1)*1,Master!$D$30:$G$226,4,FALSE)</f>
        <v>Primici od prodaje imovine</v>
      </c>
      <c r="C139" s="650"/>
      <c r="D139" s="650"/>
      <c r="E139" s="650"/>
      <c r="F139" s="650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2021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4955116000</v>
      </c>
    </row>
    <row r="8" spans="1:22" ht="16.5" customHeight="1">
      <c r="A8" s="129"/>
      <c r="B8" s="566"/>
      <c r="C8" s="567"/>
      <c r="D8" s="567"/>
      <c r="E8" s="567"/>
      <c r="F8" s="568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2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06" t="str">
        <f>+VLOOKUP($A10,Master!$D$30:$G$226,4,FALSE)</f>
        <v>Prihodi budžeta</v>
      </c>
      <c r="C10" s="607"/>
      <c r="D10" s="607"/>
      <c r="E10" s="607"/>
      <c r="F10" s="607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604" t="str">
        <f>+VLOOKUP($A19,Master!$D$30:$G$226,4,FALSE)</f>
        <v>Doprinosi</v>
      </c>
      <c r="C19" s="605"/>
      <c r="D19" s="605"/>
      <c r="E19" s="605"/>
      <c r="F19" s="605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12" t="str">
        <f>+VLOOKUP($A39,Master!$D$30:$G$226,4,FALSE)</f>
        <v>Ostali izdaci</v>
      </c>
      <c r="C39" s="613"/>
      <c r="D39" s="613"/>
      <c r="E39" s="613"/>
      <c r="F39" s="613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82" t="str">
        <f>+VLOOKUP($A59,Master!$D$30:$G$226,4,FALSE)</f>
        <v>Nedostajuća sredstva</v>
      </c>
      <c r="C59" s="583"/>
      <c r="D59" s="583"/>
      <c r="E59" s="583"/>
      <c r="F59" s="583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84" t="str">
        <f>+VLOOKUP($A60,Master!$D$30:$G$226,4,FALSE)</f>
        <v>Finansiranje</v>
      </c>
      <c r="C60" s="585"/>
      <c r="D60" s="585"/>
      <c r="E60" s="585"/>
      <c r="F60" s="585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78" t="str">
        <f>+VLOOKUP($A61,Master!$D$30:$G$226,4,FALSE)</f>
        <v>Pozajmice i krediti od domaćih izvora</v>
      </c>
      <c r="C61" s="579"/>
      <c r="D61" s="579"/>
      <c r="E61" s="579"/>
      <c r="F61" s="579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62" t="str">
        <f>+VLOOKUP($A62,Master!$D$30:$G$226,4,FALSE)</f>
        <v>Pozajmice i krediti od inostranih izvora</v>
      </c>
      <c r="C62" s="563"/>
      <c r="D62" s="563"/>
      <c r="E62" s="563"/>
      <c r="F62" s="563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62" t="str">
        <f>+VLOOKUP($A63,Master!$D$30:$G$226,4,FALSE)</f>
        <v>Primici od prodaje imovine</v>
      </c>
      <c r="C63" s="563"/>
      <c r="D63" s="563"/>
      <c r="E63" s="563"/>
      <c r="F63" s="563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3" t="str">
        <f>+Master!G253</f>
        <v>Plan ostvarenja budžeta</v>
      </c>
      <c r="C81" s="634"/>
      <c r="D81" s="634"/>
      <c r="E81" s="634"/>
      <c r="F81" s="634"/>
      <c r="G81" s="618">
        <v>2021</v>
      </c>
      <c r="H81" s="619"/>
      <c r="I81" s="619"/>
      <c r="J81" s="619"/>
      <c r="K81" s="619"/>
      <c r="L81" s="619"/>
      <c r="M81" s="619"/>
      <c r="N81" s="619"/>
      <c r="O81" s="619"/>
      <c r="P81" s="619"/>
      <c r="Q81" s="619"/>
      <c r="R81" s="620"/>
      <c r="S81" s="96" t="str">
        <f>+S7</f>
        <v>BDP</v>
      </c>
      <c r="T81" s="97">
        <v>4636600000</v>
      </c>
    </row>
    <row r="82" spans="1:21" ht="15.75" customHeight="1">
      <c r="B82" s="635"/>
      <c r="C82" s="636"/>
      <c r="D82" s="636"/>
      <c r="E82" s="636"/>
      <c r="F82" s="637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18" t="str">
        <f>+Master!G247</f>
        <v>Jan - Dec</v>
      </c>
      <c r="T82" s="620">
        <f>+T8</f>
        <v>0</v>
      </c>
    </row>
    <row r="83" spans="1:21" ht="13.5" thickBot="1">
      <c r="B83" s="638"/>
      <c r="C83" s="639"/>
      <c r="D83" s="639"/>
      <c r="E83" s="639"/>
      <c r="F83" s="640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3" t="str">
        <f>+VLOOKUP(LEFT($A84,LEN(A84)-1)*1,Master!$D$30:$G$226,4,FALSE)</f>
        <v>Prihodi budžeta</v>
      </c>
      <c r="C84" s="664"/>
      <c r="D84" s="664"/>
      <c r="E84" s="664"/>
      <c r="F84" s="664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29" t="str">
        <f>+VLOOKUP(LEFT($A85,LEN(A85)-1)*1,Master!$D$30:$G$226,4,FALSE)</f>
        <v>Porezi</v>
      </c>
      <c r="C85" s="630"/>
      <c r="D85" s="630"/>
      <c r="E85" s="630"/>
      <c r="F85" s="630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31" t="str">
        <f>+VLOOKUP(LEFT($A86,LEN(A86)-1)*1,Master!$D$30:$G$229,4,FALSE)</f>
        <v>Porez na dohodak fizičkih lica</v>
      </c>
      <c r="C86" s="632"/>
      <c r="D86" s="632"/>
      <c r="E86" s="632"/>
      <c r="F86" s="632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31" t="str">
        <f>+VLOOKUP(LEFT($A87,LEN(A87)-1)*1,Master!$D$30:$G$229,4,FALSE)</f>
        <v>Porez na dobit pravnih lica</v>
      </c>
      <c r="C87" s="632"/>
      <c r="D87" s="632"/>
      <c r="E87" s="632"/>
      <c r="F87" s="632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31" t="str">
        <f>+VLOOKUP(LEFT($A88,LEN(A88)-1)*1,Master!$D$30:$G$229,4,FALSE)</f>
        <v>Porez na promet nepokretnosti</v>
      </c>
      <c r="C88" s="632"/>
      <c r="D88" s="632"/>
      <c r="E88" s="632"/>
      <c r="F88" s="632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31" t="str">
        <f>+VLOOKUP(LEFT($A89,LEN(A89)-1)*1,Master!$D$30:$G$229,4,FALSE)</f>
        <v>Porez na dodatu vrijednost</v>
      </c>
      <c r="C89" s="632"/>
      <c r="D89" s="632"/>
      <c r="E89" s="632"/>
      <c r="F89" s="632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31" t="str">
        <f>+VLOOKUP(LEFT($A90,LEN(A90)-1)*1,Master!$D$30:$G$229,4,FALSE)</f>
        <v>Akcize</v>
      </c>
      <c r="C90" s="632"/>
      <c r="D90" s="632"/>
      <c r="E90" s="632"/>
      <c r="F90" s="632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31" t="str">
        <f>+VLOOKUP(LEFT($A91,LEN(A91)-1)*1,Master!$D$30:$G$229,4,FALSE)</f>
        <v>Porez na međunarodnu trgovinu i transakcije</v>
      </c>
      <c r="C91" s="632"/>
      <c r="D91" s="632"/>
      <c r="E91" s="632"/>
      <c r="F91" s="632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31" t="str">
        <f>+VLOOKUP(LEFT($A92,LEN(A92)-1)*1,Master!$D$30:$G$229,4,FALSE)</f>
        <v>Ostali državni porezi</v>
      </c>
      <c r="C92" s="632"/>
      <c r="D92" s="632"/>
      <c r="E92" s="632"/>
      <c r="F92" s="632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1" t="str">
        <f>+VLOOKUP(LEFT($A93,LEN(A93)-1)*1,Master!$D$30:$G$229,4,FALSE)</f>
        <v>Doprinosi</v>
      </c>
      <c r="C93" s="662"/>
      <c r="D93" s="662"/>
      <c r="E93" s="662"/>
      <c r="F93" s="662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31" t="str">
        <f>+VLOOKUP(LEFT($A94,LEN(A94)-1)*1,Master!$D$30:$G$229,4,FALSE)</f>
        <v>Doprinosi za penzijsko i invalidsko osiguranje</v>
      </c>
      <c r="C94" s="632"/>
      <c r="D94" s="632"/>
      <c r="E94" s="632"/>
      <c r="F94" s="632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31" t="str">
        <f>+VLOOKUP(LEFT($A95,LEN(A95)-1)*1,Master!$D$30:$G$229,4,FALSE)</f>
        <v>Doprinosi za zdravstveno osiguranje</v>
      </c>
      <c r="C95" s="632"/>
      <c r="D95" s="632"/>
      <c r="E95" s="632"/>
      <c r="F95" s="632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31" t="str">
        <f>+VLOOKUP(LEFT($A96,LEN(A96)-1)*1,Master!$D$30:$G$229,4,FALSE)</f>
        <v>Doprinosi za osiguranje od nezaposlenosti</v>
      </c>
      <c r="C96" s="632"/>
      <c r="D96" s="632"/>
      <c r="E96" s="632"/>
      <c r="F96" s="632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31" t="str">
        <f>+VLOOKUP(LEFT($A97,LEN(A97)-1)*1,Master!$D$30:$G$229,4,FALSE)</f>
        <v>Ostali doprinosi</v>
      </c>
      <c r="C97" s="632"/>
      <c r="D97" s="632"/>
      <c r="E97" s="632"/>
      <c r="F97" s="632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41" t="str">
        <f>+VLOOKUP(LEFT($A98,LEN(A98)-1)*1,Master!$D$30:$G$229,4,FALSE)</f>
        <v>Takse</v>
      </c>
      <c r="C98" s="642"/>
      <c r="D98" s="642"/>
      <c r="E98" s="642"/>
      <c r="F98" s="642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41" t="str">
        <f>+VLOOKUP(LEFT($A99,LEN(A99)-1)*1,Master!$D$30:$G$229,4,FALSE)</f>
        <v>Naknade</v>
      </c>
      <c r="C99" s="642"/>
      <c r="D99" s="642"/>
      <c r="E99" s="642"/>
      <c r="F99" s="642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41" t="str">
        <f>+VLOOKUP(LEFT($A100,LEN(A100)-1)*1,Master!$D$30:$G$229,4,FALSE)</f>
        <v>Ostali prihodi</v>
      </c>
      <c r="C100" s="642"/>
      <c r="D100" s="642"/>
      <c r="E100" s="642"/>
      <c r="F100" s="642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41" t="str">
        <f>+VLOOKUP(LEFT($A101,LEN(A101)-1)*1,Master!$D$30:$G$229,4,FALSE)</f>
        <v>Primici od otplate kredita i sredstva prenesena iz prethodne godine</v>
      </c>
      <c r="C101" s="642"/>
      <c r="D101" s="642"/>
      <c r="E101" s="642"/>
      <c r="F101" s="642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43" t="str">
        <f>+VLOOKUP(LEFT($A102,LEN(A102)-1)*1,Master!$D$30:$G$229,4,FALSE)</f>
        <v>Donacije i transferi</v>
      </c>
      <c r="C102" s="644"/>
      <c r="D102" s="644"/>
      <c r="E102" s="644"/>
      <c r="F102" s="644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27" t="str">
        <f>+VLOOKUP(LEFT($A103,LEN(A103)-1)*1,Master!$D$30:$G$229,4,FALSE)</f>
        <v>Izdaci budžeta</v>
      </c>
      <c r="C103" s="628"/>
      <c r="D103" s="628"/>
      <c r="E103" s="628"/>
      <c r="F103" s="628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45" t="str">
        <f>+VLOOKUP(LEFT($A104,LEN(A104)-1)*1,Master!$D$30:$G$229,4,FALSE)</f>
        <v>Tekući izdaci</v>
      </c>
      <c r="C104" s="646"/>
      <c r="D104" s="646"/>
      <c r="E104" s="646"/>
      <c r="F104" s="646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31" t="str">
        <f>+VLOOKUP(LEFT($A105,LEN(A105)-1)*1,Master!$D$30:$G$229,4,FALSE)</f>
        <v>Bruto zarade i doprinosi na teret poslodavca</v>
      </c>
      <c r="C105" s="632"/>
      <c r="D105" s="632"/>
      <c r="E105" s="632"/>
      <c r="F105" s="632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31" t="str">
        <f>+VLOOKUP(LEFT($A106,LEN(A106)-1)*1,Master!$D$30:$G$229,4,FALSE)</f>
        <v>Ostala lična primanja</v>
      </c>
      <c r="C106" s="632"/>
      <c r="D106" s="632"/>
      <c r="E106" s="632"/>
      <c r="F106" s="632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31" t="str">
        <f>+VLOOKUP(LEFT($A107,LEN(A107)-1)*1,Master!$D$30:$G$229,4,FALSE)</f>
        <v>Rashodi za materijal</v>
      </c>
      <c r="C107" s="632"/>
      <c r="D107" s="632"/>
      <c r="E107" s="632"/>
      <c r="F107" s="632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31" t="str">
        <f>+VLOOKUP(LEFT($A108,LEN(A108)-1)*1,Master!$D$30:$G$229,4,FALSE)</f>
        <v>Rashodi za usluge</v>
      </c>
      <c r="C108" s="632"/>
      <c r="D108" s="632"/>
      <c r="E108" s="632"/>
      <c r="F108" s="632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31" t="str">
        <f>+VLOOKUP(LEFT($A109,LEN(A109)-1)*1,Master!$D$30:$G$229,4,FALSE)</f>
        <v>Rashodi za tekuće održavanje</v>
      </c>
      <c r="C109" s="632"/>
      <c r="D109" s="632"/>
      <c r="E109" s="632"/>
      <c r="F109" s="632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31" t="str">
        <f>+VLOOKUP(LEFT($A110,LEN(A110)-1)*1,Master!$D$30:$G$229,4,FALSE)</f>
        <v>Kamate</v>
      </c>
      <c r="C110" s="632"/>
      <c r="D110" s="632"/>
      <c r="E110" s="632"/>
      <c r="F110" s="632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31" t="str">
        <f>+VLOOKUP(LEFT($A111,LEN(A111)-1)*1,Master!$D$30:$G$229,4,FALSE)</f>
        <v>Renta</v>
      </c>
      <c r="C111" s="632"/>
      <c r="D111" s="632"/>
      <c r="E111" s="632"/>
      <c r="F111" s="632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31" t="str">
        <f>+VLOOKUP(LEFT($A112,LEN(A112)-1)*1,Master!$D$30:$G$229,4,FALSE)</f>
        <v>Subvencije</v>
      </c>
      <c r="C112" s="632"/>
      <c r="D112" s="632"/>
      <c r="E112" s="632"/>
      <c r="F112" s="632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31" t="str">
        <f>+VLOOKUP(LEFT($A113,LEN(A113)-1)*1,Master!$D$30:$G$229,4,FALSE)</f>
        <v>Ostali izdaci</v>
      </c>
      <c r="C113" s="632"/>
      <c r="D113" s="632"/>
      <c r="E113" s="632"/>
      <c r="F113" s="632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51" t="str">
        <f>+VLOOKUP(LEFT($A114,LEN(A114)-1)*1,Master!$D$30:$G$229,4,FALSE)</f>
        <v>Transferi za socijalnu zaštitu</v>
      </c>
      <c r="C114" s="652"/>
      <c r="D114" s="652"/>
      <c r="E114" s="652"/>
      <c r="F114" s="652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31" t="str">
        <f>+VLOOKUP(LEFT($A115,LEN(A115)-1)*1,Master!$D$30:$G$229,4,FALSE)</f>
        <v>Prava iz oblasti socijalne zaštite</v>
      </c>
      <c r="C115" s="632"/>
      <c r="D115" s="632"/>
      <c r="E115" s="632"/>
      <c r="F115" s="632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31" t="str">
        <f>+VLOOKUP(LEFT($A116,LEN(A116)-1)*1,Master!$D$30:$G$229,4,FALSE)</f>
        <v>Sredstva za tehnološke viškove</v>
      </c>
      <c r="C116" s="632"/>
      <c r="D116" s="632"/>
      <c r="E116" s="632"/>
      <c r="F116" s="632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31" t="str">
        <f>+VLOOKUP(LEFT($A117,LEN(A117)-1)*1,Master!$D$30:$G$229,4,FALSE)</f>
        <v>Prava iz oblasti penzijskog i invalidskog osiguranja</v>
      </c>
      <c r="C117" s="632"/>
      <c r="D117" s="632"/>
      <c r="E117" s="632"/>
      <c r="F117" s="632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31" t="str">
        <f>+VLOOKUP(LEFT($A118,LEN(A118)-1)*1,Master!$D$30:$G$229,4,FALSE)</f>
        <v>Ostala prava iz oblasti zdravstvene zaštite</v>
      </c>
      <c r="C118" s="632"/>
      <c r="D118" s="632"/>
      <c r="E118" s="632"/>
      <c r="F118" s="632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31" t="str">
        <f>+VLOOKUP(LEFT($A119,LEN(A119)-1)*1,Master!$D$30:$G$229,4,FALSE)</f>
        <v>Ostala prava iz zdravstvenog osiguranja</v>
      </c>
      <c r="C119" s="632"/>
      <c r="D119" s="632"/>
      <c r="E119" s="632"/>
      <c r="F119" s="632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47" t="str">
        <f>+VLOOKUP(LEFT($A120,LEN(A120)-1)*1,Master!$D$30:$G$229,4,FALSE)</f>
        <v xml:space="preserve">Transferi institucijama, pojedincima, nevladinom i javnom sektoru </v>
      </c>
      <c r="C120" s="648"/>
      <c r="D120" s="648"/>
      <c r="E120" s="648"/>
      <c r="F120" s="648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47" t="str">
        <f>+VLOOKUP(LEFT($A121,LEN(A121)-1)*1,Master!$D$30:$G$229,4,FALSE)</f>
        <v>Kapitalni izdaci</v>
      </c>
      <c r="C121" s="648"/>
      <c r="D121" s="648"/>
      <c r="E121" s="648"/>
      <c r="F121" s="648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49" t="str">
        <f>+VLOOKUP(LEFT($A122,LEN(A122)-1)*1,Master!$D$30:$G$229,4,FALSE)</f>
        <v>Pozajmice i krediti</v>
      </c>
      <c r="C122" s="650"/>
      <c r="D122" s="650"/>
      <c r="E122" s="650"/>
      <c r="F122" s="650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49" t="str">
        <f>+VLOOKUP(LEFT($A123,LEN(A123)-1)*1,Master!$D$30:$G$229,4,FALSE)</f>
        <v>Rezerve</v>
      </c>
      <c r="C123" s="650"/>
      <c r="D123" s="650"/>
      <c r="E123" s="650"/>
      <c r="F123" s="650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49" t="str">
        <f>+VLOOKUP(LEFT($A124,LEN(A124)-1)*1,Master!$D$30:$G$229,4,FALSE)</f>
        <v>Otplata garancija</v>
      </c>
      <c r="C124" s="650"/>
      <c r="D124" s="650"/>
      <c r="E124" s="650"/>
      <c r="F124" s="650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49" t="str">
        <f>+VLOOKUP(LEFT($A125,LEN(A125)-1)*1,Master!$D$30:$G$229,4,FALSE)</f>
        <v>Otplata obaveza iz prethodnog perioda</v>
      </c>
      <c r="C125" s="650"/>
      <c r="D125" s="650"/>
      <c r="E125" s="650"/>
      <c r="F125" s="650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49" t="str">
        <f>+VLOOKUP(LEFT($A126,LEN(A126)-1)*1,Master!$D$30:$G$229,4,FALSE)</f>
        <v>Neto povećanje obaveza</v>
      </c>
      <c r="C126" s="650"/>
      <c r="D126" s="650"/>
      <c r="E126" s="650"/>
      <c r="F126" s="65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57" t="str">
        <f>+VLOOKUP(LEFT($A127,LEN(A127)-1)*1,Master!$D$30:$G$226,4,FALSE)</f>
        <v>Suficit / deficit</v>
      </c>
      <c r="C127" s="658"/>
      <c r="D127" s="658"/>
      <c r="E127" s="658"/>
      <c r="F127" s="658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59" t="str">
        <f>+VLOOKUP(LEFT($A128,LEN(A128)-1)*1,Master!$D$30:$G$226,4,FALSE)</f>
        <v>Primarni suficit/deficit</v>
      </c>
      <c r="C128" s="660"/>
      <c r="D128" s="660"/>
      <c r="E128" s="660"/>
      <c r="F128" s="660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51" t="str">
        <f>+VLOOKUP(LEFT($A129,LEN(A129)-1)*1,Master!$D$30:$G$226,4,FALSE)</f>
        <v>Otplata dugova</v>
      </c>
      <c r="C129" s="652"/>
      <c r="D129" s="652"/>
      <c r="E129" s="652"/>
      <c r="F129" s="652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55" t="str">
        <f>+VLOOKUP(LEFT($A130,LEN(A130)-1)*1,Master!$D$30:$G$226,4,FALSE)</f>
        <v>Otplata hartija od vrijednosti i kredita rezidentima</v>
      </c>
      <c r="C130" s="656"/>
      <c r="D130" s="656"/>
      <c r="E130" s="656"/>
      <c r="F130" s="656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49" t="str">
        <f>+VLOOKUP(LEFT($A131,LEN(A131)-1)*1,Master!$D$30:$G$226,4,FALSE)</f>
        <v>Otplata hartija od vrijednosti i kredita nerezidentima</v>
      </c>
      <c r="C131" s="650"/>
      <c r="D131" s="650"/>
      <c r="E131" s="650"/>
      <c r="F131" s="650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27" t="str">
        <f>+VLOOKUP(LEFT($A132,LEN(A132)-1)*1,Master!$D$30:$G$226,4,FALSE)</f>
        <v>Izdaci za kupovinu hartija od vrijednosti</v>
      </c>
      <c r="C132" s="628"/>
      <c r="D132" s="628"/>
      <c r="E132" s="628"/>
      <c r="F132" s="628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53" t="str">
        <f>+VLOOKUP(LEFT($A133,LEN(A133)-1)*1,Master!$D$30:$G$226,4,FALSE)</f>
        <v>Nedostajuća sredstva</v>
      </c>
      <c r="C133" s="654"/>
      <c r="D133" s="654"/>
      <c r="E133" s="654"/>
      <c r="F133" s="654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27" t="str">
        <f>+VLOOKUP(LEFT($A134,LEN(A134)-1)*1,Master!$D$30:$G$226,4,FALSE)</f>
        <v>Finansiranje</v>
      </c>
      <c r="C134" s="628"/>
      <c r="D134" s="628"/>
      <c r="E134" s="628"/>
      <c r="F134" s="628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55" t="str">
        <f>+VLOOKUP(LEFT($A135,LEN(A135)-1)*1,Master!$D$30:$G$226,4,FALSE)</f>
        <v>Pozajmice i krediti od domaćih izvora</v>
      </c>
      <c r="C135" s="656"/>
      <c r="D135" s="656"/>
      <c r="E135" s="656"/>
      <c r="F135" s="656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49" t="str">
        <f>+VLOOKUP(LEFT($A136,LEN(A136)-1)*1,Master!$D$30:$G$226,4,FALSE)</f>
        <v>Pozajmice i krediti od inostranih izvora</v>
      </c>
      <c r="C136" s="650"/>
      <c r="D136" s="650"/>
      <c r="E136" s="650"/>
      <c r="F136" s="650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49" t="str">
        <f>+VLOOKUP(LEFT($A137,LEN(A137)-1)*1,Master!$D$30:$G$226,4,FALSE)</f>
        <v>Primici od prodaje imovine</v>
      </c>
      <c r="C137" s="650"/>
      <c r="D137" s="650"/>
      <c r="E137" s="650"/>
      <c r="F137" s="650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2020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4185600000</v>
      </c>
    </row>
    <row r="8" spans="1:20" ht="16.5" customHeight="1">
      <c r="A8" s="129"/>
      <c r="B8" s="566"/>
      <c r="C8" s="567"/>
      <c r="D8" s="567"/>
      <c r="E8" s="567"/>
      <c r="F8" s="568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0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06" t="str">
        <f>+VLOOKUP($A10,Master!$D$30:$G$226,4,FALSE)</f>
        <v>Prihodi budžeta</v>
      </c>
      <c r="C10" s="607"/>
      <c r="D10" s="607"/>
      <c r="E10" s="607"/>
      <c r="F10" s="607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604" t="str">
        <f>+VLOOKUP($A19,Master!$D$30:$G$226,4,FALSE)</f>
        <v>Doprinosi</v>
      </c>
      <c r="C19" s="605"/>
      <c r="D19" s="605"/>
      <c r="E19" s="605"/>
      <c r="F19" s="605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12" t="str">
        <f>+VLOOKUP($A39,Master!$D$30:$G$226,4,FALSE)</f>
        <v>Ostali izdaci</v>
      </c>
      <c r="C39" s="613"/>
      <c r="D39" s="613"/>
      <c r="E39" s="613"/>
      <c r="F39" s="613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82" t="str">
        <f>+VLOOKUP($A59,Master!$D$30:$G$226,4,FALSE)</f>
        <v>Nedostajuća sredstva</v>
      </c>
      <c r="C59" s="583"/>
      <c r="D59" s="583"/>
      <c r="E59" s="583"/>
      <c r="F59" s="583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84" t="str">
        <f>+VLOOKUP($A60,Master!$D$30:$G$226,4,FALSE)</f>
        <v>Finansiranje</v>
      </c>
      <c r="C60" s="585"/>
      <c r="D60" s="585"/>
      <c r="E60" s="585"/>
      <c r="F60" s="585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78" t="str">
        <f>+VLOOKUP($A61,Master!$D$30:$G$226,4,FALSE)</f>
        <v>Pozajmice i krediti od domaćih izvora</v>
      </c>
      <c r="C61" s="579"/>
      <c r="D61" s="579"/>
      <c r="E61" s="579"/>
      <c r="F61" s="579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62" t="str">
        <f>+VLOOKUP($A62,Master!$D$30:$G$226,4,FALSE)</f>
        <v>Pozajmice i krediti od inostranih izvora</v>
      </c>
      <c r="C62" s="563"/>
      <c r="D62" s="563"/>
      <c r="E62" s="563"/>
      <c r="F62" s="563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62" t="str">
        <f>+VLOOKUP($A63,Master!$D$30:$G$226,4,FALSE)</f>
        <v>Primici od prodaje imovine</v>
      </c>
      <c r="C63" s="563"/>
      <c r="D63" s="563"/>
      <c r="E63" s="563"/>
      <c r="F63" s="563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3" t="str">
        <f>+Master!G253</f>
        <v>Plan ostvarenja budžeta</v>
      </c>
      <c r="C100" s="634"/>
      <c r="D100" s="634"/>
      <c r="E100" s="634"/>
      <c r="F100" s="634"/>
      <c r="G100" s="618">
        <v>2020</v>
      </c>
      <c r="H100" s="619"/>
      <c r="I100" s="619"/>
      <c r="J100" s="619"/>
      <c r="K100" s="619"/>
      <c r="L100" s="619"/>
      <c r="M100" s="619"/>
      <c r="N100" s="619"/>
      <c r="O100" s="619"/>
      <c r="P100" s="619"/>
      <c r="Q100" s="619"/>
      <c r="R100" s="620"/>
      <c r="S100" s="96" t="str">
        <f>+S7</f>
        <v>BDP</v>
      </c>
      <c r="T100" s="97">
        <v>4607300000</v>
      </c>
    </row>
    <row r="101" spans="1:21" ht="15.75" customHeight="1">
      <c r="B101" s="635"/>
      <c r="C101" s="636"/>
      <c r="D101" s="636"/>
      <c r="E101" s="636"/>
      <c r="F101" s="637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18" t="str">
        <f>+Master!G247</f>
        <v>Jan - Dec</v>
      </c>
      <c r="T101" s="620">
        <f>+T8</f>
        <v>0</v>
      </c>
    </row>
    <row r="102" spans="1:21" ht="13.5" thickBot="1">
      <c r="B102" s="638"/>
      <c r="C102" s="639"/>
      <c r="D102" s="639"/>
      <c r="E102" s="639"/>
      <c r="F102" s="64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3" t="str">
        <f>+VLOOKUP(LEFT($A103,LEN(A103)-1)*1,Master!$D$30:$G$226,4,FALSE)</f>
        <v>Prihodi budžeta</v>
      </c>
      <c r="C103" s="664"/>
      <c r="D103" s="664"/>
      <c r="E103" s="664"/>
      <c r="F103" s="664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29" t="str">
        <f>+VLOOKUP(LEFT($A104,LEN(A104)-1)*1,Master!$D$30:$G$226,4,FALSE)</f>
        <v>Porezi</v>
      </c>
      <c r="C104" s="630"/>
      <c r="D104" s="630"/>
      <c r="E104" s="630"/>
      <c r="F104" s="630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31" t="str">
        <f>+VLOOKUP(LEFT($A105,LEN(A105)-1)*1,Master!$D$30:$G$229,4,FALSE)</f>
        <v>Porez na dohodak fizičkih lica</v>
      </c>
      <c r="C105" s="632"/>
      <c r="D105" s="632"/>
      <c r="E105" s="632"/>
      <c r="F105" s="632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31" t="str">
        <f>+VLOOKUP(LEFT($A106,LEN(A106)-1)*1,Master!$D$30:$G$229,4,FALSE)</f>
        <v>Porez na dobit pravnih lica</v>
      </c>
      <c r="C106" s="632"/>
      <c r="D106" s="632"/>
      <c r="E106" s="632"/>
      <c r="F106" s="632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31" t="str">
        <f>+VLOOKUP(LEFT($A107,LEN(A107)-1)*1,Master!$D$30:$G$229,4,FALSE)</f>
        <v>Porez na promet nepokretnosti</v>
      </c>
      <c r="C107" s="632"/>
      <c r="D107" s="632"/>
      <c r="E107" s="632"/>
      <c r="F107" s="632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31" t="str">
        <f>+VLOOKUP(LEFT($A108,LEN(A108)-1)*1,Master!$D$30:$G$229,4,FALSE)</f>
        <v>Porez na dodatu vrijednost</v>
      </c>
      <c r="C108" s="632"/>
      <c r="D108" s="632"/>
      <c r="E108" s="632"/>
      <c r="F108" s="632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31" t="str">
        <f>+VLOOKUP(LEFT($A109,LEN(A109)-1)*1,Master!$D$30:$G$229,4,FALSE)</f>
        <v>Akcize</v>
      </c>
      <c r="C109" s="632"/>
      <c r="D109" s="632"/>
      <c r="E109" s="632"/>
      <c r="F109" s="632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31" t="str">
        <f>+VLOOKUP(LEFT($A110,LEN(A110)-1)*1,Master!$D$30:$G$229,4,FALSE)</f>
        <v>Porez na međunarodnu trgovinu i transakcije</v>
      </c>
      <c r="C110" s="632"/>
      <c r="D110" s="632"/>
      <c r="E110" s="632"/>
      <c r="F110" s="632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31" t="str">
        <f>+VLOOKUP(LEFT($A111,LEN(A111)-1)*1,Master!$D$30:$G$229,4,FALSE)</f>
        <v>Ostali državni porezi</v>
      </c>
      <c r="C111" s="632"/>
      <c r="D111" s="632"/>
      <c r="E111" s="632"/>
      <c r="F111" s="632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1" t="str">
        <f>+VLOOKUP(LEFT($A112,LEN(A112)-1)*1,Master!$D$30:$G$229,4,FALSE)</f>
        <v>Doprinosi</v>
      </c>
      <c r="C112" s="662"/>
      <c r="D112" s="662"/>
      <c r="E112" s="662"/>
      <c r="F112" s="662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31" t="str">
        <f>+VLOOKUP(LEFT($A113,LEN(A113)-1)*1,Master!$D$30:$G$229,4,FALSE)</f>
        <v>Doprinosi za penzijsko i invalidsko osiguranje</v>
      </c>
      <c r="C113" s="632"/>
      <c r="D113" s="632"/>
      <c r="E113" s="632"/>
      <c r="F113" s="632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31" t="str">
        <f>+VLOOKUP(LEFT($A114,LEN(A114)-1)*1,Master!$D$30:$G$229,4,FALSE)</f>
        <v>Doprinosi za zdravstveno osiguranje</v>
      </c>
      <c r="C114" s="632"/>
      <c r="D114" s="632"/>
      <c r="E114" s="632"/>
      <c r="F114" s="632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31" t="str">
        <f>+VLOOKUP(LEFT($A115,LEN(A115)-1)*1,Master!$D$30:$G$229,4,FALSE)</f>
        <v>Doprinosi za osiguranje od nezaposlenosti</v>
      </c>
      <c r="C115" s="632"/>
      <c r="D115" s="632"/>
      <c r="E115" s="632"/>
      <c r="F115" s="632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31" t="str">
        <f>+VLOOKUP(LEFT($A116,LEN(A116)-1)*1,Master!$D$30:$G$229,4,FALSE)</f>
        <v>Ostali doprinosi</v>
      </c>
      <c r="C116" s="632"/>
      <c r="D116" s="632"/>
      <c r="E116" s="632"/>
      <c r="F116" s="632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41" t="str">
        <f>+VLOOKUP(LEFT($A117,LEN(A117)-1)*1,Master!$D$30:$G$229,4,FALSE)</f>
        <v>Takse</v>
      </c>
      <c r="C117" s="642"/>
      <c r="D117" s="642"/>
      <c r="E117" s="642"/>
      <c r="F117" s="642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41" t="str">
        <f>+VLOOKUP(LEFT($A118,LEN(A118)-1)*1,Master!$D$30:$G$229,4,FALSE)</f>
        <v>Naknade</v>
      </c>
      <c r="C118" s="642"/>
      <c r="D118" s="642"/>
      <c r="E118" s="642"/>
      <c r="F118" s="642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41" t="str">
        <f>+VLOOKUP(LEFT($A119,LEN(A119)-1)*1,Master!$D$30:$G$229,4,FALSE)</f>
        <v>Ostali prihodi</v>
      </c>
      <c r="C119" s="642"/>
      <c r="D119" s="642"/>
      <c r="E119" s="642"/>
      <c r="F119" s="642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41" t="str">
        <f>+VLOOKUP(LEFT($A120,LEN(A120)-1)*1,Master!$D$30:$G$229,4,FALSE)</f>
        <v>Primici od otplate kredita i sredstva prenesena iz prethodne godine</v>
      </c>
      <c r="C120" s="642"/>
      <c r="D120" s="642"/>
      <c r="E120" s="642"/>
      <c r="F120" s="642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43" t="str">
        <f>+VLOOKUP(LEFT($A121,LEN(A121)-1)*1,Master!$D$30:$G$229,4,FALSE)</f>
        <v>Donacije i transferi</v>
      </c>
      <c r="C121" s="644"/>
      <c r="D121" s="644"/>
      <c r="E121" s="644"/>
      <c r="F121" s="644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27" t="str">
        <f>+VLOOKUP(LEFT($A122,LEN(A122)-1)*1,Master!$D$30:$G$229,4,FALSE)</f>
        <v>Izdaci budžeta</v>
      </c>
      <c r="C122" s="628"/>
      <c r="D122" s="628"/>
      <c r="E122" s="628"/>
      <c r="F122" s="628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45" t="str">
        <f>+VLOOKUP(LEFT($A123,LEN(A123)-1)*1,Master!$D$30:$G$229,4,FALSE)</f>
        <v>Tekući izdaci</v>
      </c>
      <c r="C123" s="646"/>
      <c r="D123" s="646"/>
      <c r="E123" s="646"/>
      <c r="F123" s="646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31" t="str">
        <f>+VLOOKUP(LEFT($A124,LEN(A124)-1)*1,Master!$D$30:$G$229,4,FALSE)</f>
        <v>Bruto zarade i doprinosi na teret poslodavca</v>
      </c>
      <c r="C124" s="632"/>
      <c r="D124" s="632"/>
      <c r="E124" s="632"/>
      <c r="F124" s="632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31" t="str">
        <f>+VLOOKUP(LEFT($A125,LEN(A125)-1)*1,Master!$D$30:$G$229,4,FALSE)</f>
        <v>Ostala lična primanja</v>
      </c>
      <c r="C125" s="632"/>
      <c r="D125" s="632"/>
      <c r="E125" s="632"/>
      <c r="F125" s="632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31" t="str">
        <f>+VLOOKUP(LEFT($A126,LEN(A126)-1)*1,Master!$D$30:$G$229,4,FALSE)</f>
        <v>Rashodi za materijal</v>
      </c>
      <c r="C126" s="632"/>
      <c r="D126" s="632"/>
      <c r="E126" s="632"/>
      <c r="F126" s="632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31" t="str">
        <f>+VLOOKUP(LEFT($A127,LEN(A127)-1)*1,Master!$D$30:$G$229,4,FALSE)</f>
        <v>Rashodi za usluge</v>
      </c>
      <c r="C127" s="632"/>
      <c r="D127" s="632"/>
      <c r="E127" s="632"/>
      <c r="F127" s="632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31" t="str">
        <f>+VLOOKUP(LEFT($A128,LEN(A128)-1)*1,Master!$D$30:$G$229,4,FALSE)</f>
        <v>Rashodi za tekuće održavanje</v>
      </c>
      <c r="C128" s="632"/>
      <c r="D128" s="632"/>
      <c r="E128" s="632"/>
      <c r="F128" s="632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31" t="str">
        <f>+VLOOKUP(LEFT($A129,LEN(A129)-1)*1,Master!$D$30:$G$229,4,FALSE)</f>
        <v>Kamate</v>
      </c>
      <c r="C129" s="632"/>
      <c r="D129" s="632"/>
      <c r="E129" s="632"/>
      <c r="F129" s="632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31" t="str">
        <f>+VLOOKUP(LEFT($A130,LEN(A130)-1)*1,Master!$D$30:$G$229,4,FALSE)</f>
        <v>Renta</v>
      </c>
      <c r="C130" s="632"/>
      <c r="D130" s="632"/>
      <c r="E130" s="632"/>
      <c r="F130" s="632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31" t="str">
        <f>+VLOOKUP(LEFT($A131,LEN(A131)-1)*1,Master!$D$30:$G$229,4,FALSE)</f>
        <v>Subvencije</v>
      </c>
      <c r="C131" s="632"/>
      <c r="D131" s="632"/>
      <c r="E131" s="632"/>
      <c r="F131" s="632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31" t="str">
        <f>+VLOOKUP(LEFT($A132,LEN(A132)-1)*1,Master!$D$30:$G$229,4,FALSE)</f>
        <v>Ostali izdaci</v>
      </c>
      <c r="C132" s="632"/>
      <c r="D132" s="632"/>
      <c r="E132" s="632"/>
      <c r="F132" s="632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51" t="str">
        <f>+VLOOKUP(LEFT($A133,LEN(A133)-1)*1,Master!$D$30:$G$229,4,FALSE)</f>
        <v>Transferi za socijalnu zaštitu</v>
      </c>
      <c r="C133" s="652"/>
      <c r="D133" s="652"/>
      <c r="E133" s="652"/>
      <c r="F133" s="652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31" t="str">
        <f>+VLOOKUP(LEFT($A134,LEN(A134)-1)*1,Master!$D$30:$G$229,4,FALSE)</f>
        <v>Prava iz oblasti socijalne zaštite</v>
      </c>
      <c r="C134" s="632"/>
      <c r="D134" s="632"/>
      <c r="E134" s="632"/>
      <c r="F134" s="632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31" t="str">
        <f>+VLOOKUP(LEFT($A135,LEN(A135)-1)*1,Master!$D$30:$G$229,4,FALSE)</f>
        <v>Sredstva za tehnološke viškove</v>
      </c>
      <c r="C135" s="632"/>
      <c r="D135" s="632"/>
      <c r="E135" s="632"/>
      <c r="F135" s="632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31" t="str">
        <f>+VLOOKUP(LEFT($A136,LEN(A136)-1)*1,Master!$D$30:$G$229,4,FALSE)</f>
        <v>Prava iz oblasti penzijskog i invalidskog osiguranja</v>
      </c>
      <c r="C136" s="632"/>
      <c r="D136" s="632"/>
      <c r="E136" s="632"/>
      <c r="F136" s="632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31" t="str">
        <f>+VLOOKUP(LEFT($A137,LEN(A137)-1)*1,Master!$D$30:$G$229,4,FALSE)</f>
        <v>Ostala prava iz oblasti zdravstvene zaštite</v>
      </c>
      <c r="C137" s="632"/>
      <c r="D137" s="632"/>
      <c r="E137" s="632"/>
      <c r="F137" s="632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31" t="str">
        <f>+VLOOKUP(LEFT($A138,LEN(A138)-1)*1,Master!$D$30:$G$229,4,FALSE)</f>
        <v>Ostala prava iz zdravstvenog osiguranja</v>
      </c>
      <c r="C138" s="632"/>
      <c r="D138" s="632"/>
      <c r="E138" s="632"/>
      <c r="F138" s="632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47" t="str">
        <f>+VLOOKUP(LEFT($A139,LEN(A139)-1)*1,Master!$D$30:$G$229,4,FALSE)</f>
        <v xml:space="preserve">Transferi institucijama, pojedincima, nevladinom i javnom sektoru </v>
      </c>
      <c r="C139" s="648"/>
      <c r="D139" s="648"/>
      <c r="E139" s="648"/>
      <c r="F139" s="648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47" t="str">
        <f>+VLOOKUP(LEFT($A140,LEN(A140)-1)*1,Master!$D$30:$G$229,4,FALSE)</f>
        <v>Kapitalni izdaci</v>
      </c>
      <c r="C140" s="648"/>
      <c r="D140" s="648"/>
      <c r="E140" s="648"/>
      <c r="F140" s="648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49" t="str">
        <f>+VLOOKUP(LEFT($A141,LEN(A141)-1)*1,Master!$D$30:$G$229,4,FALSE)</f>
        <v>Pozajmice i krediti</v>
      </c>
      <c r="C141" s="650"/>
      <c r="D141" s="650"/>
      <c r="E141" s="650"/>
      <c r="F141" s="650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49" t="str">
        <f>+VLOOKUP(LEFT($A142,LEN(A142)-1)*1,Master!$D$30:$G$229,4,FALSE)</f>
        <v>Rezerve</v>
      </c>
      <c r="C142" s="650"/>
      <c r="D142" s="650"/>
      <c r="E142" s="650"/>
      <c r="F142" s="650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49" t="str">
        <f>+VLOOKUP(LEFT($A143,LEN(A143)-1)*1,Master!$D$30:$G$229,4,FALSE)</f>
        <v>Otplata garancija</v>
      </c>
      <c r="C143" s="650"/>
      <c r="D143" s="650"/>
      <c r="E143" s="650"/>
      <c r="F143" s="650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49" t="str">
        <f>+VLOOKUP(LEFT($A144,LEN(A144)-1)*1,Master!$D$30:$G$229,4,FALSE)</f>
        <v>Otplata obaveza iz prethodnog perioda</v>
      </c>
      <c r="C144" s="650"/>
      <c r="D144" s="650"/>
      <c r="E144" s="650"/>
      <c r="F144" s="650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49" t="str">
        <f>+VLOOKUP(LEFT($A145,LEN(A145)-1)*1,Master!$D$30:$G$229,4,FALSE)</f>
        <v>Neto povećanje obaveza</v>
      </c>
      <c r="C145" s="650"/>
      <c r="D145" s="650"/>
      <c r="E145" s="650"/>
      <c r="F145" s="650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57" t="str">
        <f>+VLOOKUP(LEFT($A146,LEN(A146)-1)*1,Master!$D$30:$G$226,4,FALSE)</f>
        <v>Suficit / deficit</v>
      </c>
      <c r="C146" s="658"/>
      <c r="D146" s="658"/>
      <c r="E146" s="658"/>
      <c r="F146" s="658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59" t="str">
        <f>+VLOOKUP(LEFT($A147,LEN(A147)-1)*1,Master!$D$30:$G$226,4,FALSE)</f>
        <v>Primarni suficit/deficit</v>
      </c>
      <c r="C147" s="660"/>
      <c r="D147" s="660"/>
      <c r="E147" s="660"/>
      <c r="F147" s="660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51" t="str">
        <f>+VLOOKUP(LEFT($A148,LEN(A148)-1)*1,Master!$D$30:$G$226,4,FALSE)</f>
        <v>Otplata dugova</v>
      </c>
      <c r="C148" s="652"/>
      <c r="D148" s="652"/>
      <c r="E148" s="652"/>
      <c r="F148" s="652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55" t="str">
        <f>+VLOOKUP(LEFT($A149,LEN(A149)-1)*1,Master!$D$30:$G$226,4,FALSE)</f>
        <v>Otplata hartija od vrijednosti i kredita rezidentima</v>
      </c>
      <c r="C149" s="656"/>
      <c r="D149" s="656"/>
      <c r="E149" s="656"/>
      <c r="F149" s="656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49" t="str">
        <f>+VLOOKUP(LEFT($A150,LEN(A150)-1)*1,Master!$D$30:$G$226,4,FALSE)</f>
        <v>Otplata hartija od vrijednosti i kredita nerezidentima</v>
      </c>
      <c r="C150" s="650"/>
      <c r="D150" s="650"/>
      <c r="E150" s="650"/>
      <c r="F150" s="650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27" t="str">
        <f>+VLOOKUP(LEFT($A151,LEN(A151)-1)*1,Master!$D$30:$G$226,4,FALSE)</f>
        <v>Izdaci za kupovinu hartija od vrijednosti</v>
      </c>
      <c r="C151" s="628"/>
      <c r="D151" s="628"/>
      <c r="E151" s="628"/>
      <c r="F151" s="628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53" t="str">
        <f>+VLOOKUP(LEFT($A152,LEN(A152)-1)*1,Master!$D$30:$G$226,4,FALSE)</f>
        <v>Nedostajuća sredstva</v>
      </c>
      <c r="C152" s="654"/>
      <c r="D152" s="654"/>
      <c r="E152" s="654"/>
      <c r="F152" s="654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27" t="str">
        <f>+VLOOKUP(LEFT($A153,LEN(A153)-1)*1,Master!$D$30:$G$226,4,FALSE)</f>
        <v>Finansiranje</v>
      </c>
      <c r="C153" s="628"/>
      <c r="D153" s="628"/>
      <c r="E153" s="628"/>
      <c r="F153" s="628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55" t="str">
        <f>+VLOOKUP(LEFT($A154,LEN(A154)-1)*1,Master!$D$30:$G$226,4,FALSE)</f>
        <v>Pozajmice i krediti od domaćih izvora</v>
      </c>
      <c r="C154" s="656"/>
      <c r="D154" s="656"/>
      <c r="E154" s="656"/>
      <c r="F154" s="656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49" t="str">
        <f>+VLOOKUP(LEFT($A155,LEN(A155)-1)*1,Master!$D$30:$G$226,4,FALSE)</f>
        <v>Pozajmice i krediti od inostranih izvora</v>
      </c>
      <c r="C155" s="650"/>
      <c r="D155" s="650"/>
      <c r="E155" s="650"/>
      <c r="F155" s="650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49" t="str">
        <f>+VLOOKUP(LEFT($A156,LEN(A156)-1)*1,Master!$D$30:$G$226,4,FALSE)</f>
        <v>Primici od prodaje imovine</v>
      </c>
      <c r="C156" s="650"/>
      <c r="D156" s="650"/>
      <c r="E156" s="650"/>
      <c r="F156" s="650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2025</vt:lpstr>
      <vt:lpstr>2024</vt:lpstr>
      <vt:lpstr>2025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2024-06-26T14:13:15Z</cp:lastPrinted>
  <dcterms:created xsi:type="dcterms:W3CDTF">2014-09-15T13:41:17Z</dcterms:created>
  <dcterms:modified xsi:type="dcterms:W3CDTF">2025-04-30T10:07:15Z</dcterms:modified>
</cp:coreProperties>
</file>