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13320" windowHeight="10005" tabRatio="587" firstSheet="1" activeTab="2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R67" i="11" l="1"/>
  <c r="R66" i="11"/>
  <c r="R65" i="11"/>
  <c r="R64" i="11"/>
  <c r="R63" i="11"/>
  <c r="R62" i="11"/>
  <c r="R59" i="11"/>
  <c r="R58" i="11"/>
  <c r="R55" i="11"/>
  <c r="R53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10" i="11"/>
  <c r="N61" i="11"/>
  <c r="H54" i="16" l="1"/>
  <c r="I54" i="16"/>
  <c r="J54" i="16"/>
  <c r="K54" i="16"/>
  <c r="L54" i="16"/>
  <c r="M54" i="16"/>
  <c r="N54" i="16"/>
  <c r="O54" i="16"/>
  <c r="P54" i="16"/>
  <c r="R54" i="11" s="1"/>
  <c r="Q54" i="16"/>
  <c r="R54" i="16"/>
  <c r="G54" i="16"/>
  <c r="T61" i="11" l="1"/>
  <c r="S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Q61" i="11" l="1"/>
  <c r="P61" i="11"/>
  <c r="S155" i="13"/>
  <c r="T155" i="13" s="1"/>
  <c r="H60" i="13"/>
  <c r="I60" i="13"/>
  <c r="J60" i="13"/>
  <c r="K60" i="13"/>
  <c r="L60" i="13"/>
  <c r="M60" i="13"/>
  <c r="N60" i="13"/>
  <c r="O60" i="13"/>
  <c r="P60" i="13"/>
  <c r="Q60" i="13"/>
  <c r="N60" i="11" s="1"/>
  <c r="R60" i="13"/>
  <c r="G60" i="13"/>
  <c r="S60" i="13" l="1"/>
  <c r="T60" i="13" s="1"/>
  <c r="G61" i="11" l="1"/>
  <c r="L61" i="11" s="1"/>
  <c r="G64" i="13"/>
  <c r="M61" i="11" l="1"/>
  <c r="A160" i="16"/>
  <c r="A159" i="16"/>
  <c r="A158" i="16"/>
  <c r="A157" i="16"/>
  <c r="A156" i="16"/>
  <c r="A155" i="16"/>
  <c r="G154" i="16"/>
  <c r="A154" i="16"/>
  <c r="M154" i="16" s="1"/>
  <c r="I153" i="16"/>
  <c r="G153" i="16"/>
  <c r="A153" i="16"/>
  <c r="M153" i="16" s="1"/>
  <c r="I152" i="16"/>
  <c r="G152" i="16"/>
  <c r="A152" i="16"/>
  <c r="M152" i="16" s="1"/>
  <c r="A151" i="16"/>
  <c r="A150" i="16"/>
  <c r="A149" i="16"/>
  <c r="S148" i="16"/>
  <c r="T148" i="16" s="1"/>
  <c r="G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N143" i="16" l="1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G137" i="16"/>
  <c r="K137" i="16"/>
  <c r="O137" i="16"/>
  <c r="I137" i="16"/>
  <c r="M137" i="16"/>
  <c r="Q137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K57" i="11"/>
  <c r="K31" i="11"/>
  <c r="G124" i="16"/>
  <c r="G125" i="16" s="1"/>
  <c r="R105" i="16"/>
  <c r="I29" i="16"/>
  <c r="H10" i="16"/>
  <c r="K42" i="11"/>
  <c r="I124" i="16"/>
  <c r="I125" i="16" s="1"/>
  <c r="G10" i="16"/>
  <c r="K11" i="11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K10" i="1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K29" i="11"/>
  <c r="G55" i="16"/>
  <c r="K155" i="16"/>
  <c r="K160" i="16" s="1"/>
  <c r="K156" i="16" s="1"/>
  <c r="S124" i="16"/>
  <c r="T124" i="16" s="1"/>
  <c r="Q55" i="16"/>
  <c r="Q56" i="16" s="1"/>
  <c r="P149" i="16"/>
  <c r="P150" i="16" s="1"/>
  <c r="S29" i="16"/>
  <c r="T29" i="16" s="1"/>
  <c r="R55" i="16"/>
  <c r="R56" i="16" s="1"/>
  <c r="R57" i="16" s="1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L155" i="16"/>
  <c r="L160" i="16" s="1"/>
  <c r="L156" i="16" s="1"/>
  <c r="L150" i="16"/>
  <c r="M125" i="16"/>
  <c r="S125" i="16" s="1"/>
  <c r="T125" i="16" s="1"/>
  <c r="M149" i="16"/>
  <c r="S151" i="16"/>
  <c r="T151" i="16" s="1"/>
  <c r="Q57" i="16" l="1"/>
  <c r="R57" i="11" s="1"/>
  <c r="R56" i="11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K55" i="11"/>
  <c r="K30" i="11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R66" i="16" s="1"/>
  <c r="R62" i="16" s="1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O62" i="16" l="1"/>
  <c r="G57" i="16"/>
  <c r="K56" i="11" s="1"/>
  <c r="S56" i="16"/>
  <c r="N66" i="16"/>
  <c r="M66" i="16"/>
  <c r="J66" i="16"/>
  <c r="I66" i="16"/>
  <c r="K62" i="11"/>
  <c r="H66" i="16"/>
  <c r="G160" i="16"/>
  <c r="S155" i="16"/>
  <c r="T155" i="16" s="1"/>
  <c r="G62" i="16"/>
  <c r="S150" i="16"/>
  <c r="T150" i="16" s="1"/>
  <c r="S57" i="16" l="1"/>
  <c r="T57" i="16" s="1"/>
  <c r="S61" i="16"/>
  <c r="T61" i="16" s="1"/>
  <c r="T56" i="16"/>
  <c r="N62" i="16"/>
  <c r="M62" i="16"/>
  <c r="T60" i="11"/>
  <c r="S60" i="11"/>
  <c r="J62" i="16"/>
  <c r="I62" i="16"/>
  <c r="S66" i="16"/>
  <c r="K67" i="11"/>
  <c r="H62" i="16"/>
  <c r="S160" i="16"/>
  <c r="T160" i="16" s="1"/>
  <c r="G156" i="16"/>
  <c r="S156" i="16" s="1"/>
  <c r="T156" i="16" s="1"/>
  <c r="T66" i="16" l="1"/>
  <c r="S62" i="16"/>
  <c r="T62" i="16" s="1"/>
  <c r="K63" i="1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N66" i="11" s="1"/>
  <c r="P65" i="13"/>
  <c r="O65" i="13"/>
  <c r="N65" i="13"/>
  <c r="M65" i="13"/>
  <c r="L65" i="13"/>
  <c r="K65" i="13"/>
  <c r="J65" i="13"/>
  <c r="I65" i="13"/>
  <c r="H65" i="13"/>
  <c r="G65" i="13"/>
  <c r="R64" i="13"/>
  <c r="Q64" i="13"/>
  <c r="N65" i="11" s="1"/>
  <c r="P64" i="13"/>
  <c r="O64" i="13"/>
  <c r="N64" i="13"/>
  <c r="M64" i="13"/>
  <c r="L64" i="13"/>
  <c r="K64" i="13"/>
  <c r="J64" i="13"/>
  <c r="I64" i="13"/>
  <c r="H64" i="13"/>
  <c r="R63" i="13"/>
  <c r="Q63" i="13"/>
  <c r="N64" i="11" s="1"/>
  <c r="P63" i="13"/>
  <c r="O63" i="13"/>
  <c r="N63" i="13"/>
  <c r="M63" i="13"/>
  <c r="L63" i="13"/>
  <c r="K63" i="13"/>
  <c r="J63" i="13"/>
  <c r="I63" i="13"/>
  <c r="H63" i="13"/>
  <c r="G63" i="13"/>
  <c r="R59" i="13"/>
  <c r="Q59" i="13"/>
  <c r="N59" i="11" s="1"/>
  <c r="P59" i="13"/>
  <c r="O59" i="13"/>
  <c r="N59" i="13"/>
  <c r="M59" i="13"/>
  <c r="L59" i="13"/>
  <c r="K59" i="13"/>
  <c r="J59" i="13"/>
  <c r="I59" i="13"/>
  <c r="H59" i="13"/>
  <c r="G59" i="13"/>
  <c r="R58" i="13"/>
  <c r="Q58" i="13"/>
  <c r="N58" i="11" s="1"/>
  <c r="P58" i="13"/>
  <c r="O58" i="13"/>
  <c r="N58" i="13"/>
  <c r="M58" i="13"/>
  <c r="L58" i="13"/>
  <c r="K58" i="13"/>
  <c r="J58" i="13"/>
  <c r="I58" i="13"/>
  <c r="H58" i="13"/>
  <c r="G58" i="13"/>
  <c r="R54" i="13"/>
  <c r="Q54" i="13"/>
  <c r="N54" i="11" s="1"/>
  <c r="P54" i="13"/>
  <c r="O54" i="13"/>
  <c r="N54" i="13"/>
  <c r="M54" i="13"/>
  <c r="L54" i="13"/>
  <c r="K54" i="13"/>
  <c r="J54" i="13"/>
  <c r="I54" i="13"/>
  <c r="H54" i="13"/>
  <c r="G54" i="13"/>
  <c r="R53" i="13"/>
  <c r="Q53" i="13"/>
  <c r="N53" i="11" s="1"/>
  <c r="P53" i="13"/>
  <c r="O53" i="13"/>
  <c r="N53" i="13"/>
  <c r="M53" i="13"/>
  <c r="L53" i="13"/>
  <c r="K53" i="13"/>
  <c r="J53" i="13"/>
  <c r="I53" i="13"/>
  <c r="H53" i="13"/>
  <c r="G53" i="13"/>
  <c r="R52" i="13"/>
  <c r="Q52" i="13"/>
  <c r="N52" i="11" s="1"/>
  <c r="P52" i="13"/>
  <c r="O52" i="13"/>
  <c r="N52" i="13"/>
  <c r="M52" i="13"/>
  <c r="L52" i="13"/>
  <c r="K52" i="13"/>
  <c r="J52" i="13"/>
  <c r="I52" i="13"/>
  <c r="H52" i="13"/>
  <c r="G52" i="13"/>
  <c r="R51" i="13"/>
  <c r="Q51" i="13"/>
  <c r="N51" i="11" s="1"/>
  <c r="P51" i="13"/>
  <c r="O51" i="13"/>
  <c r="N51" i="13"/>
  <c r="M51" i="13"/>
  <c r="L51" i="13"/>
  <c r="K51" i="13"/>
  <c r="J51" i="13"/>
  <c r="I51" i="13"/>
  <c r="H51" i="13"/>
  <c r="G51" i="13"/>
  <c r="R50" i="13"/>
  <c r="Q50" i="13"/>
  <c r="N50" i="11" s="1"/>
  <c r="P50" i="13"/>
  <c r="O50" i="13"/>
  <c r="N50" i="13"/>
  <c r="M50" i="13"/>
  <c r="L50" i="13"/>
  <c r="K50" i="13"/>
  <c r="J50" i="13"/>
  <c r="I50" i="13"/>
  <c r="H50" i="13"/>
  <c r="G50" i="13"/>
  <c r="R49" i="13"/>
  <c r="Q49" i="13"/>
  <c r="N49" i="11" s="1"/>
  <c r="P49" i="13"/>
  <c r="O49" i="13"/>
  <c r="N49" i="13"/>
  <c r="M49" i="13"/>
  <c r="L49" i="13"/>
  <c r="K49" i="13"/>
  <c r="J49" i="13"/>
  <c r="I49" i="13"/>
  <c r="H49" i="13"/>
  <c r="G49" i="13"/>
  <c r="R48" i="13"/>
  <c r="Q48" i="13"/>
  <c r="N48" i="11" s="1"/>
  <c r="P48" i="13"/>
  <c r="O48" i="13"/>
  <c r="N48" i="13"/>
  <c r="M48" i="13"/>
  <c r="L48" i="13"/>
  <c r="K48" i="13"/>
  <c r="J48" i="13"/>
  <c r="I48" i="13"/>
  <c r="H48" i="13"/>
  <c r="G48" i="13"/>
  <c r="R47" i="13"/>
  <c r="Q47" i="13"/>
  <c r="N47" i="11" s="1"/>
  <c r="P47" i="13"/>
  <c r="O47" i="13"/>
  <c r="N47" i="13"/>
  <c r="M47" i="13"/>
  <c r="L47" i="13"/>
  <c r="K47" i="13"/>
  <c r="J47" i="13"/>
  <c r="I47" i="13"/>
  <c r="H47" i="13"/>
  <c r="G47" i="13"/>
  <c r="R46" i="13"/>
  <c r="Q46" i="13"/>
  <c r="N46" i="11" s="1"/>
  <c r="P46" i="13"/>
  <c r="O46" i="13"/>
  <c r="N46" i="13"/>
  <c r="M46" i="13"/>
  <c r="L46" i="13"/>
  <c r="K46" i="13"/>
  <c r="J46" i="13"/>
  <c r="I46" i="13"/>
  <c r="H46" i="13"/>
  <c r="G46" i="13"/>
  <c r="R45" i="13"/>
  <c r="Q45" i="13"/>
  <c r="N45" i="11" s="1"/>
  <c r="P45" i="13"/>
  <c r="O45" i="13"/>
  <c r="N45" i="13"/>
  <c r="M45" i="13"/>
  <c r="L45" i="13"/>
  <c r="K45" i="13"/>
  <c r="J45" i="13"/>
  <c r="I45" i="13"/>
  <c r="H45" i="13"/>
  <c r="G45" i="13"/>
  <c r="R44" i="13"/>
  <c r="Q44" i="13"/>
  <c r="N44" i="11" s="1"/>
  <c r="P44" i="13"/>
  <c r="O44" i="13"/>
  <c r="N44" i="13"/>
  <c r="M44" i="13"/>
  <c r="L44" i="13"/>
  <c r="K44" i="13"/>
  <c r="J44" i="13"/>
  <c r="I44" i="13"/>
  <c r="H44" i="13"/>
  <c r="G44" i="13"/>
  <c r="R43" i="13"/>
  <c r="Q43" i="13"/>
  <c r="N43" i="11" s="1"/>
  <c r="P43" i="13"/>
  <c r="O43" i="13"/>
  <c r="N43" i="13"/>
  <c r="M43" i="13"/>
  <c r="L43" i="13"/>
  <c r="K43" i="13"/>
  <c r="J43" i="13"/>
  <c r="I43" i="13"/>
  <c r="H43" i="13"/>
  <c r="G43" i="13"/>
  <c r="R41" i="13"/>
  <c r="Q41" i="13"/>
  <c r="N41" i="11" s="1"/>
  <c r="P41" i="13"/>
  <c r="O41" i="13"/>
  <c r="N41" i="13"/>
  <c r="M41" i="13"/>
  <c r="L41" i="13"/>
  <c r="K41" i="13"/>
  <c r="J41" i="13"/>
  <c r="I41" i="13"/>
  <c r="H41" i="13"/>
  <c r="G41" i="13"/>
  <c r="R40" i="13"/>
  <c r="Q40" i="13"/>
  <c r="N40" i="11" s="1"/>
  <c r="P40" i="13"/>
  <c r="O40" i="13"/>
  <c r="N40" i="13"/>
  <c r="M40" i="13"/>
  <c r="L40" i="13"/>
  <c r="K40" i="13"/>
  <c r="J40" i="13"/>
  <c r="I40" i="13"/>
  <c r="H40" i="13"/>
  <c r="G40" i="13"/>
  <c r="R39" i="13"/>
  <c r="Q39" i="13"/>
  <c r="N39" i="11" s="1"/>
  <c r="P39" i="13"/>
  <c r="O39" i="13"/>
  <c r="N39" i="13"/>
  <c r="M39" i="13"/>
  <c r="L39" i="13"/>
  <c r="K39" i="13"/>
  <c r="J39" i="13"/>
  <c r="I39" i="13"/>
  <c r="H39" i="13"/>
  <c r="G39" i="13"/>
  <c r="R38" i="13"/>
  <c r="Q38" i="13"/>
  <c r="N38" i="11" s="1"/>
  <c r="P38" i="13"/>
  <c r="O38" i="13"/>
  <c r="N38" i="13"/>
  <c r="M38" i="13"/>
  <c r="L38" i="13"/>
  <c r="K38" i="13"/>
  <c r="J38" i="13"/>
  <c r="I38" i="13"/>
  <c r="H38" i="13"/>
  <c r="G38" i="13"/>
  <c r="R37" i="13"/>
  <c r="Q37" i="13"/>
  <c r="N37" i="11" s="1"/>
  <c r="P37" i="13"/>
  <c r="O37" i="13"/>
  <c r="N37" i="13"/>
  <c r="M37" i="13"/>
  <c r="L37" i="13"/>
  <c r="K37" i="13"/>
  <c r="J37" i="13"/>
  <c r="I37" i="13"/>
  <c r="H37" i="13"/>
  <c r="G37" i="13"/>
  <c r="R36" i="13"/>
  <c r="Q36" i="13"/>
  <c r="N36" i="11" s="1"/>
  <c r="P36" i="13"/>
  <c r="O36" i="13"/>
  <c r="N36" i="13"/>
  <c r="M36" i="13"/>
  <c r="L36" i="13"/>
  <c r="K36" i="13"/>
  <c r="J36" i="13"/>
  <c r="I36" i="13"/>
  <c r="H36" i="13"/>
  <c r="G36" i="13"/>
  <c r="R35" i="13"/>
  <c r="Q35" i="13"/>
  <c r="N35" i="11" s="1"/>
  <c r="P35" i="13"/>
  <c r="O35" i="13"/>
  <c r="N35" i="13"/>
  <c r="M35" i="13"/>
  <c r="L35" i="13"/>
  <c r="K35" i="13"/>
  <c r="J35" i="13"/>
  <c r="I35" i="13"/>
  <c r="H35" i="13"/>
  <c r="G35" i="13"/>
  <c r="R34" i="13"/>
  <c r="Q34" i="13"/>
  <c r="N34" i="11" s="1"/>
  <c r="P34" i="13"/>
  <c r="O34" i="13"/>
  <c r="N34" i="13"/>
  <c r="M34" i="13"/>
  <c r="L34" i="13"/>
  <c r="K34" i="13"/>
  <c r="J34" i="13"/>
  <c r="I34" i="13"/>
  <c r="H34" i="13"/>
  <c r="G34" i="13"/>
  <c r="R33" i="13"/>
  <c r="Q33" i="13"/>
  <c r="N33" i="11" s="1"/>
  <c r="P33" i="13"/>
  <c r="O33" i="13"/>
  <c r="N33" i="13"/>
  <c r="M33" i="13"/>
  <c r="L33" i="13"/>
  <c r="K33" i="13"/>
  <c r="J33" i="13"/>
  <c r="I33" i="13"/>
  <c r="H33" i="13"/>
  <c r="G33" i="13"/>
  <c r="R32" i="13"/>
  <c r="Q32" i="13"/>
  <c r="N32" i="11" s="1"/>
  <c r="P32" i="13"/>
  <c r="O32" i="13"/>
  <c r="N32" i="13"/>
  <c r="M32" i="13"/>
  <c r="L32" i="13"/>
  <c r="K32" i="13"/>
  <c r="J32" i="13"/>
  <c r="I32" i="13"/>
  <c r="H32" i="13"/>
  <c r="G32" i="13"/>
  <c r="R28" i="13"/>
  <c r="Q28" i="13"/>
  <c r="N28" i="11" s="1"/>
  <c r="P28" i="13"/>
  <c r="O28" i="13"/>
  <c r="N28" i="13"/>
  <c r="M28" i="13"/>
  <c r="L28" i="13"/>
  <c r="K28" i="13"/>
  <c r="J28" i="13"/>
  <c r="I28" i="13"/>
  <c r="H28" i="13"/>
  <c r="G28" i="13"/>
  <c r="R27" i="13"/>
  <c r="Q27" i="13"/>
  <c r="N27" i="11" s="1"/>
  <c r="P27" i="13"/>
  <c r="O27" i="13"/>
  <c r="N27" i="13"/>
  <c r="M27" i="13"/>
  <c r="L27" i="13"/>
  <c r="K27" i="13"/>
  <c r="J27" i="13"/>
  <c r="I27" i="13"/>
  <c r="H27" i="13"/>
  <c r="G27" i="13"/>
  <c r="R26" i="13"/>
  <c r="Q26" i="13"/>
  <c r="N26" i="11" s="1"/>
  <c r="P26" i="13"/>
  <c r="O26" i="13"/>
  <c r="N26" i="13"/>
  <c r="M26" i="13"/>
  <c r="L26" i="13"/>
  <c r="K26" i="13"/>
  <c r="J26" i="13"/>
  <c r="I26" i="13"/>
  <c r="H26" i="13"/>
  <c r="G26" i="13"/>
  <c r="R25" i="13"/>
  <c r="Q25" i="13"/>
  <c r="N25" i="11" s="1"/>
  <c r="P25" i="13"/>
  <c r="O25" i="13"/>
  <c r="N25" i="13"/>
  <c r="M25" i="13"/>
  <c r="K25" i="13"/>
  <c r="J25" i="13"/>
  <c r="I25" i="13"/>
  <c r="H25" i="13"/>
  <c r="G25" i="13"/>
  <c r="R24" i="13"/>
  <c r="Q24" i="13"/>
  <c r="N24" i="11" s="1"/>
  <c r="P24" i="13"/>
  <c r="O24" i="13"/>
  <c r="N24" i="13"/>
  <c r="M24" i="13"/>
  <c r="L24" i="13"/>
  <c r="K24" i="13"/>
  <c r="J24" i="13"/>
  <c r="I24" i="13"/>
  <c r="H24" i="13"/>
  <c r="G24" i="13"/>
  <c r="R23" i="13"/>
  <c r="Q23" i="13"/>
  <c r="N23" i="11" s="1"/>
  <c r="P23" i="13"/>
  <c r="O23" i="13"/>
  <c r="N23" i="13"/>
  <c r="M23" i="13"/>
  <c r="L23" i="13"/>
  <c r="K23" i="13"/>
  <c r="J23" i="13"/>
  <c r="I23" i="13"/>
  <c r="H23" i="13"/>
  <c r="G23" i="13"/>
  <c r="R22" i="13"/>
  <c r="Q22" i="13"/>
  <c r="N22" i="11" s="1"/>
  <c r="P22" i="13"/>
  <c r="O22" i="13"/>
  <c r="N22" i="13"/>
  <c r="M22" i="13"/>
  <c r="L22" i="13"/>
  <c r="K22" i="13"/>
  <c r="J22" i="13"/>
  <c r="I22" i="13"/>
  <c r="H22" i="13"/>
  <c r="G22" i="13"/>
  <c r="R21" i="13"/>
  <c r="Q21" i="13"/>
  <c r="N21" i="11" s="1"/>
  <c r="P21" i="13"/>
  <c r="O21" i="13"/>
  <c r="N21" i="13"/>
  <c r="M21" i="13"/>
  <c r="L21" i="13"/>
  <c r="K21" i="13"/>
  <c r="J21" i="13"/>
  <c r="I21" i="13"/>
  <c r="H21" i="13"/>
  <c r="G21" i="13"/>
  <c r="R20" i="13"/>
  <c r="Q20" i="13"/>
  <c r="N20" i="11" s="1"/>
  <c r="P20" i="13"/>
  <c r="O20" i="13"/>
  <c r="N20" i="13"/>
  <c r="M20" i="13"/>
  <c r="L20" i="13"/>
  <c r="K20" i="13"/>
  <c r="J20" i="13"/>
  <c r="I20" i="13"/>
  <c r="H20" i="13"/>
  <c r="G20" i="13"/>
  <c r="R19" i="13"/>
  <c r="Q19" i="13"/>
  <c r="N19" i="11" s="1"/>
  <c r="P19" i="13"/>
  <c r="O19" i="13"/>
  <c r="N19" i="13"/>
  <c r="M19" i="13"/>
  <c r="L19" i="13"/>
  <c r="K19" i="13"/>
  <c r="J19" i="13"/>
  <c r="I19" i="13"/>
  <c r="H19" i="13"/>
  <c r="G19" i="13"/>
  <c r="R18" i="13"/>
  <c r="Q18" i="13"/>
  <c r="N18" i="11" s="1"/>
  <c r="P18" i="13"/>
  <c r="O18" i="13"/>
  <c r="N18" i="13"/>
  <c r="M18" i="13"/>
  <c r="L18" i="13"/>
  <c r="K18" i="13"/>
  <c r="J18" i="13"/>
  <c r="I18" i="13"/>
  <c r="H18" i="13"/>
  <c r="G18" i="13"/>
  <c r="R17" i="13"/>
  <c r="Q17" i="13"/>
  <c r="N17" i="11" s="1"/>
  <c r="P17" i="13"/>
  <c r="O17" i="13"/>
  <c r="N17" i="13"/>
  <c r="M17" i="13"/>
  <c r="L17" i="13"/>
  <c r="K17" i="13"/>
  <c r="J17" i="13"/>
  <c r="I17" i="13"/>
  <c r="H17" i="13"/>
  <c r="G17" i="13"/>
  <c r="R16" i="13"/>
  <c r="Q16" i="13"/>
  <c r="N16" i="11" s="1"/>
  <c r="P16" i="13"/>
  <c r="O16" i="13"/>
  <c r="N16" i="13"/>
  <c r="M16" i="13"/>
  <c r="L16" i="13"/>
  <c r="K16" i="13"/>
  <c r="J16" i="13"/>
  <c r="I16" i="13"/>
  <c r="H16" i="13"/>
  <c r="G16" i="13"/>
  <c r="R15" i="13"/>
  <c r="Q15" i="13"/>
  <c r="N15" i="11" s="1"/>
  <c r="P15" i="13"/>
  <c r="O15" i="13"/>
  <c r="N15" i="13"/>
  <c r="M15" i="13"/>
  <c r="L15" i="13"/>
  <c r="K15" i="13"/>
  <c r="J15" i="13"/>
  <c r="I15" i="13"/>
  <c r="H15" i="13"/>
  <c r="G15" i="13"/>
  <c r="R14" i="13"/>
  <c r="Q14" i="13"/>
  <c r="N14" i="11" s="1"/>
  <c r="P14" i="13"/>
  <c r="O14" i="13"/>
  <c r="N14" i="13"/>
  <c r="M14" i="13"/>
  <c r="L14" i="13"/>
  <c r="K14" i="13"/>
  <c r="J14" i="13"/>
  <c r="I14" i="13"/>
  <c r="H14" i="13"/>
  <c r="G14" i="13"/>
  <c r="R13" i="13"/>
  <c r="Q13" i="13"/>
  <c r="N13" i="11" s="1"/>
  <c r="P13" i="13"/>
  <c r="O13" i="13"/>
  <c r="N13" i="13"/>
  <c r="M13" i="13"/>
  <c r="L13" i="13"/>
  <c r="K13" i="13"/>
  <c r="J13" i="13"/>
  <c r="I13" i="13"/>
  <c r="H13" i="13"/>
  <c r="G13" i="13"/>
  <c r="R12" i="13"/>
  <c r="Q12" i="13"/>
  <c r="N12" i="11" s="1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61" i="11" l="1"/>
  <c r="H53" i="11"/>
  <c r="G28" i="11"/>
  <c r="T64" i="11"/>
  <c r="S64" i="11"/>
  <c r="T65" i="11"/>
  <c r="S65" i="11"/>
  <c r="T66" i="11"/>
  <c r="S66" i="11"/>
  <c r="G12" i="11"/>
  <c r="G26" i="11"/>
  <c r="G27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N42" i="11" s="1"/>
  <c r="S48" i="13"/>
  <c r="T48" i="13" s="1"/>
  <c r="S52" i="13"/>
  <c r="T52" i="13" s="1"/>
  <c r="R11" i="13"/>
  <c r="R10" i="13" s="1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N31" i="11" s="1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N57" i="11" s="1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Q10" i="13" l="1"/>
  <c r="N10" i="11" s="1"/>
  <c r="N11" i="11"/>
  <c r="P10" i="13"/>
  <c r="I61" i="11"/>
  <c r="J61" i="11"/>
  <c r="O10" i="13"/>
  <c r="N10" i="13"/>
  <c r="G31" i="11"/>
  <c r="M10" i="13"/>
  <c r="L10" i="13"/>
  <c r="K10" i="13"/>
  <c r="J10" i="13"/>
  <c r="I10" i="13"/>
  <c r="G11" i="11"/>
  <c r="G57" i="11"/>
  <c r="G42" i="11"/>
  <c r="H10" i="13"/>
  <c r="L29" i="13"/>
  <c r="P29" i="13"/>
  <c r="G29" i="13"/>
  <c r="O29" i="13"/>
  <c r="N29" i="13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N29" i="11" s="1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P30" i="13" l="1"/>
  <c r="O30" i="13"/>
  <c r="N55" i="13"/>
  <c r="L30" i="13"/>
  <c r="J30" i="13"/>
  <c r="G10" i="11"/>
  <c r="I30" i="13"/>
  <c r="G30" i="13"/>
  <c r="G29" i="11"/>
  <c r="G124" i="13"/>
  <c r="P55" i="13"/>
  <c r="N30" i="13"/>
  <c r="L55" i="13"/>
  <c r="H31" i="11"/>
  <c r="H19" i="11"/>
  <c r="H11" i="11"/>
  <c r="O55" i="13"/>
  <c r="J55" i="13"/>
  <c r="J61" i="13" s="1"/>
  <c r="I55" i="13"/>
  <c r="I61" i="13" s="1"/>
  <c r="S137" i="13"/>
  <c r="T137" i="13" s="1"/>
  <c r="H42" i="11"/>
  <c r="R55" i="13"/>
  <c r="H55" i="13"/>
  <c r="S29" i="13"/>
  <c r="T29" i="13" s="1"/>
  <c r="K30" i="13"/>
  <c r="K55" i="13"/>
  <c r="Q30" i="13"/>
  <c r="N30" i="11" s="1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Q61" i="13" l="1"/>
  <c r="N62" i="11" s="1"/>
  <c r="N55" i="11"/>
  <c r="O61" i="13"/>
  <c r="O66" i="13" s="1"/>
  <c r="N56" i="13"/>
  <c r="N61" i="13"/>
  <c r="M61" i="13"/>
  <c r="H61" i="13"/>
  <c r="H66" i="13" s="1"/>
  <c r="H62" i="13" s="1"/>
  <c r="R61" i="13"/>
  <c r="R66" i="13" s="1"/>
  <c r="R62" i="13" s="1"/>
  <c r="L61" i="13"/>
  <c r="K61" i="13"/>
  <c r="P56" i="13"/>
  <c r="P61" i="13"/>
  <c r="G30" i="11"/>
  <c r="I56" i="13"/>
  <c r="H10" i="11"/>
  <c r="G55" i="11"/>
  <c r="L56" i="13"/>
  <c r="O56" i="13"/>
  <c r="J56" i="13"/>
  <c r="R56" i="13"/>
  <c r="H56" i="13"/>
  <c r="S30" i="13"/>
  <c r="T30" i="13" s="1"/>
  <c r="Q56" i="13"/>
  <c r="N56" i="11" s="1"/>
  <c r="Q6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Q62" i="13" l="1"/>
  <c r="N63" i="11" s="1"/>
  <c r="N67" i="11"/>
  <c r="P66" i="13"/>
  <c r="O62" i="13"/>
  <c r="N66" i="13"/>
  <c r="M66" i="13"/>
  <c r="M62" i="13" s="1"/>
  <c r="L66" i="13"/>
  <c r="K66" i="13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P8" i="11" s="1"/>
  <c r="S8" i="11" s="1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6" i="12" s="1"/>
  <c r="G222" i="2"/>
  <c r="G221" i="2"/>
  <c r="B62" i="12" s="1"/>
  <c r="G220" i="2"/>
  <c r="B61" i="12" s="1"/>
  <c r="G219" i="2"/>
  <c r="G218" i="2"/>
  <c r="B57" i="12" s="1"/>
  <c r="G217" i="2"/>
  <c r="B55" i="12" s="1"/>
  <c r="G215" i="2"/>
  <c r="G214" i="2"/>
  <c r="G213" i="2"/>
  <c r="G212" i="2"/>
  <c r="B51" i="12" s="1"/>
  <c r="G211" i="2"/>
  <c r="B154" i="12" s="1"/>
  <c r="G210" i="2"/>
  <c r="G209" i="2"/>
  <c r="G208" i="2"/>
  <c r="B52" i="12" s="1"/>
  <c r="G207" i="2"/>
  <c r="B60" i="12" s="1"/>
  <c r="G206" i="2"/>
  <c r="B59" i="12" s="1"/>
  <c r="G205" i="2"/>
  <c r="G204" i="2"/>
  <c r="B58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4" i="12" s="1"/>
  <c r="G75" i="2"/>
  <c r="B63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5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B22" i="8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8" i="3" s="1"/>
  <c r="N8" i="3" s="1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E2" i="3" s="1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Q386" i="6" s="1"/>
  <c r="DP390" i="6"/>
  <c r="DO390" i="6"/>
  <c r="DN390" i="6"/>
  <c r="DM390" i="6"/>
  <c r="DL390" i="6"/>
  <c r="DK390" i="6"/>
  <c r="DJ390" i="6"/>
  <c r="DI390" i="6"/>
  <c r="DI386" i="6" s="1"/>
  <c r="DH390" i="6"/>
  <c r="DG390" i="6"/>
  <c r="DF390" i="6"/>
  <c r="DE390" i="6"/>
  <c r="DE386" i="6" s="1"/>
  <c r="DD390" i="6"/>
  <c r="DC390" i="6"/>
  <c r="DB390" i="6"/>
  <c r="DA390" i="6"/>
  <c r="DA386" i="6" s="1"/>
  <c r="CZ390" i="6"/>
  <c r="CY390" i="6"/>
  <c r="CX390" i="6"/>
  <c r="CW390" i="6"/>
  <c r="CW386" i="6" s="1"/>
  <c r="CV390" i="6"/>
  <c r="CU390" i="6"/>
  <c r="CT390" i="6"/>
  <c r="CS390" i="6"/>
  <c r="CS386" i="6" s="1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O350" i="6" s="1"/>
  <c r="DN361" i="6"/>
  <c r="DM361" i="6"/>
  <c r="DL361" i="6"/>
  <c r="DK361" i="6"/>
  <c r="DK350" i="6" s="1"/>
  <c r="DJ361" i="6"/>
  <c r="DI361" i="6"/>
  <c r="DH361" i="6"/>
  <c r="DG361" i="6"/>
  <c r="DG350" i="6" s="1"/>
  <c r="DF361" i="6"/>
  <c r="DE361" i="6"/>
  <c r="DD361" i="6"/>
  <c r="DC361" i="6"/>
  <c r="DC350" i="6" s="1"/>
  <c r="DB361" i="6"/>
  <c r="DA361" i="6"/>
  <c r="CZ361" i="6"/>
  <c r="CY361" i="6"/>
  <c r="CY350" i="6" s="1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0" i="6" s="1"/>
  <c r="CL361" i="6"/>
  <c r="D361" i="6"/>
  <c r="D360" i="6"/>
  <c r="D359" i="6"/>
  <c r="D358" i="6"/>
  <c r="D357" i="6"/>
  <c r="D356" i="6"/>
  <c r="D355" i="6"/>
  <c r="D354" i="6"/>
  <c r="D353" i="6"/>
  <c r="D352" i="6"/>
  <c r="DU351" i="6"/>
  <c r="DU350" i="6" s="1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X321" i="6" s="1"/>
  <c r="CW330" i="6"/>
  <c r="CV330" i="6"/>
  <c r="CU330" i="6"/>
  <c r="CT330" i="6"/>
  <c r="CT321" i="6" s="1"/>
  <c r="CS330" i="6"/>
  <c r="CR330" i="6"/>
  <c r="CQ330" i="6"/>
  <c r="CP330" i="6"/>
  <c r="CP321" i="6" s="1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R321" i="6" s="1"/>
  <c r="DQ322" i="6"/>
  <c r="DP322" i="6"/>
  <c r="DO322" i="6"/>
  <c r="DN322" i="6"/>
  <c r="DN321" i="6" s="1"/>
  <c r="DM322" i="6"/>
  <c r="DL322" i="6"/>
  <c r="DK322" i="6"/>
  <c r="DJ322" i="6"/>
  <c r="DJ321" i="6" s="1"/>
  <c r="DI322" i="6"/>
  <c r="DH322" i="6"/>
  <c r="DG322" i="6"/>
  <c r="DF322" i="6"/>
  <c r="DF321" i="6" s="1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P121" i="10" s="1"/>
  <c r="A122" i="10"/>
  <c r="A123" i="10"/>
  <c r="A127" i="10"/>
  <c r="A128" i="10"/>
  <c r="L128" i="10" s="1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A136" i="10"/>
  <c r="A138" i="10"/>
  <c r="L138" i="10" s="1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27" i="11"/>
  <c r="B15" i="11"/>
  <c r="B12" i="11"/>
  <c r="E4" i="11"/>
  <c r="E3" i="11"/>
  <c r="H21" i="1"/>
  <c r="D17" i="1"/>
  <c r="D21" i="1" s="1"/>
  <c r="H17" i="1"/>
  <c r="H13" i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39" i="4"/>
  <c r="T25" i="4"/>
  <c r="T26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B115" i="10"/>
  <c r="J115" i="10"/>
  <c r="N115" i="10"/>
  <c r="R115" i="10"/>
  <c r="L115" i="10"/>
  <c r="P115" i="10"/>
  <c r="R111" i="10"/>
  <c r="I111" i="10"/>
  <c r="B153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53" i="12"/>
  <c r="B127" i="4"/>
  <c r="P62" i="13" l="1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S62" i="11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1" i="2"/>
  <c r="G251" i="2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O32" i="11" l="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9" i="11"/>
  <c r="P19" i="11" s="1"/>
  <c r="O10" i="11"/>
  <c r="O151" i="8"/>
  <c r="H138" i="8"/>
  <c r="J105" i="9"/>
  <c r="O29" i="10"/>
  <c r="O30" i="10" s="1"/>
  <c r="G137" i="4"/>
  <c r="G106" i="10"/>
  <c r="L114" i="4"/>
  <c r="L104" i="4" s="1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P104" i="4" s="1"/>
  <c r="L105" i="9"/>
  <c r="L104" i="9" s="1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M105" i="8" s="1"/>
  <c r="O105" i="9"/>
  <c r="O104" i="9" s="1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O124" i="10" s="1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7" i="11"/>
  <c r="T67" i="11"/>
  <c r="S63" i="11"/>
  <c r="O51" i="11"/>
  <c r="Q51" i="11" s="1"/>
  <c r="O42" i="11"/>
  <c r="Q42" i="11" s="1"/>
  <c r="O41" i="11"/>
  <c r="Q41" i="11" s="1"/>
  <c r="O16" i="11"/>
  <c r="Q16" i="11" s="1"/>
  <c r="O43" i="11"/>
  <c r="P43" i="11" s="1"/>
  <c r="O22" i="11"/>
  <c r="P22" i="11" s="1"/>
  <c r="O21" i="11"/>
  <c r="P21" i="11" s="1"/>
  <c r="O15" i="11"/>
  <c r="P15" i="11" s="1"/>
  <c r="O47" i="11"/>
  <c r="Q47" i="11" s="1"/>
  <c r="O48" i="11"/>
  <c r="Q48" i="11" s="1"/>
  <c r="O35" i="11"/>
  <c r="P35" i="11" s="1"/>
  <c r="O58" i="11"/>
  <c r="Q58" i="11" s="1"/>
  <c r="O38" i="11"/>
  <c r="Q38" i="11" s="1"/>
  <c r="O18" i="11"/>
  <c r="Q18" i="11" s="1"/>
  <c r="O39" i="11"/>
  <c r="P39" i="11" s="1"/>
  <c r="O11" i="11"/>
  <c r="P11" i="11" s="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H58" i="11"/>
  <c r="H59" i="11"/>
  <c r="I59" i="11" s="1"/>
  <c r="H60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T49" i="11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Q20" i="11"/>
  <c r="T36" i="11"/>
  <c r="T20" i="11"/>
  <c r="J15" i="11"/>
  <c r="S50" i="11"/>
  <c r="M43" i="11"/>
  <c r="S40" i="11"/>
  <c r="P2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M64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L48" i="11"/>
  <c r="I26" i="11"/>
  <c r="L34" i="11"/>
  <c r="T54" i="11"/>
  <c r="L65" i="11"/>
  <c r="S58" i="12"/>
  <c r="T58" i="12" s="1"/>
  <c r="J27" i="11"/>
  <c r="J34" i="11"/>
  <c r="I28" i="11"/>
  <c r="I34" i="11"/>
  <c r="J53" i="11"/>
  <c r="M51" i="11"/>
  <c r="I35" i="11"/>
  <c r="L33" i="11"/>
  <c r="I17" i="11"/>
  <c r="L66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G124" i="12" l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48" i="10" s="1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4" i="1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2" i="6"/>
  <c r="T31" i="8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2" i="2"/>
  <c r="B7" i="11" s="1"/>
  <c r="S126" i="4"/>
  <c r="T126" i="4" s="1"/>
  <c r="I30" i="12"/>
  <c r="G125" i="12"/>
  <c r="Q19" i="11"/>
  <c r="P42" i="11"/>
  <c r="H16" i="1"/>
  <c r="I16" i="1" s="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O125" i="10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G149" i="12" l="1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O30" i="11"/>
  <c r="P30" i="11" s="1"/>
  <c r="S57" i="8"/>
  <c r="S31" i="9"/>
  <c r="T31" i="9" s="1"/>
  <c r="O55" i="11"/>
  <c r="H55" i="1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P149" i="9"/>
  <c r="G155" i="12"/>
  <c r="G160" i="12" s="1"/>
  <c r="G156" i="12" s="1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H12" i="1"/>
  <c r="I12" i="1" s="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K150" i="8" l="1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O56" i="11"/>
  <c r="P56" i="11" s="1"/>
  <c r="H56" i="11"/>
  <c r="O62" i="11"/>
  <c r="H62" i="11"/>
  <c r="I55" i="11"/>
  <c r="S150" i="13"/>
  <c r="T150" i="13" s="1"/>
  <c r="H161" i="13"/>
  <c r="O67" i="11" s="1"/>
  <c r="S156" i="13"/>
  <c r="T156" i="13" s="1"/>
  <c r="G65" i="9"/>
  <c r="S60" i="9"/>
  <c r="T60" i="9" s="1"/>
  <c r="M30" i="11"/>
  <c r="S57" i="12"/>
  <c r="T57" i="12" s="1"/>
  <c r="L56" i="11"/>
  <c r="G66" i="12"/>
  <c r="L62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7" i="11"/>
  <c r="P67" i="11"/>
  <c r="P62" i="11"/>
  <c r="Q62" i="1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J62" i="11"/>
  <c r="I62" i="11"/>
  <c r="T66" i="12" l="1"/>
  <c r="S62" i="12"/>
  <c r="T62" i="12" s="1"/>
  <c r="G156" i="8"/>
  <c r="W156" i="8" s="1"/>
  <c r="X156" i="8" s="1"/>
  <c r="Q63" i="11"/>
  <c r="P63" i="11"/>
  <c r="S157" i="13"/>
  <c r="T157" i="13" s="1"/>
  <c r="H63" i="11"/>
  <c r="M63" i="11"/>
  <c r="G62" i="8"/>
  <c r="W62" i="8" s="1"/>
  <c r="X62" i="8" s="1"/>
  <c r="W66" i="8"/>
  <c r="X66" i="8" s="1"/>
  <c r="S156" i="12"/>
  <c r="T156" i="12" s="1"/>
  <c r="L63" i="11" l="1"/>
  <c r="J63" i="11"/>
  <c r="I63" i="1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<sst xmlns="http://schemas.openxmlformats.org/spreadsheetml/2006/main" count="1541" uniqueCount="781">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</sst>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9370032"/>
        <c:axId val="-1629373296"/>
      </c:lineChart>
      <c:catAx>
        <c:axId val="-162937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629373296"/>
        <c:crosses val="autoZero"/>
        <c:auto val="1"/>
        <c:lblAlgn val="ctr"/>
        <c:lblOffset val="100"/>
        <c:tickLblSkip val="3"/>
        <c:noMultiLvlLbl val="0"/>
      </c:catAx>
      <c:valAx>
        <c:axId val="-1629373296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62937003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9378736"/>
        <c:axId val="-1634926288"/>
      </c:lineChart>
      <c:catAx>
        <c:axId val="-1629378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634926288"/>
        <c:crosses val="autoZero"/>
        <c:auto val="1"/>
        <c:lblAlgn val="ctr"/>
        <c:lblOffset val="100"/>
        <c:tickLblSkip val="3"/>
        <c:noMultiLvlLbl val="0"/>
      </c:catAx>
      <c:valAx>
        <c:axId val="-1634926288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629378736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371475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PRESS</a:t>
          </a:r>
          <a:r>
            <a:rPr lang="sr-Latn-ME" sz="1100" baseline="0"/>
            <a:t> RELEASE: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January-November amounted to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1.561,5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0,8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compared to the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plan. Compared to the same period in 2017 revenues are higher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181,2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13,1%. In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November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revenues amounted to 142,8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5,9 mill.€ or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4,3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compared to the plan,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 by 17,3 mill.€ or 13,8% compared to the same month 2017.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1.644,1 mill.€ or 35,7% GDP which is higher by 111,4 mill. € or 7,3% compared to the same period 2017. Compared to the plan budget expenditures are lower by 80,3 mill.€ or 4,7%. Budget expenditures in November amounted to 187,4 mill.€ or 4,1%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30,1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19,1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compared to November 2017 and compared to the plan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12,5 mill.€ or 7,2%.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January-November of the current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82,6 mill.€ or 1,8% of the estimated GDP while in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November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deficit was 44,6 mill.€ or 1,0% GDP. In the period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January-November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budget surplus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6,2 mill.€ or 0,1%.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ethodological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item Expenditures for purchase of securities is methodologically adjusted according to GFSM2014 and it is the financial transactions and as such it is not a part of the budget deficit.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835998" cy="264560"/>
    <xdr:sp macro="" textlink="Master!G277">
      <xdr:nvSpPr>
        <xdr:cNvPr id="15" name="TextBox 14"/>
        <xdr:cNvSpPr txBox="1"/>
      </xdr:nvSpPr>
      <xdr:spPr>
        <a:xfrm>
          <a:off x="1266825" y="1390650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666750</xdr:colOff>
      <xdr:row>2</xdr:row>
      <xdr:rowOff>9524</xdr:rowOff>
    </xdr:from>
    <xdr:to>
      <xdr:col>13</xdr:col>
      <xdr:colOff>457200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742950</xdr:colOff>
      <xdr:row>0</xdr:row>
      <xdr:rowOff>104775</xdr:rowOff>
    </xdr:from>
    <xdr:to>
      <xdr:col>16</xdr:col>
      <xdr:colOff>140981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/>
  </xdr:twoCellAnchor>
  <xdr:twoCellAnchor editAs="absolute">
    <xdr:from>
      <xdr:col>13</xdr:col>
      <xdr:colOff>742950</xdr:colOff>
      <xdr:row>2</xdr:row>
      <xdr:rowOff>9525</xdr:rowOff>
    </xdr:from>
    <xdr:to>
      <xdr:col>16</xdr:col>
      <xdr:colOff>140981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762000</xdr:colOff>
      <xdr:row>3</xdr:row>
      <xdr:rowOff>133350</xdr:rowOff>
    </xdr:from>
    <xdr:to>
      <xdr:col>16</xdr:col>
      <xdr:colOff>160031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2018-11</v>
      </c>
      <c r="O6" s="168" t="str">
        <f>+CONCATENATE(N6,"p")</f>
        <v>2018-11p</v>
      </c>
      <c r="P6" s="152"/>
      <c r="Q6" s="152"/>
      <c r="R6" s="168" t="str">
        <f>+IF(Master!B3-10&gt;=0,CONCATENATE(Master!B4-1,"-",Master!B3),CONCATENATE(Master!B4-1,"-0",Master!B3))</f>
        <v>2017-11</v>
      </c>
      <c r="S6" s="152"/>
      <c r="T6" s="152"/>
    </row>
    <row r="7" spans="1:20">
      <c r="A7" s="169"/>
      <c r="B7" s="455" t="s">
        <v>707</v>
      </c>
      <c r="C7" s="456"/>
      <c r="D7" s="456"/>
      <c r="E7" s="456"/>
      <c r="F7" s="456"/>
      <c r="G7" s="464" t="s">
        <v>705</v>
      </c>
      <c r="H7" s="465"/>
      <c r="I7" s="465"/>
      <c r="J7" s="465"/>
      <c r="K7" s="465"/>
      <c r="L7" s="465"/>
      <c r="M7" s="466"/>
      <c r="N7" s="467" t="str">
        <f>+Master!G240</f>
        <v>December</v>
      </c>
      <c r="O7" s="465"/>
      <c r="P7" s="465"/>
      <c r="Q7" s="465"/>
      <c r="R7" s="465"/>
      <c r="S7" s="465"/>
      <c r="T7" s="468"/>
    </row>
    <row r="8" spans="1:20">
      <c r="A8" s="169"/>
      <c r="B8" s="457"/>
      <c r="C8" s="458"/>
      <c r="D8" s="458"/>
      <c r="E8" s="458"/>
      <c r="F8" s="459"/>
      <c r="G8" s="170" t="str">
        <f>+Master!G21</f>
        <v>Execution</v>
      </c>
      <c r="H8" s="170" t="str">
        <f>+Master!G20</f>
        <v>Plan</v>
      </c>
      <c r="I8" s="451" t="str">
        <f>+Master!G258</f>
        <v>Deviation</v>
      </c>
      <c r="J8" s="451"/>
      <c r="K8" s="170" t="str">
        <f>+CONCATENATE(Master!G243," ",Master!B4-1)</f>
        <v>Jan - Nov 2017</v>
      </c>
      <c r="L8" s="451" t="str">
        <f>+I8</f>
        <v>Deviation</v>
      </c>
      <c r="M8" s="463"/>
      <c r="N8" s="171" t="str">
        <f>+G8</f>
        <v>Execution</v>
      </c>
      <c r="O8" s="170" t="str">
        <f>+H8</f>
        <v>Plan</v>
      </c>
      <c r="P8" s="451" t="str">
        <f>+I8</f>
        <v>Deviation</v>
      </c>
      <c r="Q8" s="451"/>
      <c r="R8" s="170" t="str">
        <f>+CONCATENATE(Master!G242," ",Master!B4-1)</f>
        <v>November 2017</v>
      </c>
      <c r="S8" s="451" t="str">
        <f>+P8</f>
        <v>Deviation</v>
      </c>
      <c r="T8" s="452"/>
    </row>
    <row r="9" spans="1:20" ht="15.7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5" t="e">
        <f>+VLOOKUP($A18,Master!$D$25:$G$223,4,FALSE)</f>
        <v>#N/A</v>
      </c>
      <c r="C18" s="486"/>
      <c r="D18" s="486"/>
      <c r="E18" s="486"/>
      <c r="F18" s="486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5" t="str">
        <f>+VLOOKUP($A19,Master!$D$25:$G$223,4,FALSE)</f>
        <v>Other Republic Taxes</v>
      </c>
      <c r="C19" s="486"/>
      <c r="D19" s="486"/>
      <c r="E19" s="486"/>
      <c r="F19" s="486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5" t="str">
        <f>+VLOOKUP($A20,Master!$D$25:$G$223,4,FALSE)</f>
        <v>Contributions</v>
      </c>
      <c r="C20" s="496"/>
      <c r="D20" s="496"/>
      <c r="E20" s="496"/>
      <c r="F20" s="496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5" t="str">
        <f>+VLOOKUP($A21,Master!$D$25:$G$223,4,FALSE)</f>
        <v>Contributions for Pension and Disability Insurance</v>
      </c>
      <c r="C21" s="486"/>
      <c r="D21" s="486"/>
      <c r="E21" s="486"/>
      <c r="F21" s="486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5" t="str">
        <f>+VLOOKUP($A22,Master!$D$25:$G$223,4,FALSE)</f>
        <v>Contributions for Health Insurance</v>
      </c>
      <c r="C22" s="486"/>
      <c r="D22" s="486"/>
      <c r="E22" s="486"/>
      <c r="F22" s="486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5" t="str">
        <f>+VLOOKUP($A23,Master!$D$25:$G$223,4,FALSE)</f>
        <v>Contributions for  Unemployment Insurance</v>
      </c>
      <c r="C23" s="486"/>
      <c r="D23" s="486"/>
      <c r="E23" s="486"/>
      <c r="F23" s="486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5" t="str">
        <f>+VLOOKUP($A24,Master!$D$25:$G$223,4,FALSE)</f>
        <v>Other contributions</v>
      </c>
      <c r="C24" s="486"/>
      <c r="D24" s="486"/>
      <c r="E24" s="486"/>
      <c r="F24" s="486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7" t="str">
        <f>+VLOOKUP($A25,Master!$D$25:$G$223,4,FALSE)</f>
        <v>Duties</v>
      </c>
      <c r="C25" s="488"/>
      <c r="D25" s="488"/>
      <c r="E25" s="488"/>
      <c r="F25" s="488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7" t="str">
        <f>+VLOOKUP($A26,Master!$D$25:$G$223,4,FALSE)</f>
        <v>Fees</v>
      </c>
      <c r="C26" s="488"/>
      <c r="D26" s="488"/>
      <c r="E26" s="488"/>
      <c r="F26" s="488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7" t="str">
        <f>+VLOOKUP($A27,Master!$D$25:$G$223,4,FALSE)</f>
        <v>Other revenues</v>
      </c>
      <c r="C27" s="488"/>
      <c r="D27" s="488"/>
      <c r="E27" s="488"/>
      <c r="F27" s="488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7" t="str">
        <f>+VLOOKUP($A28,Master!$D$25:$G$223,4,FALSE)</f>
        <v>Receipts from Repayment of Loans and Funds Carried over from Previous Year</v>
      </c>
      <c r="C28" s="488"/>
      <c r="D28" s="488"/>
      <c r="E28" s="488"/>
      <c r="F28" s="488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9" t="str">
        <f>+VLOOKUP($A29,Master!$D$25:$G$223,4,FALSE)</f>
        <v>Grants and Transfers</v>
      </c>
      <c r="C29" s="490"/>
      <c r="D29" s="490"/>
      <c r="E29" s="490"/>
      <c r="F29" s="490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5" t="str">
        <f>+VLOOKUP($A30,Master!$D$25:$G$223,4,FALSE)</f>
        <v>Total Expenditures</v>
      </c>
      <c r="C30" s="476"/>
      <c r="D30" s="476"/>
      <c r="E30" s="476"/>
      <c r="F30" s="476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1" t="str">
        <f>+VLOOKUP($A31,Master!$D$25:$G$223,4,FALSE)</f>
        <v>Current Expenditures</v>
      </c>
      <c r="C31" s="492"/>
      <c r="D31" s="492"/>
      <c r="E31" s="492"/>
      <c r="F31" s="492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3" t="str">
        <f>+VLOOKUP($A32,Master!$D$25:$G$223,4,FALSE)</f>
        <v>Current Budgetary Expenditures</v>
      </c>
      <c r="C32" s="494"/>
      <c r="D32" s="494"/>
      <c r="E32" s="494"/>
      <c r="F32" s="494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5" t="str">
        <f>+VLOOKUP($A33,Master!$D$25:$G$223,4,FALSE)</f>
        <v>Gross Salaries and Contributions</v>
      </c>
      <c r="C33" s="486"/>
      <c r="D33" s="486"/>
      <c r="E33" s="486"/>
      <c r="F33" s="486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5" t="str">
        <f>+VLOOKUP($A34,Master!$D$25:$G$223,4,FALSE)</f>
        <v>Other Personal Income</v>
      </c>
      <c r="C34" s="486"/>
      <c r="D34" s="486"/>
      <c r="E34" s="486"/>
      <c r="F34" s="486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5" t="str">
        <f>+VLOOKUP($A35,Master!$D$25:$G$223,4,FALSE)</f>
        <v>Expenditures for Supplies</v>
      </c>
      <c r="C35" s="486"/>
      <c r="D35" s="486"/>
      <c r="E35" s="486"/>
      <c r="F35" s="486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5" t="str">
        <f>+VLOOKUP($A36,Master!$D$25:$G$223,4,FALSE)</f>
        <v>Expenditures for Services</v>
      </c>
      <c r="C36" s="486"/>
      <c r="D36" s="486"/>
      <c r="E36" s="486"/>
      <c r="F36" s="486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5" t="str">
        <f>+VLOOKUP($A37,Master!$D$25:$G$223,4,FALSE)</f>
        <v>Current Maintenance</v>
      </c>
      <c r="C37" s="486"/>
      <c r="D37" s="486"/>
      <c r="E37" s="486"/>
      <c r="F37" s="486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5" t="str">
        <f>+VLOOKUP($A38,Master!$D$25:$G$223,4,FALSE)</f>
        <v>Interests</v>
      </c>
      <c r="C38" s="486"/>
      <c r="D38" s="486"/>
      <c r="E38" s="486"/>
      <c r="F38" s="486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5" t="str">
        <f>+VLOOKUP($A39,Master!$D$25:$G$223,4,FALSE)</f>
        <v>Rent</v>
      </c>
      <c r="C39" s="486"/>
      <c r="D39" s="486"/>
      <c r="E39" s="486"/>
      <c r="F39" s="486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5" t="str">
        <f>+VLOOKUP($A40,Master!$D$25:$G$223,4,FALSE)</f>
        <v>Subsidies</v>
      </c>
      <c r="C40" s="486"/>
      <c r="D40" s="486"/>
      <c r="E40" s="486"/>
      <c r="F40" s="486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5" t="str">
        <f>+VLOOKUP($A41,Master!$D$25:$G$223,4,FALSE)</f>
        <v>Other expenditures</v>
      </c>
      <c r="C41" s="486"/>
      <c r="D41" s="486"/>
      <c r="E41" s="486"/>
      <c r="F41" s="486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5" t="str">
        <f>+VLOOKUP($A42,Master!$D$25:$G$223,4,FALSE)</f>
        <v>Current Capital Expenditure</v>
      </c>
      <c r="C42" s="486"/>
      <c r="D42" s="486"/>
      <c r="E42" s="486"/>
      <c r="F42" s="486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1" t="str">
        <f>+VLOOKUP($A43,Master!$D$25:$G$223,4,FALSE)</f>
        <v>Social Security Transfers</v>
      </c>
      <c r="C43" s="482"/>
      <c r="D43" s="482"/>
      <c r="E43" s="482"/>
      <c r="F43" s="482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5" t="str">
        <f>+VLOOKUP($A44,Master!$D$25:$G$223,4,FALSE)</f>
        <v>Social Security</v>
      </c>
      <c r="C44" s="486"/>
      <c r="D44" s="486"/>
      <c r="E44" s="486"/>
      <c r="F44" s="486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5" t="str">
        <f>+VLOOKUP($A45,Master!$D$25:$G$223,4,FALSE)</f>
        <v>Funds for redundant labor</v>
      </c>
      <c r="C45" s="486"/>
      <c r="D45" s="486"/>
      <c r="E45" s="486"/>
      <c r="F45" s="486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5" t="str">
        <f>+VLOOKUP($A46,Master!$D$25:$G$223,4,FALSE)</f>
        <v>Pension and Disability Insurance</v>
      </c>
      <c r="C46" s="486"/>
      <c r="D46" s="486"/>
      <c r="E46" s="486"/>
      <c r="F46" s="486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5" t="str">
        <f>+VLOOKUP($A47,Master!$D$25:$G$223,4,FALSE)</f>
        <v>Other Health Care Transfers</v>
      </c>
      <c r="C47" s="486"/>
      <c r="D47" s="486"/>
      <c r="E47" s="486"/>
      <c r="F47" s="486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5" t="str">
        <f>+VLOOKUP($A48,Master!$D$25:$G$223,4,FALSE)</f>
        <v>Other Health Care Insurance</v>
      </c>
      <c r="C48" s="486"/>
      <c r="D48" s="486"/>
      <c r="E48" s="486"/>
      <c r="F48" s="486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3" t="str">
        <f>+VLOOKUP($A49,Master!$D$25:$G$223,4,FALSE)</f>
        <v xml:space="preserve">Transfers to Institutions, Individuals, NGO and Public Sector </v>
      </c>
      <c r="C49" s="484"/>
      <c r="D49" s="484"/>
      <c r="E49" s="484"/>
      <c r="F49" s="484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3" t="str">
        <f>+VLOOKUP($A50,Master!$D$25:$G$223,4,FALSE)</f>
        <v>Capital Expenditure</v>
      </c>
      <c r="C50" s="484"/>
      <c r="D50" s="484"/>
      <c r="E50" s="484"/>
      <c r="F50" s="484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3" t="str">
        <f>+VLOOKUP($A51,Master!$D$25:$G$223,4,FALSE)</f>
        <v>Credits and Borrowings</v>
      </c>
      <c r="C51" s="454"/>
      <c r="D51" s="454"/>
      <c r="E51" s="454"/>
      <c r="F51" s="454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3" t="str">
        <f>+VLOOKUP($A52,Master!$D$25:$G$223,4,FALSE)</f>
        <v>Reserves</v>
      </c>
      <c r="C52" s="454"/>
      <c r="D52" s="454"/>
      <c r="E52" s="454"/>
      <c r="F52" s="454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1" t="str">
        <f>+VLOOKUP($A53,Master!$D$25:$G$223,4,FALSE)</f>
        <v>Repayment of Guarantees</v>
      </c>
      <c r="C53" s="472"/>
      <c r="D53" s="472"/>
      <c r="E53" s="472"/>
      <c r="F53" s="472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1" t="str">
        <f>+VLOOKUP($A54,Master!$D$25:$G$223,4,FALSE)</f>
        <v>Repayments of Arrears</v>
      </c>
      <c r="C54" s="472"/>
      <c r="D54" s="472"/>
      <c r="E54" s="472"/>
      <c r="F54" s="472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1" t="str">
        <f>+VLOOKUP($A55,Master!$D$25:$G$225,4,FALSE)</f>
        <v>Net increase of liabilities</v>
      </c>
      <c r="C55" s="472"/>
      <c r="D55" s="472"/>
      <c r="E55" s="472"/>
      <c r="F55" s="472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7" t="str">
        <f>+VLOOKUP($A56,Master!$D$25:$G$223,4,FALSE)</f>
        <v>Surplus / deficit</v>
      </c>
      <c r="C56" s="478"/>
      <c r="D56" s="478"/>
      <c r="E56" s="478"/>
      <c r="F56" s="478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9" t="str">
        <f>+VLOOKUP($A57,Master!$D$25:$G$223,4,FALSE)</f>
        <v>Primary balance</v>
      </c>
      <c r="C57" s="480"/>
      <c r="D57" s="480"/>
      <c r="E57" s="480"/>
      <c r="F57" s="480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1" t="str">
        <f>+VLOOKUP($A58,Master!$D$25:$G$223,4,FALSE)</f>
        <v>Repayment of Debt</v>
      </c>
      <c r="C58" s="482"/>
      <c r="D58" s="482"/>
      <c r="E58" s="482"/>
      <c r="F58" s="482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9" t="str">
        <f>+VLOOKUP($A59,Master!$D$25:$G$223,4,FALSE)</f>
        <v>Repayment of Domestic Debt</v>
      </c>
      <c r="C59" s="470"/>
      <c r="D59" s="470"/>
      <c r="E59" s="470"/>
      <c r="F59" s="470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3" t="str">
        <f>+VLOOKUP($A60,Master!$D$25:$G$223,4,FALSE)</f>
        <v>Repayment of Foreign Debt</v>
      </c>
      <c r="C60" s="454"/>
      <c r="D60" s="454"/>
      <c r="E60" s="454"/>
      <c r="F60" s="454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Repayments of Arrears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3" t="str">
        <f>+VLOOKUP($A62,Master!$D$25:$G$223,4,FALSE)</f>
        <v>Financing needs</v>
      </c>
      <c r="C62" s="474"/>
      <c r="D62" s="474"/>
      <c r="E62" s="474"/>
      <c r="F62" s="474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5" t="str">
        <f>+VLOOKUP($A63,Master!$D$25:$G$223,4,FALSE)</f>
        <v>Financing</v>
      </c>
      <c r="C63" s="476"/>
      <c r="D63" s="476"/>
      <c r="E63" s="476"/>
      <c r="F63" s="476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9" t="str">
        <f>+VLOOKUP($A64,Master!$D$25:$G$223,4,FALSE)</f>
        <v>Domestic Loans and Borrowings</v>
      </c>
      <c r="C64" s="470"/>
      <c r="D64" s="470"/>
      <c r="E64" s="470"/>
      <c r="F64" s="470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3" t="str">
        <f>+VLOOKUP($A65,Master!$D$25:$G$223,4,FALSE)</f>
        <v>Foreign Loans and Borrowings</v>
      </c>
      <c r="C65" s="454"/>
      <c r="D65" s="454"/>
      <c r="E65" s="454"/>
      <c r="F65" s="454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3" t="str">
        <f>+VLOOKUP($A66,Master!$D$25:$G$223,4,FALSE)</f>
        <v>Revenues from Selling Assets</v>
      </c>
      <c r="C66" s="454"/>
      <c r="D66" s="454"/>
      <c r="E66" s="454"/>
      <c r="F66" s="454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7" t="str">
        <f>+Master!G249</f>
        <v>Budget Execution</v>
      </c>
      <c r="C7" s="538"/>
      <c r="D7" s="538"/>
      <c r="E7" s="538"/>
      <c r="F7" s="538"/>
      <c r="G7" s="531">
        <v>2013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32"/>
      <c r="S7" s="115" t="str">
        <f>+Master!G246</f>
        <v>GDP</v>
      </c>
      <c r="T7" s="116">
        <v>3393200615</v>
      </c>
    </row>
    <row r="8" spans="1:20" ht="16.5" customHeight="1">
      <c r="B8" s="539"/>
      <c r="C8" s="540"/>
      <c r="D8" s="540"/>
      <c r="E8" s="540"/>
      <c r="F8" s="541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31" t="str">
        <f>+Master!G243</f>
        <v>Jan - Nov</v>
      </c>
      <c r="T8" s="532"/>
    </row>
    <row r="9" spans="1:20" ht="13.5" thickBot="1">
      <c r="B9" s="542"/>
      <c r="C9" s="543"/>
      <c r="D9" s="543"/>
      <c r="E9" s="543"/>
      <c r="F9" s="544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33" t="str">
        <f>+VLOOKUP($A10,Master!$D$25:$G$223,4,FALSE)</f>
        <v>Total Revenues</v>
      </c>
      <c r="C10" s="534"/>
      <c r="D10" s="534"/>
      <c r="E10" s="534"/>
      <c r="F10" s="534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5" t="str">
        <f>+VLOOKUP($A11,Master!$D$25:$G$223,4,FALSE)</f>
        <v>Taxes</v>
      </c>
      <c r="C11" s="536"/>
      <c r="D11" s="536"/>
      <c r="E11" s="536"/>
      <c r="F11" s="536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7" t="str">
        <f>+VLOOKUP($A12,Master!$D$25:$G$223,4,FALSE)</f>
        <v>Personal Income Tax</v>
      </c>
      <c r="C12" s="518"/>
      <c r="D12" s="518"/>
      <c r="E12" s="518"/>
      <c r="F12" s="518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7" t="str">
        <f>+VLOOKUP($A13,Master!$D$25:$G$223,4,FALSE)</f>
        <v>Corporate Income Tax</v>
      </c>
      <c r="C13" s="518"/>
      <c r="D13" s="518"/>
      <c r="E13" s="518"/>
      <c r="F13" s="518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7" t="str">
        <f>+VLOOKUP($A14,Master!$D$25:$G$223,4,FALSE)</f>
        <v xml:space="preserve">Taxes on Sales of Property </v>
      </c>
      <c r="C14" s="518"/>
      <c r="D14" s="518"/>
      <c r="E14" s="518"/>
      <c r="F14" s="518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7" t="str">
        <f>+VLOOKUP($A15,Master!$D$25:$G$223,4,FALSE)</f>
        <v>Value Added Tax</v>
      </c>
      <c r="C15" s="518"/>
      <c r="D15" s="518"/>
      <c r="E15" s="518"/>
      <c r="F15" s="518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7" t="str">
        <f>+VLOOKUP($A16,Master!$D$25:$G$223,4,FALSE)</f>
        <v>Excises</v>
      </c>
      <c r="C16" s="518"/>
      <c r="D16" s="518"/>
      <c r="E16" s="518"/>
      <c r="F16" s="518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7" t="str">
        <f>+VLOOKUP($A17,Master!$D$25:$G$223,4,FALSE)</f>
        <v>Tax on International Trade and Transactions</v>
      </c>
      <c r="C17" s="518"/>
      <c r="D17" s="518"/>
      <c r="E17" s="518"/>
      <c r="F17" s="518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7" t="e">
        <f>+VLOOKUP($A18,Master!$D$25:$G$223,4,FALSE)</f>
        <v>#N/A</v>
      </c>
      <c r="C18" s="518"/>
      <c r="D18" s="518"/>
      <c r="E18" s="518"/>
      <c r="F18" s="518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7" t="str">
        <f>+VLOOKUP($A19,Master!$D$25:$G$223,4,FALSE)</f>
        <v>Other Republic Taxes</v>
      </c>
      <c r="C19" s="518"/>
      <c r="D19" s="518"/>
      <c r="E19" s="518"/>
      <c r="F19" s="518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9" t="str">
        <f>+VLOOKUP($A20,Master!$D$25:$G$223,4,FALSE)</f>
        <v>Contributions</v>
      </c>
      <c r="C20" s="530"/>
      <c r="D20" s="530"/>
      <c r="E20" s="530"/>
      <c r="F20" s="53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7" t="str">
        <f>+VLOOKUP($A21,Master!$D$25:$G$223,4,FALSE)</f>
        <v>Contributions for Pension and Disability Insurance</v>
      </c>
      <c r="C21" s="518"/>
      <c r="D21" s="518"/>
      <c r="E21" s="518"/>
      <c r="F21" s="518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7" t="str">
        <f>+VLOOKUP($A22,Master!$D$25:$G$223,4,FALSE)</f>
        <v>Contributions for Health Insurance</v>
      </c>
      <c r="C22" s="518"/>
      <c r="D22" s="518"/>
      <c r="E22" s="518"/>
      <c r="F22" s="518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7" t="str">
        <f>+VLOOKUP($A23,Master!$D$25:$G$223,4,FALSE)</f>
        <v>Contributions for  Unemployment Insurance</v>
      </c>
      <c r="C23" s="518"/>
      <c r="D23" s="518"/>
      <c r="E23" s="518"/>
      <c r="F23" s="518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7" t="str">
        <f>+VLOOKUP($A24,Master!$D$25:$G$223,4,FALSE)</f>
        <v>Other contributions</v>
      </c>
      <c r="C24" s="518"/>
      <c r="D24" s="518"/>
      <c r="E24" s="518"/>
      <c r="F24" s="518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1" t="str">
        <f>+VLOOKUP($A25,Master!$D$25:$G$223,4,FALSE)</f>
        <v>Duties</v>
      </c>
      <c r="C25" s="522"/>
      <c r="D25" s="522"/>
      <c r="E25" s="522"/>
      <c r="F25" s="52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1" t="str">
        <f>+VLOOKUP($A26,Master!$D$25:$G$223,4,FALSE)</f>
        <v>Fees</v>
      </c>
      <c r="C26" s="522"/>
      <c r="D26" s="522"/>
      <c r="E26" s="522"/>
      <c r="F26" s="52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1" t="str">
        <f>+VLOOKUP($A27,Master!$D$25:$G$223,4,FALSE)</f>
        <v>Other revenues</v>
      </c>
      <c r="C27" s="522"/>
      <c r="D27" s="522"/>
      <c r="E27" s="522"/>
      <c r="F27" s="52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1" t="str">
        <f>+VLOOKUP($A28,Master!$D$25:$G$223,4,FALSE)</f>
        <v>Receipts from Repayment of Loans and Funds Carried over from Previous Year</v>
      </c>
      <c r="C28" s="522"/>
      <c r="D28" s="522"/>
      <c r="E28" s="522"/>
      <c r="F28" s="52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3" t="str">
        <f>+VLOOKUP($A29,Master!$D$25:$G$223,4,FALSE)</f>
        <v>Grants and Transfers</v>
      </c>
      <c r="C29" s="524"/>
      <c r="D29" s="524"/>
      <c r="E29" s="524"/>
      <c r="F29" s="52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7" t="str">
        <f>+VLOOKUP($A30,Master!$D$25:$G$223,4,FALSE)</f>
        <v>Total Expenditures</v>
      </c>
      <c r="C30" s="508"/>
      <c r="D30" s="508"/>
      <c r="E30" s="508"/>
      <c r="F30" s="508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5" t="str">
        <f>+VLOOKUP($A31,Master!$D$25:$G$223,4,FALSE)</f>
        <v>Current Expenditures</v>
      </c>
      <c r="C31" s="526"/>
      <c r="D31" s="526"/>
      <c r="E31" s="526"/>
      <c r="F31" s="526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7" t="str">
        <f>+VLOOKUP($A32,Master!$D$25:$G$223,4,FALSE)</f>
        <v>Current Budgetary Expenditures</v>
      </c>
      <c r="C32" s="528"/>
      <c r="D32" s="528"/>
      <c r="E32" s="528"/>
      <c r="F32" s="528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7" t="str">
        <f>+VLOOKUP($A33,Master!$D$25:$G$223,4,FALSE)</f>
        <v>Gross Salaries and Contributions</v>
      </c>
      <c r="C33" s="518"/>
      <c r="D33" s="518"/>
      <c r="E33" s="518"/>
      <c r="F33" s="518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7" t="str">
        <f>+VLOOKUP($A34,Master!$D$25:$G$223,4,FALSE)</f>
        <v>Other Personal Income</v>
      </c>
      <c r="C34" s="518"/>
      <c r="D34" s="518"/>
      <c r="E34" s="518"/>
      <c r="F34" s="518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7" t="str">
        <f>+VLOOKUP($A35,Master!$D$25:$G$223,4,FALSE)</f>
        <v>Expenditures for Supplies</v>
      </c>
      <c r="C35" s="518"/>
      <c r="D35" s="518"/>
      <c r="E35" s="518"/>
      <c r="F35" s="518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7" t="str">
        <f>+VLOOKUP($A36,Master!$D$25:$G$223,4,FALSE)</f>
        <v>Expenditures for Services</v>
      </c>
      <c r="C36" s="518"/>
      <c r="D36" s="518"/>
      <c r="E36" s="518"/>
      <c r="F36" s="518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7" t="str">
        <f>+VLOOKUP($A37,Master!$D$25:$G$223,4,FALSE)</f>
        <v>Current Maintenance</v>
      </c>
      <c r="C37" s="518"/>
      <c r="D37" s="518"/>
      <c r="E37" s="518"/>
      <c r="F37" s="518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7" t="str">
        <f>+VLOOKUP($A38,Master!$D$25:$G$223,4,FALSE)</f>
        <v>Interests</v>
      </c>
      <c r="C38" s="518"/>
      <c r="D38" s="518"/>
      <c r="E38" s="518"/>
      <c r="F38" s="518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7" t="str">
        <f>+VLOOKUP($A39,Master!$D$25:$G$223,4,FALSE)</f>
        <v>Rent</v>
      </c>
      <c r="C39" s="518"/>
      <c r="D39" s="518"/>
      <c r="E39" s="518"/>
      <c r="F39" s="518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7" t="str">
        <f>+VLOOKUP($A40,Master!$D$25:$G$223,4,FALSE)</f>
        <v>Subsidies</v>
      </c>
      <c r="C40" s="518"/>
      <c r="D40" s="518"/>
      <c r="E40" s="518"/>
      <c r="F40" s="518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7" t="str">
        <f>+VLOOKUP($A41,Master!$D$25:$G$223,4,FALSE)</f>
        <v>Other expenditures</v>
      </c>
      <c r="C41" s="518"/>
      <c r="D41" s="518"/>
      <c r="E41" s="518"/>
      <c r="F41" s="518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7" t="str">
        <f>+VLOOKUP($A42,Master!$D$25:$G$223,4,FALSE)</f>
        <v>Current Capital Expenditure</v>
      </c>
      <c r="C42" s="518"/>
      <c r="D42" s="518"/>
      <c r="E42" s="518"/>
      <c r="F42" s="518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5" t="str">
        <f>+VLOOKUP($A43,Master!$D$25:$G$223,4,FALSE)</f>
        <v>Social Security Transfers</v>
      </c>
      <c r="C43" s="516"/>
      <c r="D43" s="516"/>
      <c r="E43" s="516"/>
      <c r="F43" s="51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7" t="str">
        <f>+VLOOKUP($A44,Master!$D$25:$G$223,4,FALSE)</f>
        <v>Social Security</v>
      </c>
      <c r="C44" s="518"/>
      <c r="D44" s="518"/>
      <c r="E44" s="518"/>
      <c r="F44" s="518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7" t="str">
        <f>+VLOOKUP($A45,Master!$D$25:$G$223,4,FALSE)</f>
        <v>Funds for redundant labor</v>
      </c>
      <c r="C45" s="518"/>
      <c r="D45" s="518"/>
      <c r="E45" s="518"/>
      <c r="F45" s="518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7" t="str">
        <f>+VLOOKUP($A46,Master!$D$25:$G$223,4,FALSE)</f>
        <v>Pension and Disability Insurance</v>
      </c>
      <c r="C46" s="518"/>
      <c r="D46" s="518"/>
      <c r="E46" s="518"/>
      <c r="F46" s="518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7" t="str">
        <f>+VLOOKUP($A47,Master!$D$25:$G$223,4,FALSE)</f>
        <v>Other Health Care Transfers</v>
      </c>
      <c r="C47" s="518"/>
      <c r="D47" s="518"/>
      <c r="E47" s="518"/>
      <c r="F47" s="518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7" t="str">
        <f>+VLOOKUP($A48,Master!$D$25:$G$223,4,FALSE)</f>
        <v>Other Health Care Insurance</v>
      </c>
      <c r="C48" s="518"/>
      <c r="D48" s="518"/>
      <c r="E48" s="518"/>
      <c r="F48" s="518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9" t="str">
        <f>+VLOOKUP($A49,Master!$D$25:$G$223,4,FALSE)</f>
        <v xml:space="preserve">Transfers to Institutions, Individuals, NGO and Public Sector </v>
      </c>
      <c r="C49" s="520"/>
      <c r="D49" s="520"/>
      <c r="E49" s="520"/>
      <c r="F49" s="520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9" t="str">
        <f>+VLOOKUP($A50,Master!$D$25:$G$223,4,FALSE)</f>
        <v>Capital Expenditure</v>
      </c>
      <c r="C50" s="520"/>
      <c r="D50" s="520"/>
      <c r="E50" s="520"/>
      <c r="F50" s="520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3" t="str">
        <f>+VLOOKUP($A51,Master!$D$25:$G$223,4,FALSE)</f>
        <v>Credits and Borrowings</v>
      </c>
      <c r="C51" s="504"/>
      <c r="D51" s="504"/>
      <c r="E51" s="504"/>
      <c r="F51" s="50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3" t="str">
        <f>+VLOOKUP($A52,Master!$D$25:$G$223,4,FALSE)</f>
        <v>Reserves</v>
      </c>
      <c r="C52" s="504"/>
      <c r="D52" s="504"/>
      <c r="E52" s="504"/>
      <c r="F52" s="50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7" t="str">
        <f>+VLOOKUP($A53,Master!$D$25:$G$223,4,FALSE)</f>
        <v>Repayment of Guarantees</v>
      </c>
      <c r="C53" s="558"/>
      <c r="D53" s="558"/>
      <c r="E53" s="558"/>
      <c r="F53" s="558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1" t="str">
        <f>+VLOOKUP($A54,Master!$D$25:$G$223,4,FALSE)</f>
        <v>Surplus / deficit</v>
      </c>
      <c r="C54" s="512"/>
      <c r="D54" s="512"/>
      <c r="E54" s="512"/>
      <c r="F54" s="512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3" t="str">
        <f>+VLOOKUP($A55,Master!$D$25:$G$223,4,FALSE)</f>
        <v>Primary balance</v>
      </c>
      <c r="C55" s="514"/>
      <c r="D55" s="514"/>
      <c r="E55" s="514"/>
      <c r="F55" s="514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5" t="str">
        <f>+VLOOKUP($A56,Master!$D$25:$G$223,4,FALSE)</f>
        <v>Repayment of Debt</v>
      </c>
      <c r="C56" s="516"/>
      <c r="D56" s="516"/>
      <c r="E56" s="516"/>
      <c r="F56" s="51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9" t="str">
        <f>+VLOOKUP($A57,Master!$D$25:$G$223,4,FALSE)</f>
        <v>Repayment of Domestic Debt</v>
      </c>
      <c r="C57" s="510"/>
      <c r="D57" s="510"/>
      <c r="E57" s="510"/>
      <c r="F57" s="51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3" t="str">
        <f>+VLOOKUP($A58,Master!$D$25:$G$223,4,FALSE)</f>
        <v>Repayment of Foreign Debt</v>
      </c>
      <c r="C58" s="504"/>
      <c r="D58" s="504"/>
      <c r="E58" s="504"/>
      <c r="F58" s="50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7" t="str">
        <f>+VLOOKUP($A59,Master!$D$25:$G$223,4,FALSE)</f>
        <v>Repayments of Arrears</v>
      </c>
      <c r="C59" s="558"/>
      <c r="D59" s="558"/>
      <c r="E59" s="558"/>
      <c r="F59" s="558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5" t="str">
        <f>+VLOOKUP($A60,Master!$D$25:$G$223,4,FALSE)</f>
        <v>Financing needs</v>
      </c>
      <c r="C60" s="506"/>
      <c r="D60" s="506"/>
      <c r="E60" s="506"/>
      <c r="F60" s="506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7" t="str">
        <f>+VLOOKUP($A61,Master!$D$25:$G$223,4,FALSE)</f>
        <v>Financing</v>
      </c>
      <c r="C61" s="508"/>
      <c r="D61" s="508"/>
      <c r="E61" s="508"/>
      <c r="F61" s="508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9" t="str">
        <f>+VLOOKUP($A62,Master!$D$25:$G$223,4,FALSE)</f>
        <v>Domestic Loans and Borrowings</v>
      </c>
      <c r="C62" s="510"/>
      <c r="D62" s="510"/>
      <c r="E62" s="510"/>
      <c r="F62" s="51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3" t="str">
        <f>+VLOOKUP($A63,Master!$D$25:$G$223,4,FALSE)</f>
        <v>Foreign Loans and Borrowings</v>
      </c>
      <c r="C63" s="504"/>
      <c r="D63" s="504"/>
      <c r="E63" s="504"/>
      <c r="F63" s="50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3" t="str">
        <f>+VLOOKUP($A64,Master!$D$25:$G$223,4,FALSE)</f>
        <v>Revenues from Selling Assets</v>
      </c>
      <c r="C64" s="504"/>
      <c r="D64" s="504"/>
      <c r="E64" s="504"/>
      <c r="F64" s="50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6" t="str">
        <f>+Master!G250</f>
        <v>Planned Budget Execution</v>
      </c>
      <c r="C101" s="456"/>
      <c r="D101" s="456"/>
      <c r="E101" s="456"/>
      <c r="F101" s="456"/>
      <c r="G101" s="464">
        <v>2014</v>
      </c>
      <c r="H101" s="465"/>
      <c r="I101" s="465"/>
      <c r="J101" s="465"/>
      <c r="K101" s="465"/>
      <c r="L101" s="465"/>
      <c r="M101" s="465"/>
      <c r="N101" s="465"/>
      <c r="O101" s="465"/>
      <c r="P101" s="465"/>
      <c r="Q101" s="465"/>
      <c r="R101" s="468"/>
      <c r="S101" s="260" t="str">
        <f>+S7</f>
        <v>GDP</v>
      </c>
      <c r="T101" s="261">
        <v>3393200615</v>
      </c>
    </row>
    <row r="102" spans="1:20" ht="15.75" customHeight="1">
      <c r="A102" s="169"/>
      <c r="B102" s="457"/>
      <c r="C102" s="458"/>
      <c r="D102" s="458"/>
      <c r="E102" s="458"/>
      <c r="F102" s="459"/>
      <c r="G102" s="170" t="str">
        <f>+G8</f>
        <v>January</v>
      </c>
      <c r="H102" s="170" t="str">
        <f t="shared" ref="H102:T102" si="16">+H8</f>
        <v>February</v>
      </c>
      <c r="I102" s="170" t="str">
        <f t="shared" si="16"/>
        <v>March</v>
      </c>
      <c r="J102" s="170" t="str">
        <f t="shared" si="16"/>
        <v>April</v>
      </c>
      <c r="K102" s="170" t="str">
        <f t="shared" si="16"/>
        <v>May</v>
      </c>
      <c r="L102" s="170" t="str">
        <f t="shared" si="16"/>
        <v>June</v>
      </c>
      <c r="M102" s="170" t="str">
        <f t="shared" si="16"/>
        <v>July</v>
      </c>
      <c r="N102" s="170" t="str">
        <f t="shared" si="16"/>
        <v>August</v>
      </c>
      <c r="O102" s="170" t="str">
        <f t="shared" si="16"/>
        <v>September</v>
      </c>
      <c r="P102" s="170" t="str">
        <f t="shared" si="16"/>
        <v>October</v>
      </c>
      <c r="Q102" s="170" t="str">
        <f t="shared" si="16"/>
        <v>November</v>
      </c>
      <c r="R102" s="170" t="str">
        <f t="shared" si="16"/>
        <v>December</v>
      </c>
      <c r="S102" s="464" t="str">
        <f>+Master!G244</f>
        <v>Jan - Dec</v>
      </c>
      <c r="T102" s="468">
        <f t="shared" si="16"/>
        <v>0</v>
      </c>
    </row>
    <row r="103" spans="1:20" ht="13.5" thickBot="1">
      <c r="A103" s="169"/>
      <c r="B103" s="460"/>
      <c r="C103" s="461"/>
      <c r="D103" s="461"/>
      <c r="E103" s="461"/>
      <c r="F103" s="462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GDP</v>
      </c>
    </row>
    <row r="104" spans="1:20" ht="13.5" thickBot="1">
      <c r="A104" s="297" t="str">
        <f>+CONCATENATE(A10,"p")</f>
        <v>7p</v>
      </c>
      <c r="B104" s="497" t="str">
        <f>+VLOOKUP(LEFT($A104,LEN(A104)-1)*1,Master!$D$25:$G$223,4,FALSE)</f>
        <v>Total Revenues</v>
      </c>
      <c r="C104" s="498"/>
      <c r="D104" s="498"/>
      <c r="E104" s="498"/>
      <c r="F104" s="498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9" t="str">
        <f>+VLOOKUP(LEFT($A105,LEN(A105)-1)*1,Master!$D$25:$G$223,4,FALSE)</f>
        <v>Taxes</v>
      </c>
      <c r="C105" s="500"/>
      <c r="D105" s="500"/>
      <c r="E105" s="500"/>
      <c r="F105" s="500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5" t="str">
        <f>+VLOOKUP(LEFT($A106,LEN(A106)-1)*1,Master!$D$25:$G$223,4,FALSE)</f>
        <v>Personal Income Tax</v>
      </c>
      <c r="C106" s="486"/>
      <c r="D106" s="486"/>
      <c r="E106" s="486"/>
      <c r="F106" s="486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5" t="str">
        <f>+VLOOKUP(LEFT($A107,LEN(A107)-1)*1,Master!$D$25:$G$223,4,FALSE)</f>
        <v>Corporate Income Tax</v>
      </c>
      <c r="C107" s="486"/>
      <c r="D107" s="486"/>
      <c r="E107" s="486"/>
      <c r="F107" s="486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5" t="str">
        <f>+VLOOKUP(LEFT($A108,LEN(A108)-1)*1,Master!$D$25:$G$223,4,FALSE)</f>
        <v xml:space="preserve">Taxes on Sales of Property </v>
      </c>
      <c r="C108" s="486"/>
      <c r="D108" s="486"/>
      <c r="E108" s="486"/>
      <c r="F108" s="486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5" t="str">
        <f>+VLOOKUP(LEFT($A109,LEN(A109)-1)*1,Master!$D$25:$G$223,4,FALSE)</f>
        <v>Value Added Tax</v>
      </c>
      <c r="C109" s="486"/>
      <c r="D109" s="486"/>
      <c r="E109" s="486"/>
      <c r="F109" s="486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5" t="str">
        <f>+VLOOKUP(LEFT($A110,LEN(A110)-1)*1,Master!$D$25:$G$223,4,FALSE)</f>
        <v>Excises</v>
      </c>
      <c r="C110" s="486"/>
      <c r="D110" s="486"/>
      <c r="E110" s="486"/>
      <c r="F110" s="486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5" t="str">
        <f>+VLOOKUP(LEFT($A111,LEN(A111)-1)*1,Master!$D$25:$G$223,4,FALSE)</f>
        <v>Tax on International Trade and Transactions</v>
      </c>
      <c r="C111" s="486"/>
      <c r="D111" s="486"/>
      <c r="E111" s="486"/>
      <c r="F111" s="486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5" t="e">
        <f>+VLOOKUP(LEFT($A112,LEN(A112)-1)*1,Master!$D$25:$G$223,4,FALSE)</f>
        <v>#N/A</v>
      </c>
      <c r="C112" s="486"/>
      <c r="D112" s="486"/>
      <c r="E112" s="486"/>
      <c r="F112" s="486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5" t="str">
        <f>+VLOOKUP(LEFT($A113,LEN(A113)-1)*1,Master!$D$25:$G$223,4,FALSE)</f>
        <v>Other Republic Taxes</v>
      </c>
      <c r="C113" s="486"/>
      <c r="D113" s="486"/>
      <c r="E113" s="486"/>
      <c r="F113" s="486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5" t="str">
        <f>+VLOOKUP(LEFT($A114,LEN(A114)-1)*1,Master!$D$25:$G$223,4,FALSE)</f>
        <v>Contributions</v>
      </c>
      <c r="C114" s="496"/>
      <c r="D114" s="496"/>
      <c r="E114" s="496"/>
      <c r="F114" s="496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5" t="str">
        <f>+VLOOKUP(LEFT($A115,LEN(A115)-1)*1,Master!$D$25:$G$223,4,FALSE)</f>
        <v>Contributions for Pension and Disability Insurance</v>
      </c>
      <c r="C115" s="486"/>
      <c r="D115" s="486"/>
      <c r="E115" s="486"/>
      <c r="F115" s="486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5" t="str">
        <f>+VLOOKUP(LEFT($A116,LEN(A116)-1)*1,Master!$D$25:$G$223,4,FALSE)</f>
        <v>Contributions for Health Insurance</v>
      </c>
      <c r="C116" s="486"/>
      <c r="D116" s="486"/>
      <c r="E116" s="486"/>
      <c r="F116" s="486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5" t="str">
        <f>+VLOOKUP(LEFT($A117,LEN(A117)-1)*1,Master!$D$25:$G$223,4,FALSE)</f>
        <v>Contributions for  Unemployment Insurance</v>
      </c>
      <c r="C117" s="486"/>
      <c r="D117" s="486"/>
      <c r="E117" s="486"/>
      <c r="F117" s="486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5" t="str">
        <f>+VLOOKUP(LEFT($A118,LEN(A118)-1)*1,Master!$D$25:$G$223,4,FALSE)</f>
        <v>Other contributions</v>
      </c>
      <c r="C118" s="486"/>
      <c r="D118" s="486"/>
      <c r="E118" s="486"/>
      <c r="F118" s="486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7" t="str">
        <f>+VLOOKUP(LEFT($A119,LEN(A119)-1)*1,Master!$D$25:$G$223,4,FALSE)</f>
        <v>Duties</v>
      </c>
      <c r="C119" s="488"/>
      <c r="D119" s="488"/>
      <c r="E119" s="488"/>
      <c r="F119" s="488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7" t="str">
        <f>+VLOOKUP(LEFT($A120,LEN(A120)-1)*1,Master!$D$25:$G$223,4,FALSE)</f>
        <v>Fees</v>
      </c>
      <c r="C120" s="488"/>
      <c r="D120" s="488"/>
      <c r="E120" s="488"/>
      <c r="F120" s="488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7" t="str">
        <f>+VLOOKUP(LEFT($A121,LEN(A121)-1)*1,Master!$D$25:$G$223,4,FALSE)</f>
        <v>Other revenues</v>
      </c>
      <c r="C121" s="488"/>
      <c r="D121" s="488"/>
      <c r="E121" s="488"/>
      <c r="F121" s="488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7" t="str">
        <f>+VLOOKUP(LEFT($A122,LEN(A122)-1)*1,Master!$D$25:$G$223,4,FALSE)</f>
        <v>Receipts from Repayment of Loans and Funds Carried over from Previous Year</v>
      </c>
      <c r="C122" s="488"/>
      <c r="D122" s="488"/>
      <c r="E122" s="488"/>
      <c r="F122" s="488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9" t="str">
        <f>+VLOOKUP(LEFT($A123,LEN(A123)-1)*1,Master!$D$25:$G$223,4,FALSE)</f>
        <v>Grants and Transfers</v>
      </c>
      <c r="C123" s="490"/>
      <c r="D123" s="490"/>
      <c r="E123" s="490"/>
      <c r="F123" s="490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5" t="str">
        <f>+VLOOKUP(LEFT($A124,LEN(A124)-1)*1,Master!$D$25:$G$223,4,FALSE)</f>
        <v>Total Expenditures</v>
      </c>
      <c r="C124" s="476"/>
      <c r="D124" s="476"/>
      <c r="E124" s="476"/>
      <c r="F124" s="476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1" t="str">
        <f>+VLOOKUP(LEFT($A125,LEN(A125)-1)*1,Master!$D$25:$G$223,4,FALSE)</f>
        <v>Current Expenditures</v>
      </c>
      <c r="C125" s="492"/>
      <c r="D125" s="492"/>
      <c r="E125" s="492"/>
      <c r="F125" s="492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3" t="str">
        <f>+VLOOKUP(LEFT($A126,LEN(A126)-1)*1,Master!$D$25:$G$223,4,FALSE)</f>
        <v>Current Budgetary Expenditures</v>
      </c>
      <c r="C126" s="494"/>
      <c r="D126" s="494"/>
      <c r="E126" s="494"/>
      <c r="F126" s="494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5" t="str">
        <f>+VLOOKUP(LEFT($A127,LEN(A127)-1)*1,Master!$D$25:$G$223,4,FALSE)</f>
        <v>Gross Salaries and Contributions</v>
      </c>
      <c r="C127" s="486"/>
      <c r="D127" s="486"/>
      <c r="E127" s="486"/>
      <c r="F127" s="486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5" t="str">
        <f>+VLOOKUP(LEFT($A128,LEN(A128)-1)*1,Master!$D$25:$G$223,4,FALSE)</f>
        <v>Other Personal Income</v>
      </c>
      <c r="C128" s="486"/>
      <c r="D128" s="486"/>
      <c r="E128" s="486"/>
      <c r="F128" s="486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5" t="str">
        <f>+VLOOKUP(LEFT($A129,LEN(A129)-1)*1,Master!$D$25:$G$223,4,FALSE)</f>
        <v>Expenditures for Supplies</v>
      </c>
      <c r="C129" s="486"/>
      <c r="D129" s="486"/>
      <c r="E129" s="486"/>
      <c r="F129" s="486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5" t="str">
        <f>+VLOOKUP(LEFT($A130,LEN(A130)-1)*1,Master!$D$25:$G$223,4,FALSE)</f>
        <v>Expenditures for Services</v>
      </c>
      <c r="C130" s="486"/>
      <c r="D130" s="486"/>
      <c r="E130" s="486"/>
      <c r="F130" s="486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5" t="str">
        <f>+VLOOKUP(LEFT($A131,LEN(A131)-1)*1,Master!$D$25:$G$223,4,FALSE)</f>
        <v>Current Maintenance</v>
      </c>
      <c r="C131" s="486"/>
      <c r="D131" s="486"/>
      <c r="E131" s="486"/>
      <c r="F131" s="486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5" t="str">
        <f>+VLOOKUP(LEFT($A132,LEN(A132)-1)*1,Master!$D$25:$G$223,4,FALSE)</f>
        <v>Interests</v>
      </c>
      <c r="C132" s="486"/>
      <c r="D132" s="486"/>
      <c r="E132" s="486"/>
      <c r="F132" s="486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5" t="str">
        <f>+VLOOKUP(LEFT($A133,LEN(A133)-1)*1,Master!$D$25:$G$223,4,FALSE)</f>
        <v>Rent</v>
      </c>
      <c r="C133" s="486"/>
      <c r="D133" s="486"/>
      <c r="E133" s="486"/>
      <c r="F133" s="486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5" t="str">
        <f>+VLOOKUP(LEFT($A134,LEN(A134)-1)*1,Master!$D$25:$G$223,4,FALSE)</f>
        <v>Subsidies</v>
      </c>
      <c r="C134" s="486"/>
      <c r="D134" s="486"/>
      <c r="E134" s="486"/>
      <c r="F134" s="486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5" t="str">
        <f>+VLOOKUP(LEFT($A135,LEN(A135)-1)*1,Master!$D$25:$G$223,4,FALSE)</f>
        <v>Other expenditures</v>
      </c>
      <c r="C135" s="486"/>
      <c r="D135" s="486"/>
      <c r="E135" s="486"/>
      <c r="F135" s="486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5" t="str">
        <f>+VLOOKUP(LEFT($A136,LEN(A136)-1)*1,Master!$D$25:$G$223,4,FALSE)</f>
        <v>Current Capital Expenditure</v>
      </c>
      <c r="C136" s="486"/>
      <c r="D136" s="486"/>
      <c r="E136" s="486"/>
      <c r="F136" s="486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1" t="str">
        <f>+VLOOKUP(LEFT($A137,LEN(A137)-1)*1,Master!$D$25:$G$223,4,FALSE)</f>
        <v>Social Security Transfers</v>
      </c>
      <c r="C137" s="482"/>
      <c r="D137" s="482"/>
      <c r="E137" s="482"/>
      <c r="F137" s="482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5" t="str">
        <f>+VLOOKUP(LEFT($A138,LEN(A138)-1)*1,Master!$D$25:$G$223,4,FALSE)</f>
        <v>Social Security</v>
      </c>
      <c r="C138" s="486"/>
      <c r="D138" s="486"/>
      <c r="E138" s="486"/>
      <c r="F138" s="486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5" t="str">
        <f>+VLOOKUP(LEFT($A139,LEN(A139)-1)*1,Master!$D$25:$G$223,4,FALSE)</f>
        <v>Funds for redundant labor</v>
      </c>
      <c r="C139" s="486"/>
      <c r="D139" s="486"/>
      <c r="E139" s="486"/>
      <c r="F139" s="486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5" t="str">
        <f>+VLOOKUP(LEFT($A140,LEN(A140)-1)*1,Master!$D$25:$G$223,4,FALSE)</f>
        <v>Pension and Disability Insurance</v>
      </c>
      <c r="C140" s="486"/>
      <c r="D140" s="486"/>
      <c r="E140" s="486"/>
      <c r="F140" s="486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5" t="str">
        <f>+VLOOKUP(LEFT($A141,LEN(A141)-1)*1,Master!$D$25:$G$223,4,FALSE)</f>
        <v>Other Health Care Transfers</v>
      </c>
      <c r="C141" s="486"/>
      <c r="D141" s="486"/>
      <c r="E141" s="486"/>
      <c r="F141" s="486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5" t="str">
        <f>+VLOOKUP(LEFT($A142,LEN(A142)-1)*1,Master!$D$25:$G$223,4,FALSE)</f>
        <v>Other Health Care Insurance</v>
      </c>
      <c r="C142" s="486"/>
      <c r="D142" s="486"/>
      <c r="E142" s="486"/>
      <c r="F142" s="486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3" t="str">
        <f>+VLOOKUP(LEFT($A143,LEN(A143)-1)*1,Master!$D$25:$G$223,4,FALSE)</f>
        <v xml:space="preserve">Transfers to Institutions, Individuals, NGO and Public Sector </v>
      </c>
      <c r="C143" s="484"/>
      <c r="D143" s="484"/>
      <c r="E143" s="484"/>
      <c r="F143" s="484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3" t="str">
        <f>+VLOOKUP(LEFT($A144,LEN(A144)-1)*1,Master!$D$25:$G$223,4,FALSE)</f>
        <v>Capital Expenditure</v>
      </c>
      <c r="C144" s="484"/>
      <c r="D144" s="484"/>
      <c r="E144" s="484"/>
      <c r="F144" s="484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3" t="str">
        <f>+VLOOKUP(LEFT($A145,LEN(A145)-1)*1,Master!$D$25:$G$223,4,FALSE)</f>
        <v>Credits and Borrowings</v>
      </c>
      <c r="C145" s="454"/>
      <c r="D145" s="454"/>
      <c r="E145" s="454"/>
      <c r="F145" s="454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3" t="str">
        <f>+VLOOKUP(LEFT($A146,LEN(A146)-1)*1,Master!$D$25:$G$223,4,FALSE)</f>
        <v>Reserves</v>
      </c>
      <c r="C146" s="454"/>
      <c r="D146" s="454"/>
      <c r="E146" s="454"/>
      <c r="F146" s="454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1" t="str">
        <f>+VLOOKUP(LEFT($A147,LEN(A147)-1)*1,Master!$D$25:$G$223,4,FALSE)</f>
        <v>Repayment of Guarantees</v>
      </c>
      <c r="C147" s="472"/>
      <c r="D147" s="472"/>
      <c r="E147" s="472"/>
      <c r="F147" s="472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7" t="str">
        <f>+VLOOKUP(LEFT($A148,LEN(A148)-1)*1,Master!$D$25:$G$223,4,FALSE)</f>
        <v>Surplus / deficit</v>
      </c>
      <c r="C148" s="478"/>
      <c r="D148" s="478"/>
      <c r="E148" s="478"/>
      <c r="F148" s="478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9" t="str">
        <f>+VLOOKUP(LEFT($A149,LEN(A149)-1)*1,Master!$D$25:$G$223,4,FALSE)</f>
        <v>Primary balance</v>
      </c>
      <c r="C149" s="480"/>
      <c r="D149" s="480"/>
      <c r="E149" s="480"/>
      <c r="F149" s="480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1" t="str">
        <f>+VLOOKUP(LEFT($A150,LEN(A150)-1)*1,Master!$D$25:$G$223,4,FALSE)</f>
        <v>Repayment of Debt</v>
      </c>
      <c r="C150" s="482"/>
      <c r="D150" s="482"/>
      <c r="E150" s="482"/>
      <c r="F150" s="482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9" t="str">
        <f>+VLOOKUP(LEFT($A151,LEN(A151)-1)*1,Master!$D$25:$G$223,4,FALSE)</f>
        <v>Repayment of Domestic Debt</v>
      </c>
      <c r="C151" s="470"/>
      <c r="D151" s="470"/>
      <c r="E151" s="470"/>
      <c r="F151" s="470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3" t="str">
        <f>+VLOOKUP(LEFT($A152,LEN(A152)-1)*1,Master!$D$25:$G$223,4,FALSE)</f>
        <v>Repayment of Foreign Debt</v>
      </c>
      <c r="C152" s="454"/>
      <c r="D152" s="454"/>
      <c r="E152" s="454"/>
      <c r="F152" s="454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1" t="str">
        <f>+VLOOKUP(LEFT($A153,LEN(A153)-1)*1,Master!$D$25:$G$223,4,FALSE)</f>
        <v>Repayments of Arrears</v>
      </c>
      <c r="C153" s="472"/>
      <c r="D153" s="472"/>
      <c r="E153" s="472"/>
      <c r="F153" s="472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3" t="str">
        <f>+VLOOKUP(LEFT($A154,LEN(A154)-1)*1,Master!$D$25:$G$223,4,FALSE)</f>
        <v>Financing needs</v>
      </c>
      <c r="C154" s="474"/>
      <c r="D154" s="474"/>
      <c r="E154" s="474"/>
      <c r="F154" s="474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5" t="str">
        <f>+VLOOKUP(LEFT($A155,LEN(A155)-1)*1,Master!$D$25:$G$223,4,FALSE)</f>
        <v>Financing</v>
      </c>
      <c r="C155" s="476"/>
      <c r="D155" s="476"/>
      <c r="E155" s="476"/>
      <c r="F155" s="476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9" t="str">
        <f>+VLOOKUP(LEFT($A156,LEN(A156)-1)*1,Master!$D$25:$G$223,4,FALSE)</f>
        <v>Domestic Loans and Borrowings</v>
      </c>
      <c r="C156" s="470"/>
      <c r="D156" s="470"/>
      <c r="E156" s="470"/>
      <c r="F156" s="470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3" t="str">
        <f>+VLOOKUP(LEFT($A157,LEN(A157)-1)*1,Master!$D$25:$G$223,4,FALSE)</f>
        <v>Foreign Loans and Borrowings</v>
      </c>
      <c r="C157" s="454"/>
      <c r="D157" s="454"/>
      <c r="E157" s="454"/>
      <c r="F157" s="454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3" t="str">
        <f>+VLOOKUP(LEFT($A158,LEN(A158)-1)*1,Master!$D$25:$G$223,4,FALSE)</f>
        <v>Revenues from Selling Assets</v>
      </c>
      <c r="C158" s="454"/>
      <c r="D158" s="454"/>
      <c r="E158" s="454"/>
      <c r="F158" s="454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Increase / decrease of deposits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T8" activePane="bottomRight" state="frozen"/>
      <selection pane="topRight" activeCell="F1" sqref="F1"/>
      <selection pane="bottomLeft" activeCell="A8" sqref="A8"/>
      <selection pane="bottomRight" activeCell="FE10" sqref="FE10:FE185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58" width="13.7109375" style="41" bestFit="1" customWidth="1"/>
    <col min="159" max="159" width="12.85546875" style="41" bestFit="1" customWidth="1"/>
    <col min="160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4" t="s">
        <v>569</v>
      </c>
      <c r="F6" s="561">
        <v>2006</v>
      </c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3"/>
      <c r="R6" s="561">
        <v>2007</v>
      </c>
      <c r="S6" s="562"/>
      <c r="T6" s="562"/>
      <c r="U6" s="562"/>
      <c r="V6" s="562"/>
      <c r="W6" s="562"/>
      <c r="X6" s="562"/>
      <c r="Y6" s="562"/>
      <c r="Z6" s="562"/>
      <c r="AA6" s="562"/>
      <c r="AB6" s="562"/>
      <c r="AC6" s="563"/>
      <c r="AD6" s="561">
        <v>2008</v>
      </c>
      <c r="AE6" s="562"/>
      <c r="AF6" s="562"/>
      <c r="AG6" s="562"/>
      <c r="AH6" s="562"/>
      <c r="AI6" s="562"/>
      <c r="AJ6" s="562"/>
      <c r="AK6" s="562"/>
      <c r="AL6" s="562"/>
      <c r="AM6" s="562"/>
      <c r="AN6" s="562"/>
      <c r="AO6" s="563"/>
      <c r="AP6" s="561">
        <v>2009</v>
      </c>
      <c r="AQ6" s="562"/>
      <c r="AR6" s="562"/>
      <c r="AS6" s="562"/>
      <c r="AT6" s="562"/>
      <c r="AU6" s="562"/>
      <c r="AV6" s="562"/>
      <c r="AW6" s="562"/>
      <c r="AX6" s="562"/>
      <c r="AY6" s="562"/>
      <c r="AZ6" s="562"/>
      <c r="BA6" s="563"/>
      <c r="BB6" s="561">
        <v>2010</v>
      </c>
      <c r="BC6" s="562"/>
      <c r="BD6" s="562"/>
      <c r="BE6" s="562"/>
      <c r="BF6" s="562"/>
      <c r="BG6" s="562"/>
      <c r="BH6" s="562"/>
      <c r="BI6" s="562"/>
      <c r="BJ6" s="562"/>
      <c r="BK6" s="562"/>
      <c r="BL6" s="562"/>
      <c r="BM6" s="563"/>
      <c r="BN6" s="561">
        <v>2011</v>
      </c>
      <c r="BO6" s="562"/>
      <c r="BP6" s="562"/>
      <c r="BQ6" s="562"/>
      <c r="BR6" s="562"/>
      <c r="BS6" s="562"/>
      <c r="BT6" s="562"/>
      <c r="BU6" s="562"/>
      <c r="BV6" s="562"/>
      <c r="BW6" s="562"/>
      <c r="BX6" s="562"/>
      <c r="BY6" s="563"/>
      <c r="BZ6" s="562">
        <v>2012</v>
      </c>
      <c r="CA6" s="562"/>
      <c r="CB6" s="562"/>
      <c r="CC6" s="562"/>
      <c r="CD6" s="562"/>
      <c r="CE6" s="562"/>
      <c r="CF6" s="562"/>
      <c r="CG6" s="562"/>
      <c r="CH6" s="562"/>
      <c r="CI6" s="562"/>
      <c r="CJ6" s="562"/>
      <c r="CK6" s="562"/>
      <c r="CL6" s="561">
        <v>2013</v>
      </c>
      <c r="CM6" s="562"/>
      <c r="CN6" s="562"/>
      <c r="CO6" s="562"/>
      <c r="CP6" s="562"/>
      <c r="CQ6" s="562"/>
      <c r="CR6" s="562"/>
      <c r="CS6" s="562"/>
      <c r="CT6" s="562"/>
      <c r="CU6" s="562"/>
      <c r="CV6" s="562"/>
      <c r="CW6" s="563"/>
      <c r="CX6" s="561">
        <v>2014</v>
      </c>
      <c r="CY6" s="562"/>
      <c r="CZ6" s="562"/>
      <c r="DA6" s="562"/>
      <c r="DB6" s="562"/>
      <c r="DC6" s="562"/>
      <c r="DD6" s="562"/>
      <c r="DE6" s="562"/>
      <c r="DF6" s="562"/>
      <c r="DG6" s="562"/>
      <c r="DH6" s="562"/>
      <c r="DI6" s="563"/>
      <c r="DJ6" s="561">
        <v>2015</v>
      </c>
      <c r="DK6" s="562"/>
      <c r="DL6" s="562"/>
      <c r="DM6" s="562"/>
      <c r="DN6" s="562"/>
      <c r="DO6" s="562"/>
      <c r="DP6" s="562"/>
      <c r="DQ6" s="562"/>
      <c r="DR6" s="562"/>
      <c r="DS6" s="562"/>
      <c r="DT6" s="562"/>
      <c r="DU6" s="563"/>
    </row>
    <row r="7" spans="1:321">
      <c r="E7" s="564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31">
        <v>79855347.849999994</v>
      </c>
      <c r="EU9" s="431">
        <v>106190042</v>
      </c>
      <c r="EV9" s="431">
        <v>137417391.37</v>
      </c>
      <c r="EW9" s="431">
        <v>147833434.00999999</v>
      </c>
      <c r="EX9" s="431">
        <v>135934065.38</v>
      </c>
      <c r="EY9" s="431"/>
      <c r="EZ9" s="431"/>
      <c r="FA9" s="431"/>
      <c r="FB9" s="431"/>
      <c r="FC9" s="431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9">
        <v>60295851.509999998</v>
      </c>
      <c r="EU10" s="449">
        <v>64797597.329999998</v>
      </c>
      <c r="EV10" s="449">
        <v>89261850.609999999</v>
      </c>
      <c r="EW10" s="449">
        <v>97799793.079999998</v>
      </c>
      <c r="EX10" s="449">
        <v>90553351.069999993</v>
      </c>
      <c r="EY10" s="449">
        <v>87503254.430000007</v>
      </c>
      <c r="EZ10" s="449">
        <v>105015545.47</v>
      </c>
      <c r="FA10" s="449">
        <v>107951400.73999999</v>
      </c>
      <c r="FB10" s="449">
        <v>102839740.52</v>
      </c>
      <c r="FC10" s="449">
        <v>89707200.510000005</v>
      </c>
      <c r="FD10" s="378">
        <v>81788199.120000005</v>
      </c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1272487.3600000001</v>
      </c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829532.89</v>
      </c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2283918.14</v>
      </c>
      <c r="FD35" s="378">
        <v>3454054.21</v>
      </c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30988.080000000002</v>
      </c>
      <c r="FD36" s="376">
        <v>86763.82</v>
      </c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895800.14</v>
      </c>
      <c r="FD39" s="376">
        <v>2238150.0099999998</v>
      </c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31"/>
      <c r="EU41" s="431"/>
      <c r="EV41" s="431"/>
      <c r="EW41" s="431"/>
      <c r="EX41" s="431"/>
      <c r="EY41" s="431"/>
      <c r="EZ41" s="431"/>
      <c r="FA41" s="431"/>
      <c r="FB41" s="431"/>
      <c r="FC41" s="431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31"/>
      <c r="EU42" s="431"/>
      <c r="EV42" s="431"/>
      <c r="EW42" s="431"/>
      <c r="EX42" s="431"/>
      <c r="EY42" s="431"/>
      <c r="EZ42" s="431"/>
      <c r="FA42" s="431"/>
      <c r="FB42" s="431"/>
      <c r="FC42" s="431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31"/>
      <c r="EU44" s="431"/>
      <c r="EV44" s="431"/>
      <c r="EW44" s="431"/>
      <c r="EX44" s="431"/>
      <c r="EY44" s="431"/>
      <c r="EZ44" s="431"/>
      <c r="FA44" s="431"/>
      <c r="FB44" s="431"/>
      <c r="FC44" s="431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31"/>
      <c r="EU45" s="431"/>
      <c r="EV45" s="431"/>
      <c r="EW45" s="431"/>
      <c r="EX45" s="431"/>
      <c r="EY45" s="431"/>
      <c r="EZ45" s="431"/>
      <c r="FA45" s="431"/>
      <c r="FB45" s="431"/>
      <c r="FC45" s="431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1518621.66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31"/>
      <c r="EU47" s="431"/>
      <c r="EV47" s="431"/>
      <c r="EW47" s="431"/>
      <c r="EX47" s="431"/>
      <c r="EY47" s="431"/>
      <c r="EZ47" s="431"/>
      <c r="FA47" s="431"/>
      <c r="FB47" s="431"/>
      <c r="FC47" s="431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31"/>
      <c r="EU48" s="431"/>
      <c r="EV48" s="431"/>
      <c r="EW48" s="431"/>
      <c r="EX48" s="431"/>
      <c r="EY48" s="431"/>
      <c r="EZ48" s="431"/>
      <c r="FA48" s="431"/>
      <c r="FB48" s="431"/>
      <c r="FC48" s="431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31"/>
      <c r="EU50" s="431"/>
      <c r="EV50" s="431"/>
      <c r="EW50" s="431"/>
      <c r="EX50" s="431"/>
      <c r="EY50" s="431"/>
      <c r="EZ50" s="431"/>
      <c r="FA50" s="431"/>
      <c r="FB50" s="431"/>
      <c r="FC50" s="431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75357443.420000002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125398354.06999999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38350938.119999997</v>
      </c>
      <c r="EX55" s="376">
        <v>38447534.82</v>
      </c>
      <c r="EY55" s="376">
        <v>38983346.57</v>
      </c>
      <c r="EZ55" s="376">
        <v>37411972.93</v>
      </c>
      <c r="FA55" s="376">
        <v>36767851.93</v>
      </c>
      <c r="FB55" s="376">
        <v>38163591.060000002</v>
      </c>
      <c r="FC55" s="376">
        <v>39555636.280000001</v>
      </c>
      <c r="FD55" s="376">
        <v>45304980.549999997</v>
      </c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31"/>
      <c r="EU62" s="431"/>
      <c r="EV62" s="431"/>
      <c r="EW62" s="431"/>
      <c r="EX62" s="431"/>
      <c r="EY62" s="431"/>
      <c r="EZ62" s="431"/>
      <c r="FA62" s="431"/>
      <c r="FB62" s="431"/>
      <c r="FC62" s="431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31"/>
      <c r="EU63" s="431"/>
      <c r="EV63" s="431"/>
      <c r="EW63" s="431"/>
      <c r="EX63" s="431"/>
      <c r="EY63" s="431"/>
      <c r="EZ63" s="431"/>
      <c r="FA63" s="431"/>
      <c r="FB63" s="431"/>
      <c r="FC63" s="431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31"/>
      <c r="EU64" s="431"/>
      <c r="EV64" s="431"/>
      <c r="EW64" s="431"/>
      <c r="EX64" s="431"/>
      <c r="EY64" s="431"/>
      <c r="EZ64" s="431"/>
      <c r="FA64" s="431"/>
      <c r="FB64" s="431"/>
      <c r="FC64" s="431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31"/>
      <c r="EU65" s="431"/>
      <c r="EV65" s="431"/>
      <c r="EW65" s="431"/>
      <c r="EX65" s="431"/>
      <c r="EY65" s="431"/>
      <c r="EZ65" s="431"/>
      <c r="FA65" s="431"/>
      <c r="FB65" s="431"/>
      <c r="FC65" s="431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31"/>
      <c r="EU66" s="431"/>
      <c r="EV66" s="431"/>
      <c r="EW66" s="431"/>
      <c r="EX66" s="431"/>
      <c r="EY66" s="431"/>
      <c r="EZ66" s="431"/>
      <c r="FA66" s="431"/>
      <c r="FB66" s="431"/>
      <c r="FC66" s="431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31"/>
      <c r="EU67" s="431"/>
      <c r="EV67" s="431"/>
      <c r="EW67" s="431"/>
      <c r="EX67" s="431"/>
      <c r="EY67" s="431"/>
      <c r="EZ67" s="431"/>
      <c r="FA67" s="431"/>
      <c r="FB67" s="431"/>
      <c r="FC67" s="431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31"/>
      <c r="EU68" s="431"/>
      <c r="EV68" s="431"/>
      <c r="EW68" s="431"/>
      <c r="EX68" s="431"/>
      <c r="EY68" s="431"/>
      <c r="EZ68" s="431"/>
      <c r="FA68" s="431"/>
      <c r="FB68" s="431"/>
      <c r="FC68" s="431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1697415.73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14378909.960000001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1628189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31"/>
      <c r="EU114" s="431"/>
      <c r="EV114" s="431"/>
      <c r="EW114" s="431"/>
      <c r="EX114" s="431"/>
      <c r="EY114" s="431"/>
      <c r="EZ114" s="431"/>
      <c r="FA114" s="431"/>
      <c r="FB114" s="431"/>
      <c r="FC114" s="431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31"/>
      <c r="EU115" s="431"/>
      <c r="EV115" s="431"/>
      <c r="EW115" s="431"/>
      <c r="EX115" s="431"/>
      <c r="EY115" s="431"/>
      <c r="EZ115" s="431"/>
      <c r="FA115" s="431"/>
      <c r="FB115" s="431"/>
      <c r="FC115" s="431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31"/>
      <c r="EU116" s="431"/>
      <c r="EV116" s="431"/>
      <c r="EW116" s="431"/>
      <c r="EX116" s="431"/>
      <c r="EY116" s="431"/>
      <c r="EZ116" s="431"/>
      <c r="FA116" s="431"/>
      <c r="FB116" s="431"/>
      <c r="FC116" s="431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31"/>
      <c r="EU117" s="431"/>
      <c r="EV117" s="431"/>
      <c r="EW117" s="431"/>
      <c r="EX117" s="431"/>
      <c r="EY117" s="431"/>
      <c r="EZ117" s="431"/>
      <c r="FA117" s="431"/>
      <c r="FB117" s="431"/>
      <c r="FC117" s="431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31"/>
      <c r="EU118" s="431"/>
      <c r="EV118" s="431"/>
      <c r="EW118" s="431"/>
      <c r="EX118" s="431"/>
      <c r="EY118" s="431"/>
      <c r="EZ118" s="431"/>
      <c r="FA118" s="431"/>
      <c r="FB118" s="431"/>
      <c r="FC118" s="431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31"/>
      <c r="EU119" s="431"/>
      <c r="EV119" s="431"/>
      <c r="EW119" s="431"/>
      <c r="EX119" s="431"/>
      <c r="EY119" s="431"/>
      <c r="EZ119" s="431"/>
      <c r="FA119" s="431"/>
      <c r="FB119" s="431"/>
      <c r="FC119" s="431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31"/>
      <c r="EU120" s="431"/>
      <c r="EV120" s="431"/>
      <c r="EW120" s="431"/>
      <c r="EX120" s="431"/>
      <c r="EY120" s="431"/>
      <c r="EZ120" s="431"/>
      <c r="FA120" s="431"/>
      <c r="FB120" s="431"/>
      <c r="FC120" s="431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34786859.079999998</v>
      </c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3555204.14</v>
      </c>
      <c r="FB137" s="376">
        <v>1229369.33</v>
      </c>
      <c r="FC137" s="376">
        <v>891958.79</v>
      </c>
      <c r="FD137" s="376">
        <v>1174417.8</v>
      </c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2060574.27</v>
      </c>
      <c r="EU159" s="376">
        <v>2958395.49</v>
      </c>
      <c r="EV159" s="376">
        <v>10806505.67</v>
      </c>
      <c r="EW159" s="376">
        <v>28775491.48</v>
      </c>
      <c r="EX159" s="376">
        <v>12314358.92</v>
      </c>
      <c r="EY159" s="376">
        <v>19994287.210000001</v>
      </c>
      <c r="EZ159" s="376">
        <v>22219463.719999999</v>
      </c>
      <c r="FA159" s="376">
        <v>7067070.5700000003</v>
      </c>
      <c r="FB159" s="376">
        <v>38353416.07</v>
      </c>
      <c r="FC159" s="376">
        <v>27286098.32</v>
      </c>
      <c r="FD159" s="376">
        <v>24712008.18</v>
      </c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3266992.16</v>
      </c>
      <c r="EU160" s="376">
        <v>1252962.76</v>
      </c>
      <c r="EV160" s="376">
        <v>2398205.81</v>
      </c>
      <c r="EW160" s="376">
        <v>2567489.7200000002</v>
      </c>
      <c r="EX160" s="376">
        <v>3090956.9800000042</v>
      </c>
      <c r="EY160" s="376">
        <v>7288010.0899999999</v>
      </c>
      <c r="EZ160" s="376">
        <v>2615698.5299999998</v>
      </c>
      <c r="FA160" s="376">
        <v>2782160.17</v>
      </c>
      <c r="FB160" s="376">
        <v>3339367.45</v>
      </c>
      <c r="FC160" s="376">
        <v>5920389.9699999997</v>
      </c>
      <c r="FD160" s="376">
        <v>28699706.960000001</v>
      </c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17749813.48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7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31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Total Revenues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Total Expenditures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Surplus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43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44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64" t="s">
        <v>690</v>
      </c>
      <c r="F215" s="561">
        <v>2006</v>
      </c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3"/>
      <c r="R215" s="561">
        <v>2007</v>
      </c>
      <c r="S215" s="562"/>
      <c r="T215" s="562"/>
      <c r="U215" s="562"/>
      <c r="V215" s="562"/>
      <c r="W215" s="562"/>
      <c r="X215" s="562"/>
      <c r="Y215" s="562"/>
      <c r="Z215" s="562"/>
      <c r="AA215" s="562"/>
      <c r="AB215" s="562"/>
      <c r="AC215" s="563"/>
      <c r="AD215" s="561">
        <v>2008</v>
      </c>
      <c r="AE215" s="562"/>
      <c r="AF215" s="562"/>
      <c r="AG215" s="562"/>
      <c r="AH215" s="562"/>
      <c r="AI215" s="562"/>
      <c r="AJ215" s="562"/>
      <c r="AK215" s="562"/>
      <c r="AL215" s="562"/>
      <c r="AM215" s="562"/>
      <c r="AN215" s="562"/>
      <c r="AO215" s="563"/>
      <c r="AP215" s="561">
        <v>2009</v>
      </c>
      <c r="AQ215" s="562"/>
      <c r="AR215" s="562"/>
      <c r="AS215" s="562"/>
      <c r="AT215" s="562"/>
      <c r="AU215" s="562"/>
      <c r="AV215" s="562"/>
      <c r="AW215" s="562"/>
      <c r="AX215" s="562"/>
      <c r="AY215" s="562"/>
      <c r="AZ215" s="562"/>
      <c r="BA215" s="563"/>
      <c r="BB215" s="561">
        <v>2010</v>
      </c>
      <c r="BC215" s="562"/>
      <c r="BD215" s="562"/>
      <c r="BE215" s="562"/>
      <c r="BF215" s="562"/>
      <c r="BG215" s="562"/>
      <c r="BH215" s="562"/>
      <c r="BI215" s="562"/>
      <c r="BJ215" s="562"/>
      <c r="BK215" s="562"/>
      <c r="BL215" s="562"/>
      <c r="BM215" s="563"/>
      <c r="BN215" s="561">
        <v>2011</v>
      </c>
      <c r="BO215" s="562"/>
      <c r="BP215" s="562"/>
      <c r="BQ215" s="562"/>
      <c r="BR215" s="562"/>
      <c r="BS215" s="562"/>
      <c r="BT215" s="562"/>
      <c r="BU215" s="562"/>
      <c r="BV215" s="562"/>
      <c r="BW215" s="562"/>
      <c r="BX215" s="562"/>
      <c r="BY215" s="563"/>
      <c r="BZ215" s="562">
        <v>2012</v>
      </c>
      <c r="CA215" s="562"/>
      <c r="CB215" s="562"/>
      <c r="CC215" s="562"/>
      <c r="CD215" s="562"/>
      <c r="CE215" s="562"/>
      <c r="CF215" s="562"/>
      <c r="CG215" s="562"/>
      <c r="CH215" s="562"/>
      <c r="CI215" s="562"/>
      <c r="CJ215" s="562"/>
      <c r="CK215" s="562"/>
      <c r="CL215" s="561">
        <v>2013</v>
      </c>
      <c r="CM215" s="562"/>
      <c r="CN215" s="562"/>
      <c r="CO215" s="562"/>
      <c r="CP215" s="562"/>
      <c r="CQ215" s="562"/>
      <c r="CR215" s="562"/>
      <c r="CS215" s="562"/>
      <c r="CT215" s="562"/>
      <c r="CU215" s="562"/>
      <c r="CV215" s="562"/>
      <c r="CW215" s="563"/>
      <c r="CX215" s="561">
        <v>2014</v>
      </c>
      <c r="CY215" s="562"/>
      <c r="CZ215" s="562"/>
      <c r="DA215" s="562"/>
      <c r="DB215" s="562"/>
      <c r="DC215" s="562"/>
      <c r="DD215" s="562"/>
      <c r="DE215" s="562"/>
      <c r="DF215" s="562"/>
      <c r="DG215" s="562"/>
      <c r="DH215" s="562"/>
      <c r="DI215" s="563"/>
      <c r="DJ215" s="561">
        <v>2015</v>
      </c>
      <c r="DK215" s="562"/>
      <c r="DL215" s="562"/>
      <c r="DM215" s="562"/>
      <c r="DN215" s="562"/>
      <c r="DO215" s="562"/>
      <c r="DP215" s="562"/>
      <c r="DQ215" s="562"/>
      <c r="DR215" s="562"/>
      <c r="DS215" s="562"/>
      <c r="DT215" s="562"/>
      <c r="DU215" s="563"/>
    </row>
    <row r="216" spans="1:161">
      <c r="E216" s="564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42330489.099166654</v>
      </c>
      <c r="FC265" s="410">
        <v>42330489.099166654</v>
      </c>
      <c r="FD265" s="410">
        <v>42330489.099166654</v>
      </c>
      <c r="FE265" s="410">
        <v>42330489.099166654</v>
      </c>
      <c r="FF265" s="410">
        <v>461973796.46999985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1064654.7372222201</v>
      </c>
      <c r="FC271" s="410">
        <v>1064654.7372222201</v>
      </c>
      <c r="FD271" s="410">
        <v>1064654.7372222226</v>
      </c>
      <c r="FE271" s="410">
        <v>1608087.7372222189</v>
      </c>
      <c r="FF271" s="410">
        <v>13262623.18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4454463.4019999988</v>
      </c>
      <c r="FC279" s="410">
        <v>4454463.4019999988</v>
      </c>
      <c r="FD279" s="410">
        <v>4454463.4019999988</v>
      </c>
      <c r="FE279" s="410">
        <v>4454463.4019999988</v>
      </c>
      <c r="FF279" s="410">
        <v>39682213.5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5577148.0201111175</v>
      </c>
      <c r="FC286" s="410">
        <v>5577148.0201111175</v>
      </c>
      <c r="FD286" s="410">
        <v>5577148.0201111175</v>
      </c>
      <c r="FE286" s="410">
        <v>5577148.0201111175</v>
      </c>
      <c r="FF286" s="410">
        <v>58741932.939999998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1850732.9058333328</v>
      </c>
      <c r="FC296" s="410">
        <v>1850732.9058333328</v>
      </c>
      <c r="FD296" s="410">
        <v>1850732.9058333328</v>
      </c>
      <c r="FE296" s="410">
        <v>1850732.9058333328</v>
      </c>
      <c r="FF296" s="410">
        <v>22285486.810000002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7615225</v>
      </c>
      <c r="FC300" s="410">
        <v>7615225</v>
      </c>
      <c r="FD300" s="410">
        <v>7615225</v>
      </c>
      <c r="FE300" s="410">
        <v>7615225</v>
      </c>
      <c r="FF300" s="410">
        <v>87442700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986109.29833333322</v>
      </c>
      <c r="FC303" s="410">
        <v>986109.29833333322</v>
      </c>
      <c r="FD303" s="410">
        <v>986109.29833333322</v>
      </c>
      <c r="FE303" s="410">
        <v>986109.29833333322</v>
      </c>
      <c r="FF303" s="410">
        <v>10344524.66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2180983.3333333344</v>
      </c>
      <c r="FC307" s="410">
        <v>2180983.3333333344</v>
      </c>
      <c r="FD307" s="410">
        <v>2180983.3333333344</v>
      </c>
      <c r="FE307" s="410">
        <v>2180983.3333333344</v>
      </c>
      <c r="FF307" s="410">
        <v>26731800.000000011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3877323.0754444436</v>
      </c>
      <c r="FC311" s="410">
        <v>3877323.0754444436</v>
      </c>
      <c r="FD311" s="410">
        <v>3877323.0754444436</v>
      </c>
      <c r="FE311" s="410">
        <v>3877323.0754444436</v>
      </c>
      <c r="FF311" s="410">
        <v>39317929.93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47831745.139999971</v>
      </c>
      <c r="FC321" s="410">
        <v>47831745.139999971</v>
      </c>
      <c r="FD321" s="410">
        <v>47831745.139999971</v>
      </c>
      <c r="FE321" s="410">
        <v>47831745.139999971</v>
      </c>
      <c r="FF321" s="410">
        <v>558932773.86000001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7394520.9774999991</v>
      </c>
      <c r="FC322" s="410">
        <v>7394520.9774999991</v>
      </c>
      <c r="FD322" s="410">
        <v>7394520.9774999991</v>
      </c>
      <c r="FE322" s="410">
        <v>7394520.9774999991</v>
      </c>
      <c r="FF322" s="410">
        <v>82786083.909999996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924899.9599999981</v>
      </c>
      <c r="FC330" s="410">
        <v>924899.9599999981</v>
      </c>
      <c r="FD330" s="410">
        <v>924899.9599999981</v>
      </c>
      <c r="FE330" s="410">
        <v>924899.9599999981</v>
      </c>
      <c r="FF330" s="410">
        <v>17298799.519999992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2000008.3333333328</v>
      </c>
      <c r="FC344" s="410">
        <v>2000008.3333333328</v>
      </c>
      <c r="FD344" s="410">
        <v>2000008.3333333328</v>
      </c>
      <c r="FE344" s="410">
        <v>2000008.3333333328</v>
      </c>
      <c r="FF344" s="410">
        <v>19000099.999999996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2039583.333333334</v>
      </c>
      <c r="FC346" s="410">
        <v>2039583.333333334</v>
      </c>
      <c r="FD346" s="410">
        <v>2039583.333333334</v>
      </c>
      <c r="FE346" s="410">
        <v>2039583.333333334</v>
      </c>
      <c r="FF346" s="410">
        <v>14175000.000000002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18930636.555833336</v>
      </c>
      <c r="FC350" s="410">
        <v>18930636.555833336</v>
      </c>
      <c r="FD350" s="410">
        <v>18930636.555833336</v>
      </c>
      <c r="FE350" s="410">
        <v>18930636.555833336</v>
      </c>
      <c r="FF350" s="410">
        <v>206684238.69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18469212.55916667</v>
      </c>
      <c r="FC351" s="410">
        <v>18469212.55916667</v>
      </c>
      <c r="FD351" s="410">
        <v>18469212.55916667</v>
      </c>
      <c r="FE351" s="410">
        <v>18469212.55916667</v>
      </c>
      <c r="FF351" s="410">
        <v>200961211.56999999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461423.99666666664</v>
      </c>
      <c r="FC361" s="410">
        <v>461423.99666666664</v>
      </c>
      <c r="FD361" s="410">
        <v>461423.99666666664</v>
      </c>
      <c r="FE361" s="410">
        <v>461423.99666666664</v>
      </c>
      <c r="FF361" s="410">
        <v>5723027.120000001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26315416.666666701</v>
      </c>
      <c r="FC368" s="410">
        <v>26315416.666666701</v>
      </c>
      <c r="FD368" s="410">
        <v>26815416.670000002</v>
      </c>
      <c r="FE368" s="410">
        <v>26815416.66</v>
      </c>
      <c r="FF368" s="410">
        <v>289074999.99666673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5687111.6931666648</v>
      </c>
      <c r="FC369" s="410">
        <v>5687111.6931666648</v>
      </c>
      <c r="FD369" s="410">
        <v>5687111.6931666601</v>
      </c>
      <c r="FE369" s="410">
        <v>5687111.6931666601</v>
      </c>
      <c r="FF369" s="410">
        <v>52847565.419999987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46">
        <v>116701.86</v>
      </c>
      <c r="EU388" s="447">
        <v>867332.36</v>
      </c>
      <c r="EV388" s="447">
        <v>7801367.0199999996</v>
      </c>
      <c r="EW388" s="447">
        <v>4481623.79</v>
      </c>
      <c r="EX388" s="447">
        <v>2831467.37</v>
      </c>
      <c r="EY388" s="447">
        <v>7170000.0800000001</v>
      </c>
      <c r="EZ388" s="447">
        <v>82322.3</v>
      </c>
      <c r="FA388" s="447">
        <v>10832753.109999999</v>
      </c>
      <c r="FB388" s="447">
        <v>1958366.01</v>
      </c>
      <c r="FC388" s="447">
        <v>1510132.11</v>
      </c>
      <c r="FD388" s="447">
        <v>834059.15</v>
      </c>
      <c r="FE388" s="447">
        <v>12202154.65</v>
      </c>
      <c r="FF388" s="41">
        <v>50680000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46">
        <v>2071825.5645770216</v>
      </c>
      <c r="EU389" s="447">
        <v>2862393.2253735214</v>
      </c>
      <c r="EV389" s="447">
        <v>12467636.918240691</v>
      </c>
      <c r="EW389" s="447">
        <v>17326274.372907523</v>
      </c>
      <c r="EX389" s="447">
        <v>15150457.606090657</v>
      </c>
      <c r="EY389" s="447">
        <v>8947929.7645770218</v>
      </c>
      <c r="EZ389" s="447">
        <v>2071825.5545770216</v>
      </c>
      <c r="FA389" s="447">
        <v>2989936.9753735219</v>
      </c>
      <c r="FB389" s="447">
        <v>16625761.232895471</v>
      </c>
      <c r="FC389" s="447">
        <v>4165314.0029075216</v>
      </c>
      <c r="FD389" s="447">
        <v>6972714.957903021</v>
      </c>
      <c r="FE389" s="447">
        <v>369847929.82457697</v>
      </c>
      <c r="FF389" s="41">
        <v>461500000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2702457.9166666698</v>
      </c>
      <c r="FC393" s="410">
        <v>2797457.9166666698</v>
      </c>
      <c r="FD393" s="410">
        <v>2792457.9166666698</v>
      </c>
      <c r="FE393" s="410">
        <v>3347457.9166666698</v>
      </c>
      <c r="FF393" s="410">
        <v>30244495.000000015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v>830846.24800000002</v>
      </c>
      <c r="EU394" s="410">
        <v>830846.24800000002</v>
      </c>
      <c r="EV394" s="410">
        <v>830846.24800000002</v>
      </c>
      <c r="EW394" s="410">
        <v>949846.13199999998</v>
      </c>
      <c r="EX394" s="410">
        <v>1306845.784</v>
      </c>
      <c r="EY394" s="410">
        <v>830846.24800000002</v>
      </c>
      <c r="EZ394" s="410">
        <v>1246269.3720000002</v>
      </c>
      <c r="FA394" s="410">
        <v>1246269.3720000002</v>
      </c>
      <c r="FB394" s="410">
        <v>5393218.1470000008</v>
      </c>
      <c r="FC394" s="410">
        <v>5393218.1470000008</v>
      </c>
      <c r="FD394" s="410">
        <v>5393218.1470000008</v>
      </c>
      <c r="FE394" s="410">
        <v>5393218.1470000008</v>
      </c>
      <c r="FF394" s="410">
        <v>29645488.240000002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2223304.53675</v>
      </c>
      <c r="FC395" s="410">
        <v>3116522.6837499999</v>
      </c>
      <c r="FD395" s="410">
        <v>8116522.6837499999</v>
      </c>
      <c r="FE395" s="410">
        <v>8116522.6837499999</v>
      </c>
      <c r="FF395" s="410">
        <v>29050488.82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2</v>
      </c>
      <c r="C2" s="56" t="s">
        <v>0</v>
      </c>
    </row>
    <row r="3" spans="2:7" ht="15.75" thickBot="1">
      <c r="B3" s="305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Montly Data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Montly Data 2016</v>
      </c>
    </row>
    <row r="13" spans="2:7">
      <c r="E13" s="11" t="s">
        <v>703</v>
      </c>
      <c r="F13" s="12" t="s">
        <v>704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756</v>
      </c>
      <c r="F16" s="12" t="s">
        <v>757</v>
      </c>
      <c r="G16" s="52" t="str">
        <f t="shared" si="0"/>
        <v>Montly Data 2012</v>
      </c>
    </row>
    <row r="17" spans="2:7">
      <c r="E17" s="11" t="s">
        <v>758</v>
      </c>
      <c r="F17" s="12" t="s">
        <v>759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November</v>
      </c>
    </row>
    <row r="243" spans="4:7">
      <c r="D243" s="49"/>
      <c r="E243" s="9"/>
      <c r="F243" s="10"/>
      <c r="G243" s="52" t="str">
        <f>+CONCATENATE("Jan - ",LEFT(G242,3))</f>
        <v>Jan - Nov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Budget Execution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November</v>
      </c>
      <c r="F251" s="10" t="str">
        <f>+CONCATENATE("Analytics for period ",G242)</f>
        <v>Analytics for period November</v>
      </c>
      <c r="G251" s="52" t="str">
        <f>+IF(ISBLANK(IF($B$2=1,E251,F251)),"",IF($B$2=1,E251,F251))</f>
        <v>Analytics for period November</v>
      </c>
    </row>
    <row r="252" spans="4:7">
      <c r="D252" s="46"/>
      <c r="E252" s="9" t="str">
        <f>+CONCATENATE("Analitika za period ",G243)</f>
        <v>Analitika za period Jan - Nov</v>
      </c>
      <c r="F252" s="10" t="str">
        <f>+CONCATENATE("Analytics for period ",G243)</f>
        <v>Analytics for period Jan - Nov</v>
      </c>
      <c r="G252" s="52" t="str">
        <f>+IF(ISBLANK(IF($B$2=1,E252,F252)),"",IF($B$2=1,E252,F252))</f>
        <v>Analytics for period Jan - Nov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November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November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Deficit for November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November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November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November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I16" sqref="I16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Montenegro</v>
      </c>
      <c r="I2" s="151"/>
    </row>
    <row r="3" spans="3:11" s="148" customFormat="1">
      <c r="E3" s="151" t="str">
        <f>+Master!G7</f>
        <v>Ministry of Finance</v>
      </c>
    </row>
    <row r="4" spans="3:11" s="148" customFormat="1">
      <c r="E4" s="151" t="str">
        <f>+Master!G8</f>
        <v>Direcorate for Economic Policy and Developement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Revenues for November</v>
      </c>
      <c r="E11" s="157"/>
      <c r="F11" s="157"/>
      <c r="G11" s="157"/>
      <c r="H11" s="318" t="str">
        <f>+Master!G271</f>
        <v>Revenues for period January - November</v>
      </c>
      <c r="I11" s="319"/>
      <c r="J11" s="307"/>
      <c r="K11" s="158"/>
    </row>
    <row r="12" spans="3:11">
      <c r="C12" s="156"/>
      <c r="D12" s="160">
        <f>+'Analytics - 2018'!N10</f>
        <v>142762362.10999998</v>
      </c>
      <c r="E12" s="161">
        <f>+D12/'2018'!T7</f>
        <v>3.1004965166684762E-2</v>
      </c>
      <c r="F12" s="157"/>
      <c r="G12" s="157"/>
      <c r="H12" s="320">
        <f>+'Analytics - 2018'!G10</f>
        <v>1561546304.3099999</v>
      </c>
      <c r="I12" s="321">
        <f>+H12/'2018'!T7</f>
        <v>0.33913482556412206</v>
      </c>
      <c r="J12" s="307"/>
      <c r="K12" s="158"/>
    </row>
    <row r="13" spans="3:11">
      <c r="C13" s="156"/>
      <c r="D13" s="162" t="s">
        <v>428</v>
      </c>
      <c r="E13" s="162" t="str">
        <f>+Master!G247</f>
        <v>% GDP</v>
      </c>
      <c r="F13" s="157"/>
      <c r="G13" s="157"/>
      <c r="H13" s="322" t="str">
        <f>+D13</f>
        <v>mil. €</v>
      </c>
      <c r="I13" s="322" t="str">
        <f>+E13</f>
        <v>% GDP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Expenditures for November</v>
      </c>
      <c r="E15" s="157"/>
      <c r="F15" s="157"/>
      <c r="G15" s="157"/>
      <c r="H15" s="318" t="str">
        <f>+Master!G272</f>
        <v>Expenditures for period January - November</v>
      </c>
      <c r="I15" s="319"/>
      <c r="J15" s="307"/>
      <c r="K15" s="158"/>
    </row>
    <row r="16" spans="3:11">
      <c r="C16" s="156"/>
      <c r="D16" s="160">
        <f>+'Analytics - 2018'!N29</f>
        <v>187380640.81999996</v>
      </c>
      <c r="E16" s="161">
        <f>+D16/'2018'!T7</f>
        <v>4.0695111482245624E-2</v>
      </c>
      <c r="F16" s="157"/>
      <c r="G16" s="157"/>
      <c r="H16" s="320">
        <f>+'Analytics - 2018'!G29</f>
        <v>1644193116.6400001</v>
      </c>
      <c r="I16" s="321">
        <f>+H16/'2018'!T7</f>
        <v>0.35708396495602129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GDP</v>
      </c>
      <c r="F17" s="157"/>
      <c r="G17" s="157"/>
      <c r="H17" s="322" t="str">
        <f>+D13</f>
        <v>mil. €</v>
      </c>
      <c r="I17" s="322" t="str">
        <f>+E13</f>
        <v>% GDP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+Master!G269</f>
        <v>Deficit for November</v>
      </c>
      <c r="E19" s="157"/>
      <c r="F19" s="157"/>
      <c r="G19" s="157"/>
      <c r="H19" s="318" t="str">
        <f>+Master!G273</f>
        <v>Deficit for period January - November</v>
      </c>
      <c r="I19" s="319"/>
      <c r="J19" s="307"/>
      <c r="K19" s="158"/>
    </row>
    <row r="20" spans="3:11">
      <c r="C20" s="156"/>
      <c r="D20" s="160">
        <f>+'Analytics - 2018'!N55</f>
        <v>-44618278.709999979</v>
      </c>
      <c r="E20" s="161">
        <f>+D20/'2018'!T7</f>
        <v>-9.6901463155608589E-3</v>
      </c>
      <c r="F20" s="157"/>
      <c r="G20" s="157"/>
      <c r="H20" s="320">
        <f>+'Analytics - 2018'!G55</f>
        <v>-82646812.329999954</v>
      </c>
      <c r="I20" s="321">
        <f>+H20/'2018'!T7</f>
        <v>-1.7949139391899217E-2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GDP</v>
      </c>
      <c r="F21" s="157"/>
      <c r="G21" s="157"/>
      <c r="H21" s="308" t="str">
        <f>+D13</f>
        <v>mil. €</v>
      </c>
      <c r="I21" s="308" t="str">
        <f>+E13</f>
        <v>% GDP</v>
      </c>
      <c r="J21" s="307"/>
      <c r="K21" s="158"/>
    </row>
    <row r="22" spans="3:11">
      <c r="C22" s="156"/>
      <c r="D22" s="501"/>
      <c r="E22" s="502"/>
      <c r="F22" s="502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2"/>
  <sheetViews>
    <sheetView tabSelected="1" zoomScaleNormal="100" workbookViewId="0">
      <pane ySplit="5" topLeftCell="A6" activePane="bottomLeft" state="frozen"/>
      <selection activeCell="DK219" sqref="DK219"/>
      <selection pane="bottomLeft" activeCell="N55" sqref="N5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B3" s="188"/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2018-11</v>
      </c>
      <c r="O6" s="168" t="str">
        <f>+CONCATENATE(N6,"p")</f>
        <v>2018-11p</v>
      </c>
      <c r="P6" s="152"/>
      <c r="Q6" s="152"/>
      <c r="R6" s="168" t="str">
        <f>+IF(Master!B3-10&gt;=0,CONCATENATE(Master!B4-1,"-",Master!B3),CONCATENATE(Master!B4-1,"-0",Master!B3))</f>
        <v>2017-11</v>
      </c>
      <c r="S6" s="152"/>
      <c r="T6" s="152"/>
    </row>
    <row r="7" spans="1:20">
      <c r="A7" s="169"/>
      <c r="B7" s="455" t="str">
        <f>+Master!G252</f>
        <v>Analytics for period Jan - Nov</v>
      </c>
      <c r="C7" s="456"/>
      <c r="D7" s="456"/>
      <c r="E7" s="456"/>
      <c r="F7" s="456"/>
      <c r="G7" s="464" t="str">
        <f>+Master!G243</f>
        <v>Jan - Nov</v>
      </c>
      <c r="H7" s="465"/>
      <c r="I7" s="465"/>
      <c r="J7" s="465"/>
      <c r="K7" s="465"/>
      <c r="L7" s="465"/>
      <c r="M7" s="466"/>
      <c r="N7" s="467" t="str">
        <f>+Master!G242</f>
        <v>November</v>
      </c>
      <c r="O7" s="465"/>
      <c r="P7" s="465"/>
      <c r="Q7" s="465"/>
      <c r="R7" s="465"/>
      <c r="S7" s="465"/>
      <c r="T7" s="468"/>
    </row>
    <row r="8" spans="1:20">
      <c r="A8" s="169"/>
      <c r="B8" s="457"/>
      <c r="C8" s="458"/>
      <c r="D8" s="458"/>
      <c r="E8" s="458"/>
      <c r="F8" s="459"/>
      <c r="G8" s="170" t="str">
        <f>+Master!G21</f>
        <v>Execution</v>
      </c>
      <c r="H8" s="170" t="str">
        <f>+Master!G20</f>
        <v>Plan</v>
      </c>
      <c r="I8" s="451" t="str">
        <f>+Master!G258</f>
        <v>Deviation</v>
      </c>
      <c r="J8" s="451"/>
      <c r="K8" s="170" t="str">
        <f>+CONCATENATE(Master!G243," ",Master!B4-1)</f>
        <v>Jan - Nov 2017</v>
      </c>
      <c r="L8" s="451" t="str">
        <f>+I8</f>
        <v>Deviation</v>
      </c>
      <c r="M8" s="463"/>
      <c r="N8" s="171" t="str">
        <f>+G8</f>
        <v>Execution</v>
      </c>
      <c r="O8" s="170" t="str">
        <f>+H8</f>
        <v>Plan</v>
      </c>
      <c r="P8" s="451" t="str">
        <f>+I8</f>
        <v>Deviation</v>
      </c>
      <c r="Q8" s="451"/>
      <c r="R8" s="170" t="str">
        <f>+CONCATENATE(Master!G242," ",Master!B4-1)</f>
        <v>November 2017</v>
      </c>
      <c r="S8" s="451" t="str">
        <f>+P8</f>
        <v>Deviation</v>
      </c>
      <c r="T8" s="452"/>
    </row>
    <row r="9" spans="1:20" ht="15.7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>+SUMPRODUCT(('2018'!$G10:$R10)*('2018'!$G$5:$R$5&lt;=Master!$B$3)*($A10='2018'!$A$10:$A$66))</f>
        <v>1561546304.3099999</v>
      </c>
      <c r="H10" s="176">
        <f>+SUMPRODUCT(('2018'!$G105:$R105)*('2018'!$G$5:$R$5&lt;=Master!$B$3))</f>
        <v>1560766247.144892</v>
      </c>
      <c r="I10" s="177">
        <f>+G10-H10</f>
        <v>780057.16510796547</v>
      </c>
      <c r="J10" s="178">
        <f>+IF(ISNUMBER(G10/H10-1),G10/H10-1,"…")</f>
        <v>4.997911548476619E-4</v>
      </c>
      <c r="K10" s="176">
        <f>+SUMPRODUCT(('2017'!$G10:$R10)*('2017'!$G$5:$R$5&lt;=Master!$B$3))</f>
        <v>1380384623.1800001</v>
      </c>
      <c r="L10" s="177">
        <f>+G10-K10</f>
        <v>181161681.12999988</v>
      </c>
      <c r="M10" s="179">
        <f>+IF(ISNUMBER(G10/K10-1),G10/K10-1,"…")</f>
        <v>0.13124000230649968</v>
      </c>
      <c r="N10" s="176">
        <f>'2018'!Q10</f>
        <v>142762362.10999998</v>
      </c>
      <c r="O10" s="176">
        <f>+INDEX('2018'!$1:$1048576,MATCH(CONCATENATE('Analytics - 2018'!$A10,"p"),'2018'!$A:$A,0),MATCH('Analytics - 2018'!$O$6,'2018'!$101:$101,0))</f>
        <v>136862712.00099453</v>
      </c>
      <c r="P10" s="177">
        <f>+N10-O10</f>
        <v>5899650.1090054512</v>
      </c>
      <c r="Q10" s="178">
        <f>+IF(ISNUMBER(N10/O10-1),N10/O10-1,"…")</f>
        <v>4.3106336435614345E-2</v>
      </c>
      <c r="R10" s="176">
        <f>'2017'!Q10</f>
        <v>125487638.99000001</v>
      </c>
      <c r="S10" s="177">
        <f>+N10-R10</f>
        <v>17274723.119999975</v>
      </c>
      <c r="T10" s="179">
        <f>+IF(ISNUMBER(N10/R10-1),N10/R10-1,"…")</f>
        <v>0.13766075494795604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94">
        <f>+SUMPRODUCT(('2018'!$G11:$R11)*('2018'!$G$5:$R$5&lt;=Master!$B$3)*($A11='2018'!$A$10:$A$66))</f>
        <v>977513784.38999999</v>
      </c>
      <c r="H11" s="341">
        <f>+SUMPRODUCT(('2018'!$G106:$R106)*('2018'!$G$5:$R$5&lt;=Master!$B$3))</f>
        <v>980183656.89718843</v>
      </c>
      <c r="I11" s="183">
        <f t="shared" ref="I11:I67" si="0">+G11-H11</f>
        <v>-2669872.5071884394</v>
      </c>
      <c r="J11" s="184">
        <f t="shared" ref="J11:J66" si="1">+IF(ISNUMBER(G11/H11-1),G11/H11-1,"…")</f>
        <v>-2.7238492382539725E-3</v>
      </c>
      <c r="K11" s="182">
        <f>+SUMPRODUCT(('2017'!$G11:$R11)*('2017'!$G$5:$R$5&lt;=Master!$B$3))</f>
        <v>881761285.22000015</v>
      </c>
      <c r="L11" s="183">
        <f>+G11-K11</f>
        <v>95752499.169999838</v>
      </c>
      <c r="M11" s="185">
        <f t="shared" ref="M11:M66" si="2">+IF(ISNUMBER(G11/K11-1),G11/K11-1,"…")</f>
        <v>0.10859231492127663</v>
      </c>
      <c r="N11" s="194">
        <f>'2018'!Q11</f>
        <v>81788199.11999999</v>
      </c>
      <c r="O11" s="341">
        <f>+INDEX('2018'!$1:$1048576,MATCH(CONCATENATE('Analytics - 2018'!$A11,"p"),'2018'!$A:$A,0),MATCH('Analytics - 2018'!$O$6,'2018'!$101:$101,0))</f>
        <v>82424829.046484277</v>
      </c>
      <c r="P11" s="183">
        <f t="shared" ref="P11:P60" si="3">+N11-O11</f>
        <v>-636629.92648428679</v>
      </c>
      <c r="Q11" s="184">
        <f t="shared" ref="Q11:Q60" si="4">+IF(ISNUMBER(N11/O11-1),N11/O11-1,"…")</f>
        <v>-7.7237639901595045E-3</v>
      </c>
      <c r="R11" s="194">
        <f>'2017'!Q11</f>
        <v>74654697.830000013</v>
      </c>
      <c r="S11" s="183">
        <f t="shared" ref="S11:S59" si="5">+N11-R11</f>
        <v>7133501.2899999768</v>
      </c>
      <c r="T11" s="185">
        <f t="shared" ref="T11:T59" si="6">+IF(ISNUMBER(N11/R11-1),N11/R11-1,"…")</f>
        <v>9.5553280601899049E-2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+SUMPRODUCT(('2018'!$G12:$R12)*('2018'!$G$5:$R$5&lt;=Master!$B$3)*($A12='2018'!$A$10:$A$66))</f>
        <v>106025922.48000002</v>
      </c>
      <c r="H12" s="188">
        <f>+SUMPRODUCT(('2018'!$G107:$R107)*('2018'!$G$5:$R$5&lt;=Master!$B$3))</f>
        <v>105709661.85312088</v>
      </c>
      <c r="I12" s="189">
        <f t="shared" si="0"/>
        <v>316260.62687914073</v>
      </c>
      <c r="J12" s="190">
        <f t="shared" si="1"/>
        <v>2.9917854369694297E-3</v>
      </c>
      <c r="K12" s="188">
        <f>+SUMPRODUCT(('2017'!$G12:$R12)*('2017'!$G$5:$R$5&lt;=Master!$B$3))</f>
        <v>97536328.640000001</v>
      </c>
      <c r="L12" s="189">
        <f>+G12-K12</f>
        <v>8489593.8400000185</v>
      </c>
      <c r="M12" s="191">
        <f t="shared" si="2"/>
        <v>8.7040325982891353E-2</v>
      </c>
      <c r="N12" s="188">
        <f>'2018'!Q12</f>
        <v>10504970.310000001</v>
      </c>
      <c r="O12" s="188">
        <f>+INDEX('2018'!$1:$1048576,MATCH(CONCATENATE('Analytics - 2018'!$A12,"p"),'2018'!$A:$A,0),MATCH('Analytics - 2018'!$O$6,'2018'!$101:$101,0))</f>
        <v>8309878.0236359257</v>
      </c>
      <c r="P12" s="189">
        <f t="shared" si="3"/>
        <v>2195092.2863640748</v>
      </c>
      <c r="Q12" s="190">
        <f t="shared" si="4"/>
        <v>0.26415457364362482</v>
      </c>
      <c r="R12" s="188">
        <f>'2017'!Q12</f>
        <v>7670634.21</v>
      </c>
      <c r="S12" s="189">
        <f t="shared" si="5"/>
        <v>2834336.1000000006</v>
      </c>
      <c r="T12" s="191">
        <f t="shared" si="6"/>
        <v>0.36950479222499655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+SUMPRODUCT(('2018'!$G13:$R13)*('2018'!$G$5:$R$5&lt;=Master!$B$3)*($A13='2018'!$A$10:$A$66))</f>
        <v>66359905.399999991</v>
      </c>
      <c r="H13" s="188">
        <f>+SUMPRODUCT(('2018'!$G108:$R108)*('2018'!$G$5:$R$5&lt;=Master!$B$3))</f>
        <v>59680468.546632931</v>
      </c>
      <c r="I13" s="189">
        <f t="shared" si="0"/>
        <v>6679436.8533670604</v>
      </c>
      <c r="J13" s="190">
        <f t="shared" si="1"/>
        <v>0.11191998012126714</v>
      </c>
      <c r="K13" s="188">
        <f>+SUMPRODUCT(('2017'!$G13:$R13)*('2017'!$G$5:$R$5&lt;=Master!$B$3))</f>
        <v>47563615.890000001</v>
      </c>
      <c r="L13" s="189">
        <f t="shared" ref="L13:L67" si="7">+G13-K13</f>
        <v>18796289.50999999</v>
      </c>
      <c r="M13" s="191">
        <f t="shared" si="2"/>
        <v>0.39518209787645286</v>
      </c>
      <c r="N13" s="188">
        <f>'2018'!Q13</f>
        <v>802479.78</v>
      </c>
      <c r="O13" s="188">
        <f>+INDEX('2018'!$1:$1048576,MATCH(CONCATENATE('Analytics - 2018'!$A13,"p"),'2018'!$A:$A,0),MATCH('Analytics - 2018'!$O$6,'2018'!$101:$101,0))</f>
        <v>801101.06022479141</v>
      </c>
      <c r="P13" s="189">
        <f t="shared" si="3"/>
        <v>1378.7197752086213</v>
      </c>
      <c r="Q13" s="190">
        <f t="shared" si="4"/>
        <v>1.7210310205078017E-3</v>
      </c>
      <c r="R13" s="188">
        <f>'2017'!Q13</f>
        <v>667573.11</v>
      </c>
      <c r="S13" s="189">
        <f t="shared" si="5"/>
        <v>134906.67000000004</v>
      </c>
      <c r="T13" s="191">
        <f t="shared" si="6"/>
        <v>0.20208523677653822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+SUMPRODUCT(('2018'!$G14:$R14)*('2018'!$G$5:$R$5&lt;=Master!$B$3)*($A14='2018'!$A$10:$A$66))</f>
        <v>1627139.89</v>
      </c>
      <c r="H14" s="188">
        <f>+SUMPRODUCT(('2018'!$G109:$R109)*('2018'!$G$5:$R$5&lt;=Master!$B$3))</f>
        <v>1702126.0390430347</v>
      </c>
      <c r="I14" s="189">
        <f t="shared" si="0"/>
        <v>-74986.149043034762</v>
      </c>
      <c r="J14" s="190">
        <f t="shared" si="1"/>
        <v>-4.4054404505316946E-2</v>
      </c>
      <c r="K14" s="188">
        <f>+SUMPRODUCT(('2017'!$G14:$R14)*('2017'!$G$5:$R$5&lt;=Master!$B$3))</f>
        <v>1394639.03</v>
      </c>
      <c r="L14" s="189">
        <f t="shared" si="7"/>
        <v>232500.85999999987</v>
      </c>
      <c r="M14" s="191">
        <f t="shared" si="2"/>
        <v>0.16671042111878931</v>
      </c>
      <c r="N14" s="188">
        <f>'2018'!Q14</f>
        <v>193671.67</v>
      </c>
      <c r="O14" s="188">
        <f>+INDEX('2018'!$1:$1048576,MATCH(CONCATENATE('Analytics - 2018'!$A14,"p"),'2018'!$A:$A,0),MATCH('Analytics - 2018'!$O$6,'2018'!$101:$101,0))</f>
        <v>194711.60663450463</v>
      </c>
      <c r="P14" s="189">
        <f t="shared" si="3"/>
        <v>-1039.9366345046146</v>
      </c>
      <c r="Q14" s="190">
        <f t="shared" si="4"/>
        <v>-5.3409072652597089E-3</v>
      </c>
      <c r="R14" s="188">
        <f>'2017'!Q14</f>
        <v>165720.76</v>
      </c>
      <c r="S14" s="189">
        <f t="shared" si="5"/>
        <v>27950.910000000003</v>
      </c>
      <c r="T14" s="191">
        <f t="shared" si="6"/>
        <v>0.16866269500574349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+SUMPRODUCT(('2018'!$G15:$R15)*('2018'!$G$5:$R$5&lt;=Master!$B$3)*($A15='2018'!$A$10:$A$66))</f>
        <v>566021410.47000003</v>
      </c>
      <c r="H15" s="188">
        <f>+SUMPRODUCT(('2018'!$G110:$R110)*('2018'!$G$5:$R$5&lt;=Master!$B$3))</f>
        <v>567478873.54740608</v>
      </c>
      <c r="I15" s="189">
        <f t="shared" si="0"/>
        <v>-1457463.0774060488</v>
      </c>
      <c r="J15" s="190">
        <f t="shared" si="1"/>
        <v>-2.5683124876442198E-3</v>
      </c>
      <c r="K15" s="188">
        <f>+SUMPRODUCT(('2017'!$G15:$R15)*('2017'!$G$5:$R$5&lt;=Master!$B$3))</f>
        <v>498510391.02000004</v>
      </c>
      <c r="L15" s="189">
        <f t="shared" si="7"/>
        <v>67511019.449999988</v>
      </c>
      <c r="M15" s="191">
        <f t="shared" si="2"/>
        <v>0.13542550098477579</v>
      </c>
      <c r="N15" s="188">
        <f>'2018'!Q15</f>
        <v>47812481.689999998</v>
      </c>
      <c r="O15" s="188">
        <f>+INDEX('2018'!$1:$1048576,MATCH(CONCATENATE('Analytics - 2018'!$A15,"p"),'2018'!$A:$A,0),MATCH('Analytics - 2018'!$O$6,'2018'!$101:$101,0))</f>
        <v>50951819.125281952</v>
      </c>
      <c r="P15" s="189">
        <f t="shared" si="3"/>
        <v>-3139337.4352819547</v>
      </c>
      <c r="Q15" s="190">
        <f t="shared" si="4"/>
        <v>-6.161384400354486E-2</v>
      </c>
      <c r="R15" s="188">
        <f>'2017'!Q15</f>
        <v>44942136.68</v>
      </c>
      <c r="S15" s="189">
        <f t="shared" si="5"/>
        <v>2870345.0099999979</v>
      </c>
      <c r="T15" s="191">
        <f t="shared" si="6"/>
        <v>6.3867568879459879E-2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+SUMPRODUCT(('2018'!$G16:$R16)*('2018'!$G$5:$R$5&lt;=Master!$B$3)*($A16='2018'!$A$10:$A$66))</f>
        <v>204416757.59999999</v>
      </c>
      <c r="H16" s="188">
        <f>+SUMPRODUCT(('2018'!$G111:$R111)*('2018'!$G$5:$R$5&lt;=Master!$B$3))</f>
        <v>212462564.35799703</v>
      </c>
      <c r="I16" s="189">
        <f t="shared" si="0"/>
        <v>-8045806.757997036</v>
      </c>
      <c r="J16" s="190">
        <f t="shared" si="1"/>
        <v>-3.786929138462225E-2</v>
      </c>
      <c r="K16" s="188">
        <f>+SUMPRODUCT(('2017'!$G16:$R16)*('2017'!$G$5:$R$5&lt;=Master!$B$3))</f>
        <v>205207010.71999997</v>
      </c>
      <c r="L16" s="189">
        <f t="shared" si="7"/>
        <v>-790253.11999997497</v>
      </c>
      <c r="M16" s="191">
        <f t="shared" si="2"/>
        <v>-3.8510044916459929E-3</v>
      </c>
      <c r="N16" s="188">
        <f>'2018'!Q16</f>
        <v>19778303.699999999</v>
      </c>
      <c r="O16" s="188">
        <f>+INDEX('2018'!$1:$1048576,MATCH(CONCATENATE('Analytics - 2018'!$A16,"p"),'2018'!$A:$A,0),MATCH('Analytics - 2018'!$O$6,'2018'!$101:$101,0))</f>
        <v>19412572.915558279</v>
      </c>
      <c r="P16" s="189">
        <f t="shared" si="3"/>
        <v>365730.78444172069</v>
      </c>
      <c r="Q16" s="190">
        <f t="shared" si="4"/>
        <v>1.8839892374524103E-2</v>
      </c>
      <c r="R16" s="188">
        <f>'2017'!Q16</f>
        <v>18614457.170000002</v>
      </c>
      <c r="S16" s="189">
        <f t="shared" si="5"/>
        <v>1163846.5299999975</v>
      </c>
      <c r="T16" s="191">
        <f t="shared" si="6"/>
        <v>6.2523796389599262E-2</v>
      </c>
    </row>
    <row r="17" spans="1:20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+SUMPRODUCT(('2018'!$G17:$R17)*('2018'!$G$5:$R$5&lt;=Master!$B$3)*($A17='2018'!$A$10:$A$66))</f>
        <v>24584515.18</v>
      </c>
      <c r="H17" s="188">
        <f>+SUMPRODUCT(('2018'!$G112:$R112)*('2018'!$G$5:$R$5&lt;=Master!$B$3))</f>
        <v>24453266.785150409</v>
      </c>
      <c r="I17" s="189">
        <f t="shared" si="0"/>
        <v>131248.39484959096</v>
      </c>
      <c r="J17" s="190">
        <f t="shared" si="1"/>
        <v>5.3673153776447879E-3</v>
      </c>
      <c r="K17" s="188">
        <f>+SUMPRODUCT(('2017'!$G17:$R17)*('2017'!$G$5:$R$5&lt;=Master!$B$3))</f>
        <v>23139249.489999998</v>
      </c>
      <c r="L17" s="189">
        <f t="shared" si="7"/>
        <v>1445265.6900000013</v>
      </c>
      <c r="M17" s="191">
        <f t="shared" si="2"/>
        <v>6.2459488611529723E-2</v>
      </c>
      <c r="N17" s="188">
        <f>'2018'!Q17</f>
        <v>1901910.24</v>
      </c>
      <c r="O17" s="188">
        <f>+INDEX('2018'!$1:$1048576,MATCH(CONCATENATE('Analytics - 2018'!$A17,"p"),'2018'!$A:$A,0),MATCH('Analytics - 2018'!$O$6,'2018'!$101:$101,0))</f>
        <v>1990595.3450587576</v>
      </c>
      <c r="P17" s="189">
        <f t="shared" si="3"/>
        <v>-88685.105058757588</v>
      </c>
      <c r="Q17" s="190">
        <f t="shared" si="4"/>
        <v>-4.4552050862019743E-2</v>
      </c>
      <c r="R17" s="188">
        <f>'2017'!Q17</f>
        <v>1890362.65</v>
      </c>
      <c r="S17" s="189">
        <f t="shared" si="5"/>
        <v>11547.590000000084</v>
      </c>
      <c r="T17" s="191">
        <f t="shared" si="6"/>
        <v>6.1086638587575237E-3</v>
      </c>
    </row>
    <row r="18" spans="1:20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+SUMPRODUCT(('2018'!$G18:$R18)*('2018'!$G$5:$R$5&lt;=Master!$B$3)*($A18='2018'!$A$10:$A$66))</f>
        <v>8478133.3699999992</v>
      </c>
      <c r="H18" s="188">
        <f>+SUMPRODUCT(('2018'!$G113:$R113)*('2018'!$G$5:$R$5&lt;=Master!$B$3))</f>
        <v>8696695.7678382136</v>
      </c>
      <c r="I18" s="189">
        <f t="shared" si="0"/>
        <v>-218562.39783821441</v>
      </c>
      <c r="J18" s="190">
        <f t="shared" si="1"/>
        <v>-2.5131659617954383E-2</v>
      </c>
      <c r="K18" s="188">
        <f>+SUMPRODUCT(('2017'!$G18:$R18)*('2017'!$G$5:$R$5&lt;=Master!$B$3))</f>
        <v>8410050.4299999997</v>
      </c>
      <c r="L18" s="189">
        <f t="shared" si="7"/>
        <v>68082.939999999478</v>
      </c>
      <c r="M18" s="191">
        <f t="shared" si="2"/>
        <v>8.0954258915186816E-3</v>
      </c>
      <c r="N18" s="188">
        <f>'2018'!Q18</f>
        <v>794381.73</v>
      </c>
      <c r="O18" s="188">
        <f>+INDEX('2018'!$1:$1048576,MATCH(CONCATENATE('Analytics - 2018'!$A18,"p"),'2018'!$A:$A,0),MATCH('Analytics - 2018'!$O$6,'2018'!$101:$101,0))</f>
        <v>764150.97009006375</v>
      </c>
      <c r="P18" s="189">
        <f t="shared" si="3"/>
        <v>30230.759909936227</v>
      </c>
      <c r="Q18" s="190">
        <f t="shared" si="4"/>
        <v>3.9561239981640295E-2</v>
      </c>
      <c r="R18" s="188">
        <f>'2017'!Q18</f>
        <v>703813.25</v>
      </c>
      <c r="S18" s="189">
        <f t="shared" si="5"/>
        <v>90568.479999999981</v>
      </c>
      <c r="T18" s="191">
        <f t="shared" si="6"/>
        <v>0.12868254469491736</v>
      </c>
    </row>
    <row r="19" spans="1:20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+SUMPRODUCT(('2018'!$G19:$R19)*('2018'!$G$5:$R$5&lt;=Master!$B$3)*($A19='2018'!$A$10:$A$66))</f>
        <v>444129706.49000001</v>
      </c>
      <c r="H19" s="194">
        <f>+SUMPRODUCT(('2018'!$G114:$R114)*('2018'!$G$5:$R$5&lt;=Master!$B$3))</f>
        <v>442315278.45654887</v>
      </c>
      <c r="I19" s="195">
        <f t="shared" si="0"/>
        <v>1814428.0334511399</v>
      </c>
      <c r="J19" s="196">
        <f t="shared" si="1"/>
        <v>4.1021147625344145E-3</v>
      </c>
      <c r="K19" s="194">
        <f>+SUMPRODUCT(('2017'!$G19:$R19)*('2017'!$G$5:$R$5&lt;=Master!$B$3))</f>
        <v>417371913.73999995</v>
      </c>
      <c r="L19" s="195">
        <f t="shared" si="7"/>
        <v>26757792.75000006</v>
      </c>
      <c r="M19" s="197">
        <f t="shared" si="2"/>
        <v>6.4110190142474988E-2</v>
      </c>
      <c r="N19" s="194">
        <f>'2018'!Q19</f>
        <v>44976968.909999996</v>
      </c>
      <c r="O19" s="194">
        <f>+INDEX('2018'!$1:$1048576,MATCH(CONCATENATE('Analytics - 2018'!$A19,"p"),'2018'!$A:$A,0),MATCH('Analytics - 2018'!$O$6,'2018'!$101:$101,0))</f>
        <v>45788790.684398532</v>
      </c>
      <c r="P19" s="195">
        <f t="shared" si="3"/>
        <v>-811821.77439853549</v>
      </c>
      <c r="Q19" s="196">
        <f t="shared" si="4"/>
        <v>-1.7729705507927851E-2</v>
      </c>
      <c r="R19" s="194">
        <f>'2017'!Q19</f>
        <v>43774643.869999997</v>
      </c>
      <c r="S19" s="195">
        <f t="shared" si="5"/>
        <v>1202325.0399999991</v>
      </c>
      <c r="T19" s="197">
        <f t="shared" si="6"/>
        <v>2.7466243781916644E-2</v>
      </c>
    </row>
    <row r="20" spans="1:20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+SUMPRODUCT(('2018'!$G20:$R20)*('2018'!$G$5:$R$5&lt;=Master!$B$3)*($A20='2018'!$A$10:$A$66))</f>
        <v>268721169.83000004</v>
      </c>
      <c r="H20" s="188">
        <f>+SUMPRODUCT(('2018'!$G115:$R115)*('2018'!$G$5:$R$5&lt;=Master!$B$3))</f>
        <v>265854027.17136082</v>
      </c>
      <c r="I20" s="189">
        <f t="shared" si="0"/>
        <v>2867142.6586392224</v>
      </c>
      <c r="J20" s="190">
        <f t="shared" si="1"/>
        <v>1.0784650092176884E-2</v>
      </c>
      <c r="K20" s="188">
        <f>+SUMPRODUCT(('2017'!$G20:$R20)*('2017'!$G$5:$R$5&lt;=Master!$B$3))</f>
        <v>254742775.67000002</v>
      </c>
      <c r="L20" s="189">
        <f t="shared" si="7"/>
        <v>13978394.160000026</v>
      </c>
      <c r="M20" s="191">
        <f t="shared" si="2"/>
        <v>5.4872583229241378E-2</v>
      </c>
      <c r="N20" s="188">
        <f>'2018'!Q20</f>
        <v>27715796.140000001</v>
      </c>
      <c r="O20" s="188">
        <f>+INDEX('2018'!$1:$1048576,MATCH(CONCATENATE('Analytics - 2018'!$A20,"p"),'2018'!$A:$A,0),MATCH('Analytics - 2018'!$O$6,'2018'!$101:$101,0))</f>
        <v>29430359.803999923</v>
      </c>
      <c r="P20" s="189">
        <f t="shared" si="3"/>
        <v>-1714563.6639999226</v>
      </c>
      <c r="Q20" s="190">
        <f t="shared" si="4"/>
        <v>-5.8258331716586564E-2</v>
      </c>
      <c r="R20" s="188">
        <f>'2017'!Q20</f>
        <v>29222952.370000001</v>
      </c>
      <c r="S20" s="189">
        <f t="shared" si="5"/>
        <v>-1507156.2300000004</v>
      </c>
      <c r="T20" s="191">
        <f t="shared" si="6"/>
        <v>-5.1574399838779872E-2</v>
      </c>
    </row>
    <row r="21" spans="1:20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+SUMPRODUCT(('2018'!$G21:$R21)*('2018'!$G$5:$R$5&lt;=Master!$B$3)*($A21='2018'!$A$10:$A$66))</f>
        <v>153692823.66</v>
      </c>
      <c r="H21" s="188">
        <f>+SUMPRODUCT(('2018'!$G116:$R116)*('2018'!$G$5:$R$5&lt;=Master!$B$3))</f>
        <v>153286047.19286636</v>
      </c>
      <c r="I21" s="189">
        <f t="shared" si="0"/>
        <v>406776.46713364124</v>
      </c>
      <c r="J21" s="190">
        <f t="shared" si="1"/>
        <v>2.6537083745257206E-3</v>
      </c>
      <c r="K21" s="188">
        <f>+SUMPRODUCT(('2017'!$G21:$R21)*('2017'!$G$5:$R$5&lt;=Master!$B$3))</f>
        <v>141941246.53999999</v>
      </c>
      <c r="L21" s="189">
        <f t="shared" si="7"/>
        <v>11751577.120000005</v>
      </c>
      <c r="M21" s="191">
        <f t="shared" si="2"/>
        <v>8.2791841036060854E-2</v>
      </c>
      <c r="N21" s="188">
        <f>'2018'!Q21</f>
        <v>15297077.039999999</v>
      </c>
      <c r="O21" s="188">
        <f>+INDEX('2018'!$1:$1048576,MATCH(CONCATENATE('Analytics - 2018'!$A21,"p"),'2018'!$A:$A,0),MATCH('Analytics - 2018'!$O$6,'2018'!$101:$101,0))</f>
        <v>14572835.35145361</v>
      </c>
      <c r="P21" s="189">
        <f t="shared" si="3"/>
        <v>724241.68854638934</v>
      </c>
      <c r="Q21" s="190">
        <f t="shared" si="4"/>
        <v>4.9698062942442167E-2</v>
      </c>
      <c r="R21" s="188">
        <f>'2017'!Q21</f>
        <v>13422037.59</v>
      </c>
      <c r="S21" s="189">
        <f t="shared" si="5"/>
        <v>1875039.4499999993</v>
      </c>
      <c r="T21" s="191">
        <f t="shared" si="6"/>
        <v>0.13969856941817715</v>
      </c>
    </row>
    <row r="22" spans="1:20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+SUMPRODUCT(('2018'!$G22:$R22)*('2018'!$G$5:$R$5&lt;=Master!$B$3)*($A22='2018'!$A$10:$A$66))</f>
        <v>11441439.030000001</v>
      </c>
      <c r="H22" s="188">
        <f>+SUMPRODUCT(('2018'!$G117:$R117)*('2018'!$G$5:$R$5&lt;=Master!$B$3))</f>
        <v>12684209.384345476</v>
      </c>
      <c r="I22" s="189">
        <f t="shared" si="0"/>
        <v>-1242770.3543454744</v>
      </c>
      <c r="J22" s="190">
        <f t="shared" si="1"/>
        <v>-9.7977754599294919E-2</v>
      </c>
      <c r="K22" s="188">
        <f>+SUMPRODUCT(('2017'!$G22:$R22)*('2017'!$G$5:$R$5&lt;=Master!$B$3))</f>
        <v>10781803.579999998</v>
      </c>
      <c r="L22" s="189">
        <f t="shared" si="7"/>
        <v>659635.45000000298</v>
      </c>
      <c r="M22" s="191">
        <f t="shared" si="2"/>
        <v>6.1180436566625307E-2</v>
      </c>
      <c r="N22" s="188">
        <f>'2018'!Q22</f>
        <v>1157240.48</v>
      </c>
      <c r="O22" s="188">
        <f>+INDEX('2018'!$1:$1048576,MATCH(CONCATENATE('Analytics - 2018'!$A22,"p"),'2018'!$A:$A,0),MATCH('Analytics - 2018'!$O$6,'2018'!$101:$101,0))</f>
        <v>1164089.0611646532</v>
      </c>
      <c r="P22" s="189">
        <f t="shared" si="3"/>
        <v>-6848.5811646531802</v>
      </c>
      <c r="Q22" s="190">
        <f t="shared" si="4"/>
        <v>-5.883210652113946E-3</v>
      </c>
      <c r="R22" s="188">
        <f>'2017'!Q22</f>
        <v>576427.41</v>
      </c>
      <c r="S22" s="189">
        <f t="shared" si="5"/>
        <v>580813.06999999995</v>
      </c>
      <c r="T22" s="191">
        <f t="shared" si="6"/>
        <v>1.0076083474240058</v>
      </c>
    </row>
    <row r="23" spans="1:20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+SUMPRODUCT(('2018'!$G23:$R23)*('2018'!$G$5:$R$5&lt;=Master!$B$3)*($A23='2018'!$A$10:$A$66))</f>
        <v>10274273.970000001</v>
      </c>
      <c r="H23" s="188">
        <f>+SUMPRODUCT(('2018'!$G118:$R118)*('2018'!$G$5:$R$5&lt;=Master!$B$3))</f>
        <v>10490994.707976215</v>
      </c>
      <c r="I23" s="189">
        <f t="shared" si="0"/>
        <v>-216720.73797621392</v>
      </c>
      <c r="J23" s="190">
        <f t="shared" si="1"/>
        <v>-2.0657787369909086E-2</v>
      </c>
      <c r="K23" s="188">
        <f>+SUMPRODUCT(('2017'!$G23:$R23)*('2017'!$G$5:$R$5&lt;=Master!$B$3))</f>
        <v>9906087.9499999993</v>
      </c>
      <c r="L23" s="189">
        <f t="shared" si="7"/>
        <v>368186.02000000142</v>
      </c>
      <c r="M23" s="191">
        <f t="shared" si="2"/>
        <v>3.7167651030193039E-2</v>
      </c>
      <c r="N23" s="188">
        <f>'2018'!Q23</f>
        <v>806855.25</v>
      </c>
      <c r="O23" s="188">
        <f>+INDEX('2018'!$1:$1048576,MATCH(CONCATENATE('Analytics - 2018'!$A23,"p"),'2018'!$A:$A,0),MATCH('Analytics - 2018'!$O$6,'2018'!$101:$101,0))</f>
        <v>621506.46778034756</v>
      </c>
      <c r="P23" s="189">
        <f t="shared" si="3"/>
        <v>185348.78221965244</v>
      </c>
      <c r="Q23" s="190">
        <f t="shared" si="4"/>
        <v>0.29822502552806629</v>
      </c>
      <c r="R23" s="188">
        <f>'2017'!Q23</f>
        <v>553226.5</v>
      </c>
      <c r="S23" s="189">
        <f t="shared" si="5"/>
        <v>253628.75</v>
      </c>
      <c r="T23" s="191">
        <f t="shared" si="6"/>
        <v>0.4584537255536385</v>
      </c>
    </row>
    <row r="24" spans="1:20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194">
        <f>+SUMPRODUCT(('2018'!$G24:$R24)*('2018'!$G$5:$R$5&lt;=Master!$B$3)*($A24='2018'!$A$10:$A$66))</f>
        <v>15281324.589999998</v>
      </c>
      <c r="H24" s="200">
        <f>+SUMPRODUCT(('2018'!$G119:$R119)*('2018'!$G$5:$R$5&lt;=Master!$B$3))</f>
        <v>16129269.235472566</v>
      </c>
      <c r="I24" s="201">
        <f t="shared" si="0"/>
        <v>-847944.64547256753</v>
      </c>
      <c r="J24" s="202">
        <f t="shared" si="1"/>
        <v>-5.2571795602971982E-2</v>
      </c>
      <c r="K24" s="200">
        <f>+SUMPRODUCT(('2017'!$G24:$R24)*('2017'!$G$5:$R$5&lt;=Master!$B$3))</f>
        <v>12456916.49</v>
      </c>
      <c r="L24" s="201">
        <f t="shared" si="7"/>
        <v>2824408.0999999978</v>
      </c>
      <c r="M24" s="203">
        <f t="shared" si="2"/>
        <v>0.22673412816625516</v>
      </c>
      <c r="N24" s="194">
        <f>'2018'!Q24</f>
        <v>1272487.3600000001</v>
      </c>
      <c r="O24" s="200">
        <f>+INDEX('2018'!$1:$1048576,MATCH(CONCATENATE('Analytics - 2018'!$A24,"p"),'2018'!$A:$A,0),MATCH('Analytics - 2018'!$O$6,'2018'!$101:$101,0))</f>
        <v>1538063.0039378535</v>
      </c>
      <c r="P24" s="201">
        <f t="shared" si="3"/>
        <v>-265575.6439378534</v>
      </c>
      <c r="Q24" s="202">
        <f t="shared" si="4"/>
        <v>-0.17266889799566632</v>
      </c>
      <c r="R24" s="194">
        <f>'2017'!Q24</f>
        <v>1101076.77</v>
      </c>
      <c r="S24" s="201">
        <f t="shared" si="5"/>
        <v>171410.59000000008</v>
      </c>
      <c r="T24" s="203">
        <f t="shared" si="6"/>
        <v>0.15567542125150835</v>
      </c>
    </row>
    <row r="25" spans="1:20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194">
        <f>+SUMPRODUCT(('2018'!$G25:$R25)*('2018'!$G$5:$R$5&lt;=Master!$B$3)*($A25='2018'!$A$10:$A$66))</f>
        <v>23733734.470000003</v>
      </c>
      <c r="H25" s="200">
        <f>+SUMPRODUCT(('2018'!$G120:$R120)*('2018'!$G$5:$R$5&lt;=Master!$B$3))</f>
        <v>24763670.624791559</v>
      </c>
      <c r="I25" s="201">
        <f t="shared" si="0"/>
        <v>-1029936.1547915563</v>
      </c>
      <c r="J25" s="202">
        <f t="shared" si="1"/>
        <v>-4.1590609501988007E-2</v>
      </c>
      <c r="K25" s="200">
        <f>+SUMPRODUCT(('2017'!$G25:$R25)*('2017'!$G$5:$R$5&lt;=Master!$B$3))</f>
        <v>15978917.779999999</v>
      </c>
      <c r="L25" s="201">
        <f t="shared" si="7"/>
        <v>7754816.6900000032</v>
      </c>
      <c r="M25" s="203">
        <f t="shared" si="2"/>
        <v>0.48531551365176395</v>
      </c>
      <c r="N25" s="194">
        <f>'2018'!Q25</f>
        <v>2034357.41</v>
      </c>
      <c r="O25" s="200">
        <f>+INDEX('2018'!$1:$1048576,MATCH(CONCATENATE('Analytics - 2018'!$A25,"p"),'2018'!$A:$A,0),MATCH('Analytics - 2018'!$O$6,'2018'!$101:$101,0))</f>
        <v>2157522.0205821833</v>
      </c>
      <c r="P25" s="201">
        <f t="shared" si="3"/>
        <v>-123164.61058218335</v>
      </c>
      <c r="Q25" s="202">
        <f t="shared" si="4"/>
        <v>-5.7086142995170341E-2</v>
      </c>
      <c r="R25" s="194">
        <f>'2017'!Q25</f>
        <v>793640.92</v>
      </c>
      <c r="S25" s="201">
        <f t="shared" si="5"/>
        <v>1240716.4899999998</v>
      </c>
      <c r="T25" s="203">
        <f t="shared" si="6"/>
        <v>1.5633222263791535</v>
      </c>
    </row>
    <row r="26" spans="1:20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194">
        <f>+SUMPRODUCT(('2018'!$G26:$R26)*('2018'!$G$5:$R$5&lt;=Master!$B$3)*($A26='2018'!$A$10:$A$66))</f>
        <v>67036504.390000008</v>
      </c>
      <c r="H26" s="200">
        <f>+SUMPRODUCT(('2018'!$G121:$R121)*('2018'!$G$5:$R$5&lt;=Master!$B$3))</f>
        <v>66751832.622615844</v>
      </c>
      <c r="I26" s="201">
        <f t="shared" si="0"/>
        <v>284671.76738416404</v>
      </c>
      <c r="J26" s="202">
        <f t="shared" si="1"/>
        <v>4.2646284933263168E-3</v>
      </c>
      <c r="K26" s="200">
        <f>+SUMPRODUCT(('2017'!$G26:$R26)*('2017'!$G$5:$R$5&lt;=Master!$B$3))</f>
        <v>30684035.18</v>
      </c>
      <c r="L26" s="201">
        <f t="shared" si="7"/>
        <v>36352469.210000008</v>
      </c>
      <c r="M26" s="203">
        <f t="shared" si="2"/>
        <v>1.1847356124038968</v>
      </c>
      <c r="N26" s="194">
        <f>'2018'!Q26</f>
        <v>3454054.21</v>
      </c>
      <c r="O26" s="200">
        <f>+INDEX('2018'!$1:$1048576,MATCH(CONCATENATE('Analytics - 2018'!$A26,"p"),'2018'!$A:$A,0),MATCH('Analytics - 2018'!$O$6,'2018'!$101:$101,0))</f>
        <v>2054798.3756645597</v>
      </c>
      <c r="P26" s="201">
        <f t="shared" si="3"/>
        <v>1399255.8343354403</v>
      </c>
      <c r="Q26" s="202">
        <f t="shared" si="4"/>
        <v>0.68096989510364736</v>
      </c>
      <c r="R26" s="194">
        <f>'2017'!Q26</f>
        <v>1891187.54</v>
      </c>
      <c r="S26" s="201">
        <f t="shared" si="5"/>
        <v>1562866.67</v>
      </c>
      <c r="T26" s="203" t="s">
        <v>779</v>
      </c>
    </row>
    <row r="27" spans="1:20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194">
        <f>+SUMPRODUCT(('2018'!$G27:$R27)*('2018'!$G$5:$R$5&lt;=Master!$B$3)*($A27='2018'!$A$10:$A$66))</f>
        <v>10343375.6</v>
      </c>
      <c r="H27" s="200">
        <f>+SUMPRODUCT(('2018'!$G122:$R122)*('2018'!$G$5:$R$5&lt;=Master!$B$3))</f>
        <v>6402116.9356977046</v>
      </c>
      <c r="I27" s="201">
        <f t="shared" si="0"/>
        <v>3941258.6643022951</v>
      </c>
      <c r="J27" s="202">
        <f t="shared" si="1"/>
        <v>0.6156180375784992</v>
      </c>
      <c r="K27" s="200">
        <f>+SUMPRODUCT(('2017'!$G27:$R27)*('2017'!$G$5:$R$5&lt;=Master!$B$3))</f>
        <v>5121332.99</v>
      </c>
      <c r="L27" s="201">
        <f t="shared" si="7"/>
        <v>5222042.6099999994</v>
      </c>
      <c r="M27" s="203">
        <f t="shared" si="2"/>
        <v>1.019664727952009</v>
      </c>
      <c r="N27" s="194">
        <f>'2018'!Q27</f>
        <v>4230114.6399999997</v>
      </c>
      <c r="O27" s="200">
        <f>+INDEX('2018'!$1:$1048576,MATCH(CONCATENATE('Analytics - 2018'!$A27,"p"),'2018'!$A:$A,0),MATCH('Analytics - 2018'!$O$6,'2018'!$101:$101,0))</f>
        <v>785775.49666312477</v>
      </c>
      <c r="P27" s="201">
        <f t="shared" si="3"/>
        <v>3444339.1433368749</v>
      </c>
      <c r="Q27" s="202">
        <f t="shared" si="4"/>
        <v>4.3833628790457455</v>
      </c>
      <c r="R27" s="194">
        <f>'2017'!Q27</f>
        <v>987894.53</v>
      </c>
      <c r="S27" s="201">
        <f t="shared" si="5"/>
        <v>3242220.1099999994</v>
      </c>
      <c r="T27" s="203" t="s">
        <v>779</v>
      </c>
    </row>
    <row r="28" spans="1:20" ht="15.7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194">
        <f>+SUMPRODUCT(('2018'!$G28:$R28)*('2018'!$G$5:$R$5&lt;=Master!$B$3)*($A28='2018'!$A$10:$A$66))</f>
        <v>23507874.380000003</v>
      </c>
      <c r="H28" s="200">
        <f>+SUMPRODUCT(('2018'!$G123:$R123)*('2018'!$G$5:$R$5&lt;=Master!$B$3))</f>
        <v>24220422.3725769</v>
      </c>
      <c r="I28" s="201">
        <f t="shared" si="0"/>
        <v>-712547.99257689714</v>
      </c>
      <c r="J28" s="202">
        <f t="shared" si="1"/>
        <v>-2.9419304982214789E-2</v>
      </c>
      <c r="K28" s="200">
        <f>+SUMPRODUCT(('2017'!$G28:$R28)*('2017'!$G$5:$R$5&lt;=Master!$B$3))</f>
        <v>17010221.780000001</v>
      </c>
      <c r="L28" s="201">
        <f t="shared" si="7"/>
        <v>6497652.6000000015</v>
      </c>
      <c r="M28" s="203">
        <f t="shared" si="2"/>
        <v>0.38198517832611123</v>
      </c>
      <c r="N28" s="194">
        <f>'2018'!Q28</f>
        <v>5006180.46</v>
      </c>
      <c r="O28" s="200">
        <f>+INDEX('2018'!$1:$1048576,MATCH(CONCATENATE('Analytics - 2018'!$A28,"p"),'2018'!$A:$A,0),MATCH('Analytics - 2018'!$O$6,'2018'!$101:$101,0))</f>
        <v>2112933.3732640138</v>
      </c>
      <c r="P28" s="201">
        <f t="shared" si="3"/>
        <v>2893247.0867359862</v>
      </c>
      <c r="Q28" s="202">
        <f t="shared" si="4"/>
        <v>1.3693035111024634</v>
      </c>
      <c r="R28" s="194">
        <f>'2017'!Q28</f>
        <v>2284497.5299999998</v>
      </c>
      <c r="S28" s="201">
        <f t="shared" si="5"/>
        <v>2721682.93</v>
      </c>
      <c r="T28" s="203">
        <f t="shared" si="6"/>
        <v>1.1913704848698177</v>
      </c>
    </row>
    <row r="29" spans="1:20" ht="15.7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+SUMPRODUCT(('2018'!$G29:$R29)*('2018'!$G$5:$R$5&lt;=Master!$B$3)*($A29='2018'!$A$10:$A$66))</f>
        <v>1644193116.6400001</v>
      </c>
      <c r="H29" s="176">
        <f>+SUMPRODUCT(('2018'!$G124:$R124)*('2018'!$G$5:$R$5&lt;=Master!$B$3))</f>
        <v>1724464801.2125554</v>
      </c>
      <c r="I29" s="177">
        <f t="shared" si="0"/>
        <v>-80271684.572555304</v>
      </c>
      <c r="J29" s="178">
        <f t="shared" si="1"/>
        <v>-4.6548752120723069E-2</v>
      </c>
      <c r="K29" s="176">
        <f>+SUMPRODUCT(('2017'!$G29:$R29)*('2017'!$G$5:$R$5&lt;=Master!$B$3))</f>
        <v>1532766297.53</v>
      </c>
      <c r="L29" s="177">
        <f t="shared" si="7"/>
        <v>111426819.11000013</v>
      </c>
      <c r="M29" s="179">
        <f t="shared" si="2"/>
        <v>7.269654825367744E-2</v>
      </c>
      <c r="N29" s="176">
        <f>'2018'!Q29</f>
        <v>187380640.81999996</v>
      </c>
      <c r="O29" s="176">
        <f>+INDEX('2018'!$1:$1048576,MATCH(CONCATENATE('Analytics - 2018'!$A29,"p"),'2018'!$A:$A,0),MATCH('Analytics - 2018'!$O$6,'2018'!$101:$101,0))</f>
        <v>174834840.49411109</v>
      </c>
      <c r="P29" s="177">
        <f t="shared" si="3"/>
        <v>12545800.325888872</v>
      </c>
      <c r="Q29" s="178">
        <f t="shared" si="4"/>
        <v>7.1758010534012762E-2</v>
      </c>
      <c r="R29" s="176">
        <f>'2017'!Q29</f>
        <v>157298649.06</v>
      </c>
      <c r="S29" s="177">
        <f t="shared" si="5"/>
        <v>30081991.759999961</v>
      </c>
      <c r="T29" s="179">
        <f t="shared" si="6"/>
        <v>0.19124125947531501</v>
      </c>
    </row>
    <row r="30" spans="1:20" ht="15.7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342">
        <f>+SUMPRODUCT(('2018'!$G30:$R30)*('2018'!$G$5:$R$5&lt;=Master!$B$3)*($A30='2018'!$A$10:$A$66))</f>
        <v>1447645446.7399998</v>
      </c>
      <c r="H30" s="342">
        <f>+SUMPRODUCT(('2018'!$G125:$R125)*('2018'!$G$5:$R$5&lt;=Master!$B$3))</f>
        <v>1462205217.8758888</v>
      </c>
      <c r="I30" s="207">
        <f t="shared" si="0"/>
        <v>-14559771.135889053</v>
      </c>
      <c r="J30" s="208">
        <f t="shared" si="1"/>
        <v>-9.9574060862945846E-3</v>
      </c>
      <c r="K30" s="389">
        <f>+SUMPRODUCT(('2017'!$G30:$R30)*('2017'!$G$5:$R$5&lt;=Master!$B$3))</f>
        <v>1363768492.51</v>
      </c>
      <c r="L30" s="207">
        <f t="shared" si="7"/>
        <v>83876954.229999781</v>
      </c>
      <c r="M30" s="209">
        <f t="shared" si="2"/>
        <v>6.1503807054249515E-2</v>
      </c>
      <c r="N30" s="342">
        <f>'2018'!Q30</f>
        <v>162668632.63999996</v>
      </c>
      <c r="O30" s="342">
        <f>+INDEX('2018'!$1:$1048576,MATCH(CONCATENATE('Analytics - 2018'!$A30,"p"),'2018'!$A:$A,0),MATCH('Analytics - 2018'!$O$6,'2018'!$101:$101,0))</f>
        <v>148019423.8241111</v>
      </c>
      <c r="P30" s="207">
        <f t="shared" si="3"/>
        <v>14649208.815888852</v>
      </c>
      <c r="Q30" s="208">
        <f t="shared" si="4"/>
        <v>9.8968151864286646E-2</v>
      </c>
      <c r="R30" s="342">
        <f>'2017'!Q30</f>
        <v>119362889.43000001</v>
      </c>
      <c r="S30" s="207">
        <f t="shared" si="5"/>
        <v>43305743.209999949</v>
      </c>
      <c r="T30" s="209">
        <f t="shared" si="6"/>
        <v>0.36280743049033237</v>
      </c>
    </row>
    <row r="31" spans="1:20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391">
        <f>+SUMPRODUCT(('2018'!$G31:$R31)*('2018'!$G$5:$R$5&lt;=Master!$B$3)*($A31='2018'!$A$10:$A$66))</f>
        <v>739776251</v>
      </c>
      <c r="H31" s="391">
        <f>+SUMPRODUCT(('2018'!$G126:$R126)*('2018'!$G$5:$R$5&lt;=Master!$B$3))</f>
        <v>736462899.34538889</v>
      </c>
      <c r="I31" s="213">
        <f t="shared" si="0"/>
        <v>3313351.6546111107</v>
      </c>
      <c r="J31" s="214">
        <f t="shared" si="1"/>
        <v>4.4990068848766995E-3</v>
      </c>
      <c r="K31" s="390">
        <f>+SUMPRODUCT(('2017'!$G31:$R31)*('2017'!$G$5:$R$5&lt;=Master!$B$3))</f>
        <v>677860647.80999994</v>
      </c>
      <c r="L31" s="213">
        <f t="shared" si="7"/>
        <v>61915603.190000057</v>
      </c>
      <c r="M31" s="215">
        <f t="shared" si="2"/>
        <v>9.1339722094849529E-2</v>
      </c>
      <c r="N31" s="391">
        <f>'2018'!Q31</f>
        <v>95000445.049999982</v>
      </c>
      <c r="O31" s="391">
        <f>+INDEX('2018'!$1:$1048576,MATCH(CONCATENATE('Analytics - 2018'!$A31,"p"),'2018'!$A:$A,0),MATCH('Analytics - 2018'!$O$6,'2018'!$101:$101,0))</f>
        <v>75624240.564611092</v>
      </c>
      <c r="P31" s="213">
        <f t="shared" si="3"/>
        <v>19376204.48538889</v>
      </c>
      <c r="Q31" s="214">
        <f t="shared" si="4"/>
        <v>0.25621684714750215</v>
      </c>
      <c r="R31" s="391">
        <f>'2017'!Q31</f>
        <v>60535623.090000004</v>
      </c>
      <c r="S31" s="213">
        <f t="shared" si="5"/>
        <v>34464821.959999979</v>
      </c>
      <c r="T31" s="215">
        <f t="shared" si="6"/>
        <v>0.56933124994451889</v>
      </c>
    </row>
    <row r="32" spans="1:20">
      <c r="A32" s="175">
        <v>411</v>
      </c>
      <c r="B32" s="485" t="s">
        <v>780</v>
      </c>
      <c r="C32" s="486"/>
      <c r="D32" s="486"/>
      <c r="E32" s="486"/>
      <c r="F32" s="486"/>
      <c r="G32" s="188">
        <f>+SUMPRODUCT(('2018'!$G32:$R32)*('2018'!$G$5:$R$5&lt;=Master!$B$3)*($A32='2018'!$A$10:$A$66))</f>
        <v>424976511.31999999</v>
      </c>
      <c r="H32" s="188">
        <f>+SUMPRODUCT(('2018'!$G127:$R127)*('2018'!$G$5:$R$5&lt;=Master!$B$3))</f>
        <v>419643307.37083322</v>
      </c>
      <c r="I32" s="189">
        <f t="shared" si="0"/>
        <v>5333203.9491667747</v>
      </c>
      <c r="J32" s="190">
        <f t="shared" si="1"/>
        <v>1.2708897903270788E-2</v>
      </c>
      <c r="K32" s="188">
        <f>+SUMPRODUCT(('2017'!$G32:$R32)*('2017'!$G$5:$R$5&lt;=Master!$B$3))</f>
        <v>403959108</v>
      </c>
      <c r="L32" s="189">
        <f t="shared" si="7"/>
        <v>21017403.319999993</v>
      </c>
      <c r="M32" s="191">
        <f t="shared" si="2"/>
        <v>5.202854176022198E-2</v>
      </c>
      <c r="N32" s="188">
        <f>'2018'!Q32</f>
        <v>45304980.549999997</v>
      </c>
      <c r="O32" s="188">
        <f>+INDEX('2018'!$1:$1048576,MATCH(CONCATENATE('Analytics - 2018'!$A32,"p"),'2018'!$A:$A,0),MATCH('Analytics - 2018'!$O$6,'2018'!$101:$101,0))</f>
        <v>42330489.099166654</v>
      </c>
      <c r="P32" s="189">
        <f t="shared" si="3"/>
        <v>2974491.450833343</v>
      </c>
      <c r="Q32" s="190">
        <f t="shared" si="4"/>
        <v>7.0268298669194929E-2</v>
      </c>
      <c r="R32" s="188">
        <f>'2017'!Q32</f>
        <v>37251539.810000002</v>
      </c>
      <c r="S32" s="189">
        <f t="shared" si="5"/>
        <v>8053440.7399999946</v>
      </c>
      <c r="T32" s="191">
        <f t="shared" si="6"/>
        <v>0.21619081469051338</v>
      </c>
    </row>
    <row r="33" spans="1:20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+SUMPRODUCT(('2018'!$G33:$R33)*('2018'!$G$5:$R$5&lt;=Master!$B$3)*($A33='2018'!$A$10:$A$66))</f>
        <v>9934843.5299999993</v>
      </c>
      <c r="H33" s="188">
        <f>+SUMPRODUCT(('2018'!$G128:$R128)*('2018'!$G$5:$R$5&lt;=Master!$B$3))</f>
        <v>11654535.442777777</v>
      </c>
      <c r="I33" s="189">
        <f t="shared" si="0"/>
        <v>-1719691.9127777778</v>
      </c>
      <c r="J33" s="190">
        <f t="shared" si="1"/>
        <v>-0.14755559509181959</v>
      </c>
      <c r="K33" s="188">
        <f>+SUMPRODUCT(('2017'!$G33:$R33)*('2017'!$G$5:$R$5&lt;=Master!$B$3))</f>
        <v>8697022.0499999989</v>
      </c>
      <c r="L33" s="189">
        <f t="shared" si="7"/>
        <v>1237821.4800000004</v>
      </c>
      <c r="M33" s="191">
        <f t="shared" si="2"/>
        <v>0.14232704860165324</v>
      </c>
      <c r="N33" s="188">
        <f>'2018'!Q33</f>
        <v>1172083.78</v>
      </c>
      <c r="O33" s="188">
        <f>+INDEX('2018'!$1:$1048576,MATCH(CONCATENATE('Analytics - 2018'!$A33,"p"),'2018'!$A:$A,0),MATCH('Analytics - 2018'!$O$6,'2018'!$101:$101,0))</f>
        <v>1064654.7372222226</v>
      </c>
      <c r="P33" s="189">
        <f t="shared" si="3"/>
        <v>107429.04277777742</v>
      </c>
      <c r="Q33" s="190">
        <f t="shared" si="4"/>
        <v>0.10090505308610109</v>
      </c>
      <c r="R33" s="188">
        <f>'2017'!Q33</f>
        <v>1028980.9</v>
      </c>
      <c r="S33" s="189">
        <f t="shared" si="5"/>
        <v>143102.88</v>
      </c>
      <c r="T33" s="191">
        <f t="shared" si="6"/>
        <v>0.13907243564968019</v>
      </c>
    </row>
    <row r="34" spans="1:20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+SUMPRODUCT(('2018'!$G34:$R34)*('2018'!$G$5:$R$5&lt;=Master!$B$3)*($A34='2018'!$A$10:$A$66))</f>
        <v>27884806.209999997</v>
      </c>
      <c r="H34" s="188">
        <f>+SUMPRODUCT(('2018'!$G129:$R129)*('2018'!$G$5:$R$5&lt;=Master!$B$3))</f>
        <v>35227750.097999997</v>
      </c>
      <c r="I34" s="189">
        <f t="shared" si="0"/>
        <v>-7342943.8880000003</v>
      </c>
      <c r="J34" s="190">
        <f t="shared" si="1"/>
        <v>-0.2084420341228912</v>
      </c>
      <c r="K34" s="188">
        <f>+SUMPRODUCT(('2017'!$G34:$R34)*('2017'!$G$5:$R$5&lt;=Master!$B$3))</f>
        <v>23226413.229999997</v>
      </c>
      <c r="L34" s="189">
        <f t="shared" si="7"/>
        <v>4658392.9800000004</v>
      </c>
      <c r="M34" s="191">
        <f t="shared" si="2"/>
        <v>0.2005644579673227</v>
      </c>
      <c r="N34" s="188">
        <f>'2018'!Q34</f>
        <v>3035158.15</v>
      </c>
      <c r="O34" s="188">
        <f>+INDEX('2018'!$1:$1048576,MATCH(CONCATENATE('Analytics - 2018'!$A34,"p"),'2018'!$A:$A,0),MATCH('Analytics - 2018'!$O$6,'2018'!$101:$101,0))</f>
        <v>4454463.4019999988</v>
      </c>
      <c r="P34" s="189">
        <f t="shared" si="3"/>
        <v>-1419305.2519999989</v>
      </c>
      <c r="Q34" s="190">
        <f t="shared" si="4"/>
        <v>-0.31862541543449396</v>
      </c>
      <c r="R34" s="188">
        <f>'2017'!Q34</f>
        <v>2235715.75</v>
      </c>
      <c r="S34" s="189">
        <f t="shared" si="5"/>
        <v>799442.39999999991</v>
      </c>
      <c r="T34" s="191">
        <f t="shared" si="6"/>
        <v>0.35757783609119365</v>
      </c>
    </row>
    <row r="35" spans="1:20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+SUMPRODUCT(('2018'!$G35:$R35)*('2018'!$G$5:$R$5&lt;=Master!$B$3)*($A35='2018'!$A$10:$A$66))</f>
        <v>57812112.480000004</v>
      </c>
      <c r="H35" s="188">
        <f>+SUMPRODUCT(('2018'!$G130:$R130)*('2018'!$G$5:$R$5&lt;=Master!$B$3))</f>
        <v>53164784.919888884</v>
      </c>
      <c r="I35" s="189">
        <f t="shared" si="0"/>
        <v>4647327.5601111203</v>
      </c>
      <c r="J35" s="190">
        <f t="shared" si="1"/>
        <v>8.7413643582193057E-2</v>
      </c>
      <c r="K35" s="188">
        <f>+SUMPRODUCT(('2017'!$G35:$R35)*('2017'!$G$5:$R$5&lt;=Master!$B$3))</f>
        <v>48804118.920000002</v>
      </c>
      <c r="L35" s="189">
        <f t="shared" si="7"/>
        <v>9007993.5600000024</v>
      </c>
      <c r="M35" s="191">
        <f t="shared" si="2"/>
        <v>0.18457445312691667</v>
      </c>
      <c r="N35" s="188">
        <f>'2018'!Q35</f>
        <v>5170200.84</v>
      </c>
      <c r="O35" s="188">
        <f>+INDEX('2018'!$1:$1048576,MATCH(CONCATENATE('Analytics - 2018'!$A35,"p"),'2018'!$A:$A,0),MATCH('Analytics - 2018'!$O$6,'2018'!$101:$101,0))</f>
        <v>5577148.0201111175</v>
      </c>
      <c r="P35" s="189">
        <f t="shared" si="3"/>
        <v>-406947.18011111766</v>
      </c>
      <c r="Q35" s="190">
        <f t="shared" si="4"/>
        <v>-7.2966896098807466E-2</v>
      </c>
      <c r="R35" s="188">
        <f>'2017'!Q35</f>
        <v>4047161.45</v>
      </c>
      <c r="S35" s="189">
        <f t="shared" si="5"/>
        <v>1123039.3899999997</v>
      </c>
      <c r="T35" s="191">
        <f t="shared" si="6"/>
        <v>0.27748816148661426</v>
      </c>
    </row>
    <row r="36" spans="1:20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+SUMPRODUCT(('2018'!$G36:$R36)*('2018'!$G$5:$R$5&lt;=Master!$B$3)*($A36='2018'!$A$10:$A$66))</f>
        <v>16118423.359999999</v>
      </c>
      <c r="H36" s="188">
        <f>+SUMPRODUCT(('2018'!$G131:$R131)*('2018'!$G$5:$R$5&lt;=Master!$B$3))</f>
        <v>20434753.904166669</v>
      </c>
      <c r="I36" s="189">
        <f t="shared" si="0"/>
        <v>-4316330.5441666692</v>
      </c>
      <c r="J36" s="190">
        <f t="shared" si="1"/>
        <v>-0.21122498290946212</v>
      </c>
      <c r="K36" s="188">
        <f>+SUMPRODUCT(('2017'!$G36:$R36)*('2017'!$G$5:$R$5&lt;=Master!$B$3))</f>
        <v>16178864.860000001</v>
      </c>
      <c r="L36" s="189">
        <f t="shared" si="7"/>
        <v>-60441.500000001863</v>
      </c>
      <c r="M36" s="191">
        <f t="shared" si="2"/>
        <v>-3.7358306978282352E-3</v>
      </c>
      <c r="N36" s="188">
        <f>'2018'!Q36</f>
        <v>1127698.73</v>
      </c>
      <c r="O36" s="188">
        <f>+INDEX('2018'!$1:$1048576,MATCH(CONCATENATE('Analytics - 2018'!$A36,"p"),'2018'!$A:$A,0),MATCH('Analytics - 2018'!$O$6,'2018'!$101:$101,0))</f>
        <v>1850732.9058333328</v>
      </c>
      <c r="P36" s="189">
        <f t="shared" si="3"/>
        <v>-723034.17583333282</v>
      </c>
      <c r="Q36" s="190">
        <f t="shared" si="4"/>
        <v>-0.39067451254278684</v>
      </c>
      <c r="R36" s="188">
        <f>'2017'!Q36</f>
        <v>1702269.74</v>
      </c>
      <c r="S36" s="189">
        <f t="shared" si="5"/>
        <v>-574571.01</v>
      </c>
      <c r="T36" s="191">
        <f t="shared" si="6"/>
        <v>-0.33753229379498928</v>
      </c>
    </row>
    <row r="37" spans="1:20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+SUMPRODUCT(('2018'!$G37:$R37)*('2018'!$G$5:$R$5&lt;=Master!$B$3)*($A37='2018'!$A$10:$A$66))</f>
        <v>76488458.230000004</v>
      </c>
      <c r="H37" s="188">
        <f>+SUMPRODUCT(('2018'!$G132:$R132)*('2018'!$G$5:$R$5&lt;=Master!$B$3))</f>
        <v>79827475</v>
      </c>
      <c r="I37" s="189">
        <f t="shared" si="0"/>
        <v>-3339016.7699999958</v>
      </c>
      <c r="J37" s="190">
        <f t="shared" si="1"/>
        <v>-4.1827914136079003E-2</v>
      </c>
      <c r="K37" s="188">
        <f>+SUMPRODUCT(('2017'!$G37:$R37)*('2017'!$G$5:$R$5&lt;=Master!$B$3))</f>
        <v>96411996.250000015</v>
      </c>
      <c r="L37" s="189">
        <f t="shared" si="7"/>
        <v>-19923538.020000011</v>
      </c>
      <c r="M37" s="191">
        <f t="shared" si="2"/>
        <v>-0.20664998957533776</v>
      </c>
      <c r="N37" s="188">
        <f>'2018'!Q37</f>
        <v>4283049.2</v>
      </c>
      <c r="O37" s="188">
        <f>+INDEX('2018'!$1:$1048576,MATCH(CONCATENATE('Analytics - 2018'!$A37,"p"),'2018'!$A:$A,0),MATCH('Analytics - 2018'!$O$6,'2018'!$101:$101,0))</f>
        <v>7615225</v>
      </c>
      <c r="P37" s="189">
        <f t="shared" si="3"/>
        <v>-3332175.8</v>
      </c>
      <c r="Q37" s="190">
        <f t="shared" si="4"/>
        <v>-0.4375676096241411</v>
      </c>
      <c r="R37" s="188">
        <f>'2017'!Q37</f>
        <v>3918626.83</v>
      </c>
      <c r="S37" s="189">
        <f t="shared" si="5"/>
        <v>364422.37000000011</v>
      </c>
      <c r="T37" s="191">
        <f t="shared" si="6"/>
        <v>9.2997467176531456E-2</v>
      </c>
    </row>
    <row r="38" spans="1:20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+SUMPRODUCT(('2018'!$G38:$R38)*('2018'!$G$5:$R$5&lt;=Master!$B$3)*($A38='2018'!$A$10:$A$66))</f>
        <v>8199000.1899999995</v>
      </c>
      <c r="H38" s="188">
        <f>+SUMPRODUCT(('2018'!$G133:$R133)*('2018'!$G$5:$R$5&lt;=Master!$B$3))</f>
        <v>9358415.3616666663</v>
      </c>
      <c r="I38" s="189">
        <f t="shared" si="0"/>
        <v>-1159415.1716666669</v>
      </c>
      <c r="J38" s="190">
        <f t="shared" si="1"/>
        <v>-0.12389011674089478</v>
      </c>
      <c r="K38" s="188">
        <f>+SUMPRODUCT(('2017'!$G38:$R38)*('2017'!$G$5:$R$5&lt;=Master!$B$3))</f>
        <v>7548504.75</v>
      </c>
      <c r="L38" s="189">
        <f t="shared" si="7"/>
        <v>650495.43999999948</v>
      </c>
      <c r="M38" s="191">
        <f t="shared" si="2"/>
        <v>8.6175403148550656E-2</v>
      </c>
      <c r="N38" s="188">
        <f>'2018'!Q38</f>
        <v>584262.68000000005</v>
      </c>
      <c r="O38" s="188">
        <f>+INDEX('2018'!$1:$1048576,MATCH(CONCATENATE('Analytics - 2018'!$A38,"p"),'2018'!$A:$A,0),MATCH('Analytics - 2018'!$O$6,'2018'!$101:$101,0))</f>
        <v>986109.29833333322</v>
      </c>
      <c r="P38" s="189">
        <f t="shared" si="3"/>
        <v>-401846.61833333317</v>
      </c>
      <c r="Q38" s="190">
        <f t="shared" si="4"/>
        <v>-0.40750717898361966</v>
      </c>
      <c r="R38" s="188">
        <f>'2017'!Q38</f>
        <v>721286.02</v>
      </c>
      <c r="S38" s="189">
        <f t="shared" si="5"/>
        <v>-137023.33999999997</v>
      </c>
      <c r="T38" s="191">
        <f t="shared" si="6"/>
        <v>-0.18997088006779883</v>
      </c>
    </row>
    <row r="39" spans="1:20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+SUMPRODUCT(('2018'!$G39:$R39)*('2018'!$G$5:$R$5&lt;=Master!$B$3)*($A39='2018'!$A$10:$A$66))</f>
        <v>23799489.119999997</v>
      </c>
      <c r="H39" s="188">
        <f>+SUMPRODUCT(('2018'!$G134:$R134)*('2018'!$G$5:$R$5&lt;=Master!$B$3))</f>
        <v>24550816.666666675</v>
      </c>
      <c r="I39" s="189">
        <f t="shared" si="0"/>
        <v>-751327.54666667804</v>
      </c>
      <c r="J39" s="190">
        <f t="shared" si="1"/>
        <v>-3.0602955366726192E-2</v>
      </c>
      <c r="K39" s="188">
        <f>+SUMPRODUCT(('2017'!$G39:$R39)*('2017'!$G$5:$R$5&lt;=Master!$B$3))</f>
        <v>19588121.220000003</v>
      </c>
      <c r="L39" s="189">
        <f t="shared" si="7"/>
        <v>4211367.8999999948</v>
      </c>
      <c r="M39" s="191">
        <f t="shared" si="2"/>
        <v>0.2149960097091943</v>
      </c>
      <c r="N39" s="188">
        <f>'2018'!Q39</f>
        <v>2265915.5499999998</v>
      </c>
      <c r="O39" s="188">
        <f>+INDEX('2018'!$1:$1048576,MATCH(CONCATENATE('Analytics - 2018'!$A39,"p"),'2018'!$A:$A,0),MATCH('Analytics - 2018'!$O$6,'2018'!$101:$101,0))</f>
        <v>2180983.3333333344</v>
      </c>
      <c r="P39" s="189">
        <f t="shared" si="3"/>
        <v>84932.216666665394</v>
      </c>
      <c r="Q39" s="190">
        <f t="shared" si="4"/>
        <v>3.8942166759641461E-2</v>
      </c>
      <c r="R39" s="188">
        <f>'2017'!Q39</f>
        <v>3022483.62</v>
      </c>
      <c r="S39" s="189">
        <f t="shared" si="5"/>
        <v>-756568.0700000003</v>
      </c>
      <c r="T39" s="191">
        <f t="shared" si="6"/>
        <v>-0.2503133730795869</v>
      </c>
    </row>
    <row r="40" spans="1:20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+SUMPRODUCT(('2018'!$G40:$R40)*('2018'!$G$5:$R$5&lt;=Master!$B$3)*($A40='2018'!$A$10:$A$66))</f>
        <v>31340665.960000001</v>
      </c>
      <c r="H40" s="188">
        <f>+SUMPRODUCT(('2018'!$G135:$R135)*('2018'!$G$5:$R$5&lt;=Master!$B$3))</f>
        <v>35440606.854555555</v>
      </c>
      <c r="I40" s="189">
        <f t="shared" si="0"/>
        <v>-4099940.8945555538</v>
      </c>
      <c r="J40" s="190">
        <f t="shared" si="1"/>
        <v>-0.11568483890192038</v>
      </c>
      <c r="K40" s="188">
        <f>+SUMPRODUCT(('2017'!$G40:$R40)*('2017'!$G$5:$R$5&lt;=Master!$B$3))</f>
        <v>30273474.109999999</v>
      </c>
      <c r="L40" s="189">
        <f t="shared" si="7"/>
        <v>1067191.8500000015</v>
      </c>
      <c r="M40" s="191">
        <f t="shared" si="2"/>
        <v>3.5251713963264208E-2</v>
      </c>
      <c r="N40" s="188">
        <f>'2018'!Q40</f>
        <v>3357388.61</v>
      </c>
      <c r="O40" s="188">
        <f>+INDEX('2018'!$1:$1048576,MATCH(CONCATENATE('Analytics - 2018'!$A40,"p"),'2018'!$A:$A,0),MATCH('Analytics - 2018'!$O$6,'2018'!$101:$101,0))</f>
        <v>3877323.0754444436</v>
      </c>
      <c r="P40" s="189">
        <f t="shared" si="3"/>
        <v>-519934.46544444375</v>
      </c>
      <c r="Q40" s="190">
        <f t="shared" si="4"/>
        <v>-0.13409624509684315</v>
      </c>
      <c r="R40" s="188">
        <f>'2017'!Q40</f>
        <v>4807051.49</v>
      </c>
      <c r="S40" s="189">
        <f t="shared" si="5"/>
        <v>-1449662.8800000004</v>
      </c>
      <c r="T40" s="191">
        <f t="shared" si="6"/>
        <v>-0.30157007533946767</v>
      </c>
    </row>
    <row r="41" spans="1:20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+SUMPRODUCT(('2018'!$G41:$R41)*('2018'!$G$5:$R$5&lt;=Master!$B$3)*($A41='2018'!$A$10:$A$66))</f>
        <v>63221940.600000009</v>
      </c>
      <c r="H41" s="188">
        <f>+SUMPRODUCT(('2018'!$G136:$R136)*('2018'!$G$5:$R$5&lt;=Master!$B$3))</f>
        <v>47160453.726833329</v>
      </c>
      <c r="I41" s="189">
        <f t="shared" si="0"/>
        <v>16061486.87316668</v>
      </c>
      <c r="J41" s="190">
        <f t="shared" si="1"/>
        <v>0.34057108454043616</v>
      </c>
      <c r="K41" s="188">
        <f>+SUMPRODUCT(('2017'!$G41:$R41)*('2017'!$G$5:$R$5&lt;=Master!$B$3))</f>
        <v>23173024.419999998</v>
      </c>
      <c r="L41" s="189">
        <f t="shared" si="7"/>
        <v>40048916.180000007</v>
      </c>
      <c r="M41" s="191">
        <f t="shared" si="2"/>
        <v>1.7282559002283229</v>
      </c>
      <c r="N41" s="188">
        <f>'2018'!Q41</f>
        <v>28699706.960000001</v>
      </c>
      <c r="O41" s="188">
        <f>+INDEX('2018'!$1:$1048576,MATCH(CONCATENATE('Analytics - 2018'!$A41,"p"),'2018'!$A:$A,0),MATCH('Analytics - 2018'!$O$6,'2018'!$101:$101,0))</f>
        <v>5687111.6931666601</v>
      </c>
      <c r="P41" s="189">
        <f t="shared" si="3"/>
        <v>23012595.266833343</v>
      </c>
      <c r="Q41" s="190">
        <f t="shared" si="4"/>
        <v>4.0464468623825498</v>
      </c>
      <c r="R41" s="188">
        <f>'2017'!Q41</f>
        <v>1800507.48</v>
      </c>
      <c r="S41" s="189">
        <f t="shared" si="5"/>
        <v>26899199.48</v>
      </c>
      <c r="T41" s="191">
        <f t="shared" si="6"/>
        <v>14.939787686969233</v>
      </c>
    </row>
    <row r="42" spans="1:20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00">
        <f>+SUMPRODUCT(('2018'!$G42:$R42)*('2018'!$G$5:$R$5&lt;=Master!$B$3)*($A42='2018'!$A$10:$A$66))</f>
        <v>493334996.98000002</v>
      </c>
      <c r="H42" s="200">
        <f>+SUMPRODUCT(('2018'!$G137:$R137)*('2018'!$G$5:$R$5&lt;=Master!$B$3))</f>
        <v>511101028.72000009</v>
      </c>
      <c r="I42" s="219">
        <f t="shared" si="0"/>
        <v>-17766031.740000069</v>
      </c>
      <c r="J42" s="220">
        <f t="shared" si="1"/>
        <v>-3.4760313013834643E-2</v>
      </c>
      <c r="K42" s="200">
        <f>+SUMPRODUCT(('2017'!$G42:$R42)*('2017'!$G$5:$R$5&lt;=Master!$B$3))</f>
        <v>492901444.23999995</v>
      </c>
      <c r="L42" s="219">
        <f t="shared" si="7"/>
        <v>433552.74000006914</v>
      </c>
      <c r="M42" s="221">
        <f t="shared" si="2"/>
        <v>8.7959316221630779E-4</v>
      </c>
      <c r="N42" s="200">
        <f>'2018'!Q42</f>
        <v>46174954.729999989</v>
      </c>
      <c r="O42" s="200">
        <f>+INDEX('2018'!$1:$1048576,MATCH(CONCATENATE('Analytics - 2018'!$A42,"p"),'2018'!$A:$A,0),MATCH('Analytics - 2018'!$O$6,'2018'!$101:$101,0))</f>
        <v>47831745.140000008</v>
      </c>
      <c r="P42" s="219">
        <f t="shared" si="3"/>
        <v>-1656790.4100000188</v>
      </c>
      <c r="Q42" s="220">
        <f t="shared" si="4"/>
        <v>-3.4637883379557088E-2</v>
      </c>
      <c r="R42" s="200">
        <f>'2017'!Q42</f>
        <v>43633580.93999999</v>
      </c>
      <c r="S42" s="219">
        <f t="shared" si="5"/>
        <v>2541373.7899999991</v>
      </c>
      <c r="T42" s="221">
        <f t="shared" si="6"/>
        <v>5.8243530218035744E-2</v>
      </c>
    </row>
    <row r="43" spans="1:20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+SUMPRODUCT(('2018'!$G43:$R43)*('2018'!$G$5:$R$5&lt;=Master!$B$3)*($A43='2018'!$A$10:$A$66))</f>
        <v>71837899.329999998</v>
      </c>
      <c r="H43" s="188">
        <f>+SUMPRODUCT(('2018'!$G138:$R138)*('2018'!$G$5:$R$5&lt;=Master!$B$3))</f>
        <v>75391562.932500005</v>
      </c>
      <c r="I43" s="189">
        <f t="shared" si="0"/>
        <v>-3553663.6025000066</v>
      </c>
      <c r="J43" s="190">
        <f t="shared" si="1"/>
        <v>-4.713609141757269E-2</v>
      </c>
      <c r="K43" s="188">
        <f>+SUMPRODUCT(('2017'!$G43:$R43)*('2017'!$G$5:$R$5&lt;=Master!$B$3))</f>
        <v>92020934.140000001</v>
      </c>
      <c r="L43" s="189">
        <f t="shared" si="7"/>
        <v>-20183034.810000002</v>
      </c>
      <c r="M43" s="191">
        <f t="shared" si="2"/>
        <v>-0.21933090550128165</v>
      </c>
      <c r="N43" s="188">
        <f>'2018'!Q43</f>
        <v>7029331</v>
      </c>
      <c r="O43" s="188">
        <f>+INDEX('2018'!$1:$1048576,MATCH(CONCATENATE('Analytics - 2018'!$A43,"p"),'2018'!$A:$A,0),MATCH('Analytics - 2018'!$O$6,'2018'!$101:$101,0))</f>
        <v>7394520.9774999991</v>
      </c>
      <c r="P43" s="189">
        <f t="shared" si="3"/>
        <v>-365189.97749999911</v>
      </c>
      <c r="Q43" s="190">
        <f t="shared" si="4"/>
        <v>-4.9386563187959975E-2</v>
      </c>
      <c r="R43" s="188">
        <f>'2017'!Q43</f>
        <v>6324073.25</v>
      </c>
      <c r="S43" s="189">
        <f t="shared" si="5"/>
        <v>705257.75</v>
      </c>
      <c r="T43" s="191">
        <f t="shared" si="6"/>
        <v>0.11151954161821265</v>
      </c>
    </row>
    <row r="44" spans="1:20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+SUMPRODUCT(('2018'!$G44:$R44)*('2018'!$G$5:$R$5&lt;=Master!$B$3)*($A44='2018'!$A$10:$A$66))</f>
        <v>11401113.989999998</v>
      </c>
      <c r="H44" s="188">
        <f>+SUMPRODUCT(('2018'!$G139:$R139)*('2018'!$G$5:$R$5&lt;=Master!$B$3))</f>
        <v>16373899.559999995</v>
      </c>
      <c r="I44" s="189">
        <f t="shared" si="0"/>
        <v>-4972785.5699999966</v>
      </c>
      <c r="J44" s="190">
        <f t="shared" si="1"/>
        <v>-0.3037019710410388</v>
      </c>
      <c r="K44" s="188">
        <f>+SUMPRODUCT(('2017'!$G44:$R44)*('2017'!$G$5:$R$5&lt;=Master!$B$3))</f>
        <v>10919951.010000002</v>
      </c>
      <c r="L44" s="189">
        <f t="shared" si="7"/>
        <v>481162.97999999672</v>
      </c>
      <c r="M44" s="191">
        <f t="shared" si="2"/>
        <v>4.4062741633123625E-2</v>
      </c>
      <c r="N44" s="188">
        <f>'2018'!Q44</f>
        <v>1131669.69</v>
      </c>
      <c r="O44" s="188">
        <f>+INDEX('2018'!$1:$1048576,MATCH(CONCATENATE('Analytics - 2018'!$A44,"p"),'2018'!$A:$A,0),MATCH('Analytics - 2018'!$O$6,'2018'!$101:$101,0))</f>
        <v>924899.9599999981</v>
      </c>
      <c r="P44" s="189">
        <f t="shared" si="3"/>
        <v>206769.73000000184</v>
      </c>
      <c r="Q44" s="190">
        <f t="shared" si="4"/>
        <v>0.22355902145352258</v>
      </c>
      <c r="R44" s="188">
        <f>'2017'!Q44</f>
        <v>1118494.9099999999</v>
      </c>
      <c r="S44" s="189">
        <f t="shared" si="5"/>
        <v>13174.780000000028</v>
      </c>
      <c r="T44" s="191">
        <f t="shared" si="6"/>
        <v>1.1779025440536106E-2</v>
      </c>
    </row>
    <row r="45" spans="1:20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+SUMPRODUCT(('2018'!$G45:$R45)*('2018'!$G$5:$R$5&lt;=Master!$B$3)*($A45='2018'!$A$10:$A$66))</f>
        <v>380362389.45999998</v>
      </c>
      <c r="H45" s="188">
        <f>+SUMPRODUCT(('2018'!$G140:$R140)*('2018'!$G$5:$R$5&lt;=Master!$B$3))</f>
        <v>390200057.89416677</v>
      </c>
      <c r="I45" s="189">
        <f t="shared" si="0"/>
        <v>-9837668.4341667891</v>
      </c>
      <c r="J45" s="190">
        <f t="shared" si="1"/>
        <v>-2.5211857956297434E-2</v>
      </c>
      <c r="K45" s="188">
        <f>+SUMPRODUCT(('2017'!$G45:$R45)*('2017'!$G$5:$R$5&lt;=Master!$B$3))</f>
        <v>367336400.12</v>
      </c>
      <c r="L45" s="189">
        <f t="shared" si="7"/>
        <v>13025989.339999974</v>
      </c>
      <c r="M45" s="191">
        <f t="shared" si="2"/>
        <v>3.5460654962984117E-2</v>
      </c>
      <c r="N45" s="188">
        <f>'2018'!Q45</f>
        <v>34786859.079999998</v>
      </c>
      <c r="O45" s="188">
        <f>+INDEX('2018'!$1:$1048576,MATCH(CONCATENATE('Analytics - 2018'!$A45,"p"),'2018'!$A:$A,0),MATCH('Analytics - 2018'!$O$6,'2018'!$101:$101,0))</f>
        <v>35472732.535833336</v>
      </c>
      <c r="P45" s="189">
        <f t="shared" si="3"/>
        <v>-685873.4558333382</v>
      </c>
      <c r="Q45" s="190">
        <f t="shared" si="4"/>
        <v>-1.9335230381265167E-2</v>
      </c>
      <c r="R45" s="188">
        <f>'2017'!Q45</f>
        <v>33919324.859999999</v>
      </c>
      <c r="S45" s="189">
        <f t="shared" si="5"/>
        <v>867534.21999999881</v>
      </c>
      <c r="T45" s="191">
        <f t="shared" si="6"/>
        <v>2.5576399989701848E-2</v>
      </c>
    </row>
    <row r="46" spans="1:20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+SUMPRODUCT(('2018'!$G46:$R46)*('2018'!$G$5:$R$5&lt;=Master!$B$3)*($A46='2018'!$A$10:$A$66))</f>
        <v>17667278.16</v>
      </c>
      <c r="H46" s="188">
        <f>+SUMPRODUCT(('2018'!$G141:$R141)*('2018'!$G$5:$R$5&lt;=Master!$B$3))</f>
        <v>17000091.666666664</v>
      </c>
      <c r="I46" s="189">
        <f t="shared" si="0"/>
        <v>667186.49333333597</v>
      </c>
      <c r="J46" s="190">
        <f t="shared" si="1"/>
        <v>3.9246052692853306E-2</v>
      </c>
      <c r="K46" s="188">
        <f>+SUMPRODUCT(('2017'!$G46:$R46)*('2017'!$G$5:$R$5&lt;=Master!$B$3))</f>
        <v>14765499.619999999</v>
      </c>
      <c r="L46" s="189">
        <f t="shared" si="7"/>
        <v>2901778.540000001</v>
      </c>
      <c r="M46" s="191">
        <f t="shared" si="2"/>
        <v>0.19652423654324003</v>
      </c>
      <c r="N46" s="188">
        <f>'2018'!Q46</f>
        <v>2052677.16</v>
      </c>
      <c r="O46" s="188">
        <f>+INDEX('2018'!$1:$1048576,MATCH(CONCATENATE('Analytics - 2018'!$A46,"p"),'2018'!$A:$A,0),MATCH('Analytics - 2018'!$O$6,'2018'!$101:$101,0))</f>
        <v>2000008.3333333328</v>
      </c>
      <c r="P46" s="189">
        <f t="shared" si="3"/>
        <v>52668.826666667126</v>
      </c>
      <c r="Q46" s="190">
        <f t="shared" si="4"/>
        <v>2.6334303607068454E-2</v>
      </c>
      <c r="R46" s="188">
        <f>'2017'!Q46</f>
        <v>1512893.76</v>
      </c>
      <c r="S46" s="189">
        <f t="shared" si="5"/>
        <v>539783.39999999991</v>
      </c>
      <c r="T46" s="191">
        <f t="shared" si="6"/>
        <v>0.35678870140888153</v>
      </c>
    </row>
    <row r="47" spans="1:20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+SUMPRODUCT(('2018'!$G47:$R47)*('2018'!$G$5:$R$5&lt;=Master!$B$3)*($A47='2018'!$A$10:$A$66))</f>
        <v>12066316.039999999</v>
      </c>
      <c r="H47" s="188">
        <f>+SUMPRODUCT(('2018'!$G142:$R142)*('2018'!$G$5:$R$5&lt;=Master!$B$3))</f>
        <v>12135416.666666668</v>
      </c>
      <c r="I47" s="189">
        <f t="shared" si="0"/>
        <v>-69100.626666668802</v>
      </c>
      <c r="J47" s="190">
        <f t="shared" si="1"/>
        <v>-5.6941288927040423E-3</v>
      </c>
      <c r="K47" s="188">
        <f>+SUMPRODUCT(('2017'!$G47:$R47)*('2017'!$G$5:$R$5&lt;=Master!$B$3))</f>
        <v>7858659.3500000006</v>
      </c>
      <c r="L47" s="189">
        <f t="shared" si="7"/>
        <v>4207656.6899999985</v>
      </c>
      <c r="M47" s="191">
        <f t="shared" si="2"/>
        <v>0.53541660257865709</v>
      </c>
      <c r="N47" s="188">
        <f>'2018'!Q47</f>
        <v>1174417.8</v>
      </c>
      <c r="O47" s="188">
        <f>+INDEX('2018'!$1:$1048576,MATCH(CONCATENATE('Analytics - 2018'!$A47,"p"),'2018'!$A:$A,0),MATCH('Analytics - 2018'!$O$6,'2018'!$101:$101,0))</f>
        <v>2039583.333333334</v>
      </c>
      <c r="P47" s="189">
        <f t="shared" si="3"/>
        <v>-865165.53333333391</v>
      </c>
      <c r="Q47" s="190">
        <f t="shared" si="4"/>
        <v>-0.42418739121552618</v>
      </c>
      <c r="R47" s="188">
        <f>'2017'!Q47</f>
        <v>758794.16</v>
      </c>
      <c r="S47" s="189">
        <f t="shared" si="5"/>
        <v>415623.64</v>
      </c>
      <c r="T47" s="191">
        <f t="shared" si="6"/>
        <v>0.54774227571809453</v>
      </c>
    </row>
    <row r="48" spans="1:20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+SUMPRODUCT(('2018'!$G48:$R48)*('2018'!$G$5:$R$5&lt;=Master!$B$3)*($A48='2018'!$A$10:$A$66))</f>
        <v>175302882.54999998</v>
      </c>
      <c r="H48" s="200">
        <f>+SUMPRODUCT(('2018'!$G143:$R143)*('2018'!$G$5:$R$5&lt;=Master!$B$3))</f>
        <v>187753602.13416666</v>
      </c>
      <c r="I48" s="201">
        <f t="shared" si="0"/>
        <v>-12450719.584166676</v>
      </c>
      <c r="J48" s="202">
        <f t="shared" si="1"/>
        <v>-6.6314144935922581E-2</v>
      </c>
      <c r="K48" s="200">
        <f>+SUMPRODUCT(('2017'!$G48:$R48)*('2017'!$G$5:$R$5&lt;=Master!$B$3))</f>
        <v>136984449.66</v>
      </c>
      <c r="L48" s="201">
        <f t="shared" si="7"/>
        <v>38318432.889999986</v>
      </c>
      <c r="M48" s="203">
        <f t="shared" si="2"/>
        <v>0.27972834131981861</v>
      </c>
      <c r="N48" s="200">
        <f>'2018'!Q48</f>
        <v>17575098.66</v>
      </c>
      <c r="O48" s="200">
        <f>+INDEX('2018'!$1:$1048576,MATCH(CONCATENATE('Analytics - 2018'!$A48,"p"),'2018'!$A:$A,0),MATCH('Analytics - 2018'!$O$6,'2018'!$101:$101,0))</f>
        <v>18930636.555833336</v>
      </c>
      <c r="P48" s="201">
        <f t="shared" si="3"/>
        <v>-1355537.8958333358</v>
      </c>
      <c r="Q48" s="202">
        <f t="shared" si="4"/>
        <v>-7.1605510561431052E-2</v>
      </c>
      <c r="R48" s="200">
        <f>'2017'!Q48</f>
        <v>11142113.050000001</v>
      </c>
      <c r="S48" s="201">
        <f t="shared" si="5"/>
        <v>6432985.6099999994</v>
      </c>
      <c r="T48" s="203">
        <f t="shared" si="6"/>
        <v>0.57735777595615034</v>
      </c>
    </row>
    <row r="49" spans="1:23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f>+SUMPRODUCT(('2018'!$G49:$R49)*('2018'!$G$5:$R$5&lt;=Master!$B$3)*($A49='2018'!$A$10:$A$66))</f>
        <v>196547669.89999998</v>
      </c>
      <c r="H49" s="200">
        <f>+SUMPRODUCT(('2018'!$G144:$R144)*('2018'!$G$5:$R$5&lt;=Master!$B$3))</f>
        <v>262259583.3366667</v>
      </c>
      <c r="I49" s="201">
        <f t="shared" si="0"/>
        <v>-65711913.436666727</v>
      </c>
      <c r="J49" s="202">
        <f t="shared" si="1"/>
        <v>-0.2505605804776686</v>
      </c>
      <c r="K49" s="401">
        <f>+SUMPRODUCT(('2017'!$G49:$R49)*('2017'!$G$5:$R$5&lt;=Master!$B$3))</f>
        <v>168997805.02000001</v>
      </c>
      <c r="L49" s="201">
        <f t="shared" si="7"/>
        <v>27549864.879999965</v>
      </c>
      <c r="M49" s="203">
        <f t="shared" si="2"/>
        <v>0.16301906925205079</v>
      </c>
      <c r="N49" s="200">
        <f>'2018'!Q49</f>
        <v>24712008.18</v>
      </c>
      <c r="O49" s="200">
        <f>+INDEX('2018'!$1:$1048576,MATCH(CONCATENATE('Analytics - 2018'!$A49,"p"),'2018'!$A:$A,0),MATCH('Analytics - 2018'!$O$6,'2018'!$101:$101,0))</f>
        <v>26815416.670000002</v>
      </c>
      <c r="P49" s="201">
        <f t="shared" si="3"/>
        <v>-2103408.4900000021</v>
      </c>
      <c r="Q49" s="202">
        <f t="shared" si="4"/>
        <v>-7.844026874112342E-2</v>
      </c>
      <c r="R49" s="200">
        <f>'2017'!Q49</f>
        <v>37935759.630000003</v>
      </c>
      <c r="S49" s="201">
        <f t="shared" si="5"/>
        <v>-13223751.450000003</v>
      </c>
      <c r="T49" s="203">
        <f t="shared" si="6"/>
        <v>-0.34858275091827917</v>
      </c>
    </row>
    <row r="50" spans="1:23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f>+SUMPRODUCT(('2018'!$G50:$R50)*('2018'!$G$5:$R$5&lt;=Master!$B$3)*($A50='2018'!$A$10:$A$66))</f>
        <v>2329281</v>
      </c>
      <c r="H50" s="188">
        <f>+SUMPRODUCT(('2018'!$G145:$R145)*('2018'!$G$5:$R$5&lt;=Master!$B$3))</f>
        <v>2635417.583333333</v>
      </c>
      <c r="I50" s="189">
        <f>G50-H50</f>
        <v>-306136.58333333302</v>
      </c>
      <c r="J50" s="343">
        <f t="shared" si="1"/>
        <v>-0.11616245761938226</v>
      </c>
      <c r="K50" s="188">
        <f>+SUMPRODUCT(('2017'!$G50:$R50)*('2017'!$G$5:$R$5&lt;=Master!$B$3))</f>
        <v>1907132.76</v>
      </c>
      <c r="L50" s="349">
        <f t="shared" si="7"/>
        <v>422148.24</v>
      </c>
      <c r="M50" s="352">
        <f t="shared" si="2"/>
        <v>0.22135230900233704</v>
      </c>
      <c r="N50" s="188">
        <f>'2018'!Q50</f>
        <v>305000</v>
      </c>
      <c r="O50" s="188">
        <f>+INDEX('2018'!$1:$1048576,MATCH(CONCATENATE('Analytics - 2018'!$A50,"p"),'2018'!$A:$A,0),MATCH('Analytics - 2018'!$O$6,'2018'!$101:$101,0))</f>
        <v>239583.41666666666</v>
      </c>
      <c r="P50" s="189">
        <f t="shared" si="3"/>
        <v>65416.583333333343</v>
      </c>
      <c r="Q50" s="343">
        <f t="shared" si="4"/>
        <v>0.27304303546329201</v>
      </c>
      <c r="R50" s="188">
        <f>'2017'!Q50</f>
        <v>70920.759999999995</v>
      </c>
      <c r="S50" s="349">
        <f t="shared" si="5"/>
        <v>234079.24</v>
      </c>
      <c r="T50" s="352" t="s">
        <v>779</v>
      </c>
    </row>
    <row r="51" spans="1:23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+SUMPRODUCT(('2018'!$G51:$R51)*('2018'!$G$5:$R$5&lt;=Master!$B$3)*($A51='2018'!$A$10:$A$66))</f>
        <v>15188498.65</v>
      </c>
      <c r="H51" s="188">
        <f>+SUMPRODUCT(('2018'!$G146:$R146)*('2018'!$G$5:$R$5&lt;=Master!$B$3))</f>
        <v>24252270.093000002</v>
      </c>
      <c r="I51" s="189">
        <f t="shared" ref="I51:I52" si="8">G51-H51</f>
        <v>-9063771.4430000018</v>
      </c>
      <c r="J51" s="344">
        <f t="shared" si="1"/>
        <v>-0.37372878531548692</v>
      </c>
      <c r="K51" s="188">
        <f>+SUMPRODUCT(('2017'!$G51:$R51)*('2017'!$G$5:$R$5&lt;=Master!$B$3))</f>
        <v>16038179.66</v>
      </c>
      <c r="L51" s="350">
        <f t="shared" si="7"/>
        <v>-849681.00999999978</v>
      </c>
      <c r="M51" s="353">
        <f t="shared" si="2"/>
        <v>-5.2978643961642646E-2</v>
      </c>
      <c r="N51" s="188">
        <f>'2018'!Q51</f>
        <v>1953551.9</v>
      </c>
      <c r="O51" s="188">
        <f>+INDEX('2018'!$1:$1048576,MATCH(CONCATENATE('Analytics - 2018'!$A51,"p"),'2018'!$A:$A,0),MATCH('Analytics - 2018'!$O$6,'2018'!$101:$101,0))</f>
        <v>5393218.1470000008</v>
      </c>
      <c r="P51" s="189">
        <f t="shared" si="3"/>
        <v>-3439666.2470000009</v>
      </c>
      <c r="Q51" s="344">
        <f t="shared" si="4"/>
        <v>-0.63777621324539391</v>
      </c>
      <c r="R51" s="188">
        <f>'2017'!Q51</f>
        <v>1360299.94</v>
      </c>
      <c r="S51" s="350">
        <f t="shared" si="5"/>
        <v>593251.96</v>
      </c>
      <c r="T51" s="353">
        <f t="shared" si="6"/>
        <v>0.43611849310233741</v>
      </c>
      <c r="W51" s="448"/>
    </row>
    <row r="52" spans="1:23" ht="15.7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'2018'!Q52</f>
        <v>0</v>
      </c>
      <c r="O52" s="188">
        <f>+INDEX('2018'!$1:$1048576,MATCH(CONCATENATE('Analytics - 2018'!$A52,"p"),'2018'!$A:$A,0),MATCH('Analytics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'2017'!Q52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71" t="str">
        <f>+VLOOKUP($A53,Master!$D$25:$G$223,4,FALSE)</f>
        <v>Repayments of Arrears</v>
      </c>
      <c r="C53" s="472"/>
      <c r="D53" s="472"/>
      <c r="E53" s="472"/>
      <c r="F53" s="472"/>
      <c r="G53" s="392">
        <f>+SUMPRODUCT(('2018'!$G53:$R53)*('2018'!$G$5:$R$5&lt;=Master!$B$3)*($A53='2018'!$A$10:$A$66))</f>
        <v>21713536.559999999</v>
      </c>
      <c r="H53" s="392">
        <f>+SUMPRODUCT(('2018'!$G148:$R148)*('2018'!$G$5:$R$5&lt;=Master!$B$3))</f>
        <v>0</v>
      </c>
      <c r="I53" s="351">
        <f>G53-H53</f>
        <v>21713536.559999999</v>
      </c>
      <c r="J53" s="346" t="str">
        <f t="shared" si="1"/>
        <v>…</v>
      </c>
      <c r="K53" s="392">
        <f>+SUMPRODUCT(('2017'!$G53:$R53)*('2017'!$G$5:$R$5&lt;=Master!$B$3))</f>
        <v>38076638.380000003</v>
      </c>
      <c r="L53" s="357">
        <f t="shared" si="7"/>
        <v>-16363101.820000004</v>
      </c>
      <c r="M53" s="355">
        <f t="shared" si="2"/>
        <v>-0.42974124072346753</v>
      </c>
      <c r="N53" s="392">
        <f>'2018'!Q53</f>
        <v>1659582.3</v>
      </c>
      <c r="O53" s="392">
        <v>0</v>
      </c>
      <c r="P53" s="351">
        <f>N53-O53</f>
        <v>1659582.3</v>
      </c>
      <c r="Q53" s="346" t="str">
        <f t="shared" si="4"/>
        <v>…</v>
      </c>
      <c r="R53" s="392">
        <f>'2017'!Q53</f>
        <v>2620351.65</v>
      </c>
      <c r="S53" s="357">
        <f>+N53-R53</f>
        <v>-960769.34999999986</v>
      </c>
      <c r="T53" s="355">
        <f>+IF(ISNUMBER(N53/R53-1),N53/R53-1,"…")</f>
        <v>-0.36665664701911282</v>
      </c>
    </row>
    <row r="54" spans="1:23" ht="15.75" thickBot="1">
      <c r="A54" s="169">
        <v>1005</v>
      </c>
      <c r="B54" s="471" t="str">
        <f>+VLOOKUP($A54,Master!$D$25:$G$225,4,FALSE)</f>
        <v>Net increase of liabilities</v>
      </c>
      <c r="C54" s="472"/>
      <c r="D54" s="472"/>
      <c r="E54" s="472"/>
      <c r="F54" s="472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'2018'!Q54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'2017'!P54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>+SUMPRODUCT(('2018'!$G55:$R55)*('2018'!$G$5:$R$5&lt;=Master!$B$3)*($A55='2018'!$A$10:$A$66))</f>
        <v>-82646812.329999954</v>
      </c>
      <c r="H55" s="176">
        <f>+SUMPRODUCT(('2018'!$G149:$R149)*('2018'!$G$5:$R$5&lt;=Master!$B$3))</f>
        <v>-163698554.06766367</v>
      </c>
      <c r="I55" s="404">
        <f>+G55-H55</f>
        <v>81051741.737663716</v>
      </c>
      <c r="J55" s="348">
        <f t="shared" si="1"/>
        <v>-0.49512802479710072</v>
      </c>
      <c r="K55" s="176">
        <f>+SUMPRODUCT(('2017'!$G55:$R55)*('2017'!$G$5:$R$5&lt;=Master!$B$3))</f>
        <v>-152381674.35000002</v>
      </c>
      <c r="L55" s="358">
        <f t="shared" si="7"/>
        <v>69734862.02000007</v>
      </c>
      <c r="M55" s="356">
        <f t="shared" si="2"/>
        <v>-0.45763286377749435</v>
      </c>
      <c r="N55" s="176">
        <f>'2018'!Q55</f>
        <v>-44618278.709999979</v>
      </c>
      <c r="O55" s="176">
        <f>+INDEX('2018'!$1:$1048576,MATCH(CONCATENATE('Analytics - 2018'!$A55,"p"),'2018'!$A:$A,0),MATCH('Analytics - 2018'!$O$6,'2018'!$101:$101,0))</f>
        <v>-37972128.493116558</v>
      </c>
      <c r="P55" s="404">
        <f>N55-O55</f>
        <v>-6646150.2168834209</v>
      </c>
      <c r="Q55" s="348">
        <f t="shared" si="4"/>
        <v>0.17502706539319246</v>
      </c>
      <c r="R55" s="176">
        <f>'2017'!Q55</f>
        <v>-31811010.069999993</v>
      </c>
      <c r="S55" s="358">
        <f t="shared" si="5"/>
        <v>-12807268.639999986</v>
      </c>
      <c r="T55" s="356"/>
    </row>
    <row r="56" spans="1:23" ht="15.75" thickBot="1">
      <c r="A56" s="169">
        <v>1001</v>
      </c>
      <c r="B56" s="479" t="str">
        <f>+VLOOKUP($A56,Master!$D$25:$G$223,4,FALSE)</f>
        <v>Primary balance</v>
      </c>
      <c r="C56" s="480"/>
      <c r="D56" s="480"/>
      <c r="E56" s="480"/>
      <c r="F56" s="480"/>
      <c r="G56" s="176">
        <f>+SUMPRODUCT(('2018'!$G56:$R56)*('2018'!$G$5:$R$5&lt;=Master!$B$3)*($A56='2018'!$A$10:$A$66))</f>
        <v>-6158354.0999999493</v>
      </c>
      <c r="H56" s="176">
        <f>+SUMPRODUCT(('2018'!$G150:$R150)*('2018'!$G$5:$R$5&lt;=Master!$B$3))</f>
        <v>-83871079.067663655</v>
      </c>
      <c r="I56" s="231">
        <f t="shared" si="0"/>
        <v>77712724.967663705</v>
      </c>
      <c r="J56" s="232">
        <f t="shared" si="1"/>
        <v>-0.9265735678083783</v>
      </c>
      <c r="K56" s="176">
        <f>+SUMPRODUCT(('2017'!$G57:$R57)*('2017'!$G$5:$R$5&lt;=Master!$B$3))</f>
        <v>-55969678.100000016</v>
      </c>
      <c r="L56" s="231">
        <f t="shared" si="7"/>
        <v>49811324.000000067</v>
      </c>
      <c r="M56" s="233">
        <f t="shared" si="2"/>
        <v>-0.88996981385176221</v>
      </c>
      <c r="N56" s="176">
        <f>'2018'!Q56</f>
        <v>-40335229.509999976</v>
      </c>
      <c r="O56" s="176">
        <f>+INDEX('2018'!$1:$1048576,MATCH(CONCATENATE('Analytics - 2018'!$A56,"p"),'2018'!$A:$A,0),MATCH('Analytics - 2018'!$O$6,'2018'!$101:$101,0))</f>
        <v>-30356903.493116558</v>
      </c>
      <c r="P56" s="231">
        <f t="shared" si="3"/>
        <v>-9978326.016883418</v>
      </c>
      <c r="Q56" s="232">
        <f t="shared" si="4"/>
        <v>0.32870038998364937</v>
      </c>
      <c r="R56" s="176">
        <f>'2017'!Q56</f>
        <v>-31811010.069999993</v>
      </c>
      <c r="S56" s="231">
        <f t="shared" si="5"/>
        <v>-8524219.4399999827</v>
      </c>
      <c r="T56" s="233" t="s">
        <v>779</v>
      </c>
    </row>
    <row r="57" spans="1:23">
      <c r="A57" s="169">
        <v>46</v>
      </c>
      <c r="B57" s="481" t="str">
        <f>+VLOOKUP($A57,Master!$D$25:$G$223,4,FALSE)</f>
        <v>Repayment of Debt</v>
      </c>
      <c r="C57" s="482"/>
      <c r="D57" s="482"/>
      <c r="E57" s="482"/>
      <c r="F57" s="482"/>
      <c r="G57" s="182">
        <f>+SUMPRODUCT(('2018'!$G57:$R57)*('2018'!$G$5:$R$5&lt;=Master!$B$3)*($A57='2018'!$A$10:$A$66))</f>
        <v>323018772.13</v>
      </c>
      <c r="H57" s="182">
        <f>+SUMPRODUCT(('2018'!$G151:$R151)*('2018'!$G$5:$R$5&lt;=Master!$B$3))</f>
        <v>157035232.41875634</v>
      </c>
      <c r="I57" s="219">
        <f t="shared" si="0"/>
        <v>165983539.71124366</v>
      </c>
      <c r="J57" s="220">
        <f t="shared" si="1"/>
        <v>1.0569828003223214</v>
      </c>
      <c r="K57" s="182">
        <f>+SUMPRODUCT(('2017'!$G58:$R58)*('2017'!$G$5:$R$5&lt;=Master!$B$3))</f>
        <v>329828367.87</v>
      </c>
      <c r="L57" s="219">
        <f t="shared" si="7"/>
        <v>-6809595.7400000095</v>
      </c>
      <c r="M57" s="221">
        <f t="shared" si="2"/>
        <v>-2.0645876471983682E-2</v>
      </c>
      <c r="N57" s="182">
        <f>'2018'!Q57</f>
        <v>9590322.8100000005</v>
      </c>
      <c r="O57" s="182">
        <f>+INDEX('2018'!$1:$1048576,MATCH(CONCATENATE('Analytics - 2018'!$A57,"p"),'2018'!$A:$A,0),MATCH('Analytics - 2018'!$O$6,'2018'!$101:$101,0))</f>
        <v>10599232.02456969</v>
      </c>
      <c r="P57" s="219">
        <f t="shared" si="3"/>
        <v>-1008909.2145696897</v>
      </c>
      <c r="Q57" s="220">
        <f t="shared" si="4"/>
        <v>-9.5187010929751681E-2</v>
      </c>
      <c r="R57" s="182">
        <f>'2017'!Q57</f>
        <v>-27892383.239999995</v>
      </c>
      <c r="S57" s="219">
        <f t="shared" si="5"/>
        <v>37482706.049999997</v>
      </c>
      <c r="T57" s="221">
        <f t="shared" si="6"/>
        <v>-1.3438330359754516</v>
      </c>
    </row>
    <row r="58" spans="1:23">
      <c r="A58" s="169">
        <v>4611</v>
      </c>
      <c r="B58" s="469" t="str">
        <f>+VLOOKUP($A58,Master!$D$25:$G$223,4,FALSE)</f>
        <v>Repayment of Domestic Debt</v>
      </c>
      <c r="C58" s="470"/>
      <c r="D58" s="470"/>
      <c r="E58" s="470"/>
      <c r="F58" s="470"/>
      <c r="G58" s="188">
        <f>+SUMPRODUCT(('2018'!$G58:$R58)*('2018'!$G$5:$R$5&lt;=Master!$B$3)*($A58='2018'!$A$10:$A$66))</f>
        <v>232621428.39000002</v>
      </c>
      <c r="H58" s="188">
        <f>+SUMPRODUCT(('2018'!$G152:$R152)*('2018'!$G$5:$R$5&lt;=Master!$B$3))</f>
        <v>38486125.159999996</v>
      </c>
      <c r="I58" s="237">
        <f t="shared" si="0"/>
        <v>194135303.23000002</v>
      </c>
      <c r="J58" s="238">
        <f t="shared" si="1"/>
        <v>5.0442932985046713</v>
      </c>
      <c r="K58" s="188">
        <f>+SUMPRODUCT(('2017'!$G59:$R59)*('2017'!$G$5:$R$5&lt;=Master!$B$3))</f>
        <v>208834297.59</v>
      </c>
      <c r="L58" s="237">
        <f t="shared" si="7"/>
        <v>23787130.800000012</v>
      </c>
      <c r="M58" s="239">
        <f t="shared" si="2"/>
        <v>0.11390433024895552</v>
      </c>
      <c r="N58" s="188">
        <f>'2018'!Q58</f>
        <v>834069.65</v>
      </c>
      <c r="O58" s="188">
        <f>+INDEX('2018'!$1:$1048576,MATCH(CONCATENATE('Analytics - 2018'!$A58,"p"),'2018'!$A:$A,0),MATCH('Analytics - 2018'!$O$6,'2018'!$101:$101,0))</f>
        <v>834059.15</v>
      </c>
      <c r="P58" s="237">
        <f t="shared" si="3"/>
        <v>10.5</v>
      </c>
      <c r="Q58" s="238">
        <f t="shared" si="4"/>
        <v>1.2589035202070775E-5</v>
      </c>
      <c r="R58" s="188">
        <f>'2017'!Q58</f>
        <v>7022219.0999999996</v>
      </c>
      <c r="S58" s="237">
        <f t="shared" si="5"/>
        <v>-6188149.4499999993</v>
      </c>
      <c r="T58" s="239">
        <f t="shared" si="6"/>
        <v>-0.88122420589240802</v>
      </c>
    </row>
    <row r="59" spans="1:23">
      <c r="A59" s="169">
        <v>4612</v>
      </c>
      <c r="B59" s="453" t="str">
        <f>+VLOOKUP($A59,Master!$D$25:$G$223,4,FALSE)</f>
        <v>Repayment of Foreign Debt</v>
      </c>
      <c r="C59" s="454"/>
      <c r="D59" s="454"/>
      <c r="E59" s="454"/>
      <c r="F59" s="454"/>
      <c r="G59" s="188">
        <f>+SUMPRODUCT(('2018'!$G59:$R59)*('2018'!$G$5:$R$5&lt;=Master!$B$3)*($A59='2018'!$A$10:$A$66))</f>
        <v>90397343.739999995</v>
      </c>
      <c r="H59" s="188">
        <f>+SUMPRODUCT(('2018'!$G153:$R153)*('2018'!$G$5:$R$5&lt;=Master!$B$3))</f>
        <v>91652070.175422996</v>
      </c>
      <c r="I59" s="237">
        <f t="shared" si="0"/>
        <v>-1254726.4354230016</v>
      </c>
      <c r="J59" s="238">
        <f t="shared" si="1"/>
        <v>-1.369010468635834E-2</v>
      </c>
      <c r="K59" s="188">
        <f>+SUMPRODUCT(('2017'!$G60:$R60)*('2017'!$G$5:$R$5&lt;=Master!$B$3))</f>
        <v>120994070.28000005</v>
      </c>
      <c r="L59" s="237">
        <f t="shared" si="7"/>
        <v>-30596726.540000051</v>
      </c>
      <c r="M59" s="239">
        <f t="shared" si="2"/>
        <v>-0.25287790111692443</v>
      </c>
      <c r="N59" s="188">
        <f>'2018'!Q59</f>
        <v>8756253.1600000001</v>
      </c>
      <c r="O59" s="188">
        <f>+INDEX('2018'!$1:$1048576,MATCH(CONCATENATE('Analytics - 2018'!$A59,"p"),'2018'!$A:$A,0),MATCH('Analytics - 2018'!$O$6,'2018'!$101:$101,0))</f>
        <v>6972714.957903021</v>
      </c>
      <c r="P59" s="237">
        <f t="shared" si="3"/>
        <v>1783538.2020969791</v>
      </c>
      <c r="Q59" s="238">
        <f t="shared" si="4"/>
        <v>0.25578819912543249</v>
      </c>
      <c r="R59" s="188">
        <f>'2017'!Q59</f>
        <v>865501.84</v>
      </c>
      <c r="S59" s="237">
        <f t="shared" si="5"/>
        <v>7890751.3200000003</v>
      </c>
      <c r="T59" s="239">
        <f t="shared" si="6"/>
        <v>9.1169665450971209</v>
      </c>
    </row>
    <row r="60" spans="1:23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26897037.083333343</v>
      </c>
      <c r="I60" s="237">
        <f t="shared" si="0"/>
        <v>-26897037.083333343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f>'2018'!Q60</f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v>0</v>
      </c>
      <c r="S60" s="237">
        <f t="shared" ref="S60:S67" si="9">+N60-R60</f>
        <v>0</v>
      </c>
      <c r="T60" s="239" t="str">
        <f t="shared" ref="T60:T67" si="10">+IF(ISNUMBER(N60/R60-1),N60/R60-1,"…")</f>
        <v>…</v>
      </c>
    </row>
    <row r="61" spans="1:23" ht="15.75" thickBot="1">
      <c r="A61" s="169">
        <v>4418</v>
      </c>
      <c r="B61" s="489" t="s">
        <v>340</v>
      </c>
      <c r="C61" s="490"/>
      <c r="D61" s="490"/>
      <c r="E61" s="490"/>
      <c r="F61" s="490"/>
      <c r="G61" s="432">
        <f>'2018'!S60</f>
        <v>68939595.359999999</v>
      </c>
      <c r="H61" s="432">
        <f>+SUMPRODUCT(('2018'!$G155:$R155)*('2018'!$G$5:$R$5&lt;=Master!$B$3))</f>
        <v>70000000</v>
      </c>
      <c r="I61" s="433">
        <f t="shared" si="0"/>
        <v>-1060404.6400000006</v>
      </c>
      <c r="J61" s="434">
        <f t="shared" si="1"/>
        <v>-1.5148637714285762E-2</v>
      </c>
      <c r="K61" s="432">
        <v>0</v>
      </c>
      <c r="L61" s="433">
        <f t="shared" si="7"/>
        <v>68939595.359999999</v>
      </c>
      <c r="M61" s="435" t="str">
        <f t="shared" si="2"/>
        <v>…</v>
      </c>
      <c r="N61" s="432">
        <f>+DataEx!FD168</f>
        <v>0</v>
      </c>
      <c r="O61" s="432">
        <f>+'2018'!K155</f>
        <v>70000000</v>
      </c>
      <c r="P61" s="433">
        <f t="shared" ref="P61:P67" si="11">+N61-O61</f>
        <v>-70000000</v>
      </c>
      <c r="Q61" s="434">
        <f t="shared" ref="Q61:Q67" si="12">+IF(ISNUMBER(N61/O61-1),N61/O61-1,"…")</f>
        <v>-1</v>
      </c>
      <c r="R61" s="432">
        <v>0</v>
      </c>
      <c r="S61" s="433">
        <f t="shared" si="9"/>
        <v>0</v>
      </c>
      <c r="T61" s="435" t="str">
        <f t="shared" si="10"/>
        <v>…</v>
      </c>
    </row>
    <row r="62" spans="1:23" ht="15.75" thickBot="1">
      <c r="A62" s="169">
        <v>1002</v>
      </c>
      <c r="B62" s="473" t="str">
        <f>+VLOOKUP($A62,Master!$D$25:$G$223,4,FALSE)</f>
        <v>Financing needs</v>
      </c>
      <c r="C62" s="474"/>
      <c r="D62" s="474"/>
      <c r="E62" s="474"/>
      <c r="F62" s="474"/>
      <c r="G62" s="393">
        <f>+SUMPRODUCT(('2018'!$G61:$R61)*('2018'!$G$5:$R$5&lt;=Master!$B$3)*($A62='2018'!$A$10:$A$66))</f>
        <v>-474605179.81999993</v>
      </c>
      <c r="H62" s="403">
        <f>+SUMPRODUCT(('2018'!$G156:$R156)*('2018'!$G$5:$R$5&lt;=Master!$B$3))</f>
        <v>-390733786.48641998</v>
      </c>
      <c r="I62" s="405">
        <f t="shared" si="0"/>
        <v>-83871393.333579957</v>
      </c>
      <c r="J62" s="406">
        <f t="shared" si="1"/>
        <v>0.21465098804936567</v>
      </c>
      <c r="K62" s="393">
        <f>+SUMPRODUCT(('2017'!$G61:$R61)*('2017'!$G$5:$R$5&lt;=Master!$B$3))</f>
        <v>-482210042.21999997</v>
      </c>
      <c r="L62" s="405">
        <f t="shared" si="7"/>
        <v>7604862.4000000358</v>
      </c>
      <c r="M62" s="408">
        <f t="shared" si="2"/>
        <v>-1.5770850322794461E-2</v>
      </c>
      <c r="N62" s="393">
        <f>'2018'!Q61</f>
        <v>-54208601.519999981</v>
      </c>
      <c r="O62" s="403">
        <f>+INDEX('2018'!$1:$1048576,MATCH(CONCATENATE('Analytics - 2018'!$A62,"p"),'2018'!$A:$A,0),MATCH('Analytics - 2018'!$O$6,'2018'!$101:$101,0))</f>
        <v>-48571360.517686248</v>
      </c>
      <c r="P62" s="405">
        <f t="shared" si="11"/>
        <v>-5637241.0023137331</v>
      </c>
      <c r="Q62" s="406">
        <f t="shared" si="12"/>
        <v>0.11606100677910902</v>
      </c>
      <c r="R62" s="393">
        <f>'2017'!Q61</f>
        <v>-38833229.169999994</v>
      </c>
      <c r="S62" s="405">
        <f t="shared" si="9"/>
        <v>-15375372.349999987</v>
      </c>
      <c r="T62" s="408" t="s">
        <v>779</v>
      </c>
    </row>
    <row r="63" spans="1:23" ht="15.75" thickBot="1">
      <c r="A63" s="169">
        <v>1003</v>
      </c>
      <c r="B63" s="475" t="str">
        <f>+VLOOKUP($A63,Master!$D$25:$G$223,4,FALSE)</f>
        <v>Financing</v>
      </c>
      <c r="C63" s="476"/>
      <c r="D63" s="476"/>
      <c r="E63" s="476"/>
      <c r="F63" s="476"/>
      <c r="G63" s="176">
        <f>+SUMPRODUCT(('2018'!$G62:$R62)*('2018'!$G$5:$R$5&lt;=Master!$B$3)*($A63='2018'!$A$10:$A$66))</f>
        <v>474605179.81999993</v>
      </c>
      <c r="H63" s="176">
        <f>+SUMPRODUCT(('2018'!$G157:$R157)*('2018'!$G$5:$R$5&lt;=Master!$B$3))</f>
        <v>390733786.48641998</v>
      </c>
      <c r="I63" s="404">
        <f t="shared" si="0"/>
        <v>83871393.333579957</v>
      </c>
      <c r="J63" s="407">
        <f t="shared" si="1"/>
        <v>0.21465098804936567</v>
      </c>
      <c r="K63" s="176">
        <f>+SUMPRODUCT(('2017'!$G62:$R62)*('2017'!$G$5:$R$5&lt;=Master!$B$3))</f>
        <v>482210042.21999997</v>
      </c>
      <c r="L63" s="404">
        <f t="shared" si="7"/>
        <v>-7604862.4000000358</v>
      </c>
      <c r="M63" s="409">
        <f t="shared" si="2"/>
        <v>-1.5770850322794461E-2</v>
      </c>
      <c r="N63" s="176">
        <f>'2018'!Q62</f>
        <v>54208601.519999981</v>
      </c>
      <c r="O63" s="176">
        <f>+INDEX('2018'!$1:$1048576,MATCH(CONCATENATE('Analytics - 2018'!$A63,"p"),'2018'!$A:$A,0),MATCH('Analytics - 2018'!$O$6,'2018'!$101:$101,0))</f>
        <v>48571360.517686248</v>
      </c>
      <c r="P63" s="404">
        <f t="shared" si="11"/>
        <v>5637241.0023137331</v>
      </c>
      <c r="Q63" s="407">
        <f t="shared" si="12"/>
        <v>0.11606100677910902</v>
      </c>
      <c r="R63" s="176">
        <f>'2017'!Q62</f>
        <v>38833229.169999994</v>
      </c>
      <c r="S63" s="404">
        <f t="shared" si="9"/>
        <v>15375372.349999987</v>
      </c>
      <c r="T63" s="409" t="s">
        <v>779</v>
      </c>
    </row>
    <row r="64" spans="1:23">
      <c r="A64" s="169">
        <v>7511</v>
      </c>
      <c r="B64" s="469" t="str">
        <f>+VLOOKUP($A64,Master!$D$25:$G$223,4,FALSE)</f>
        <v>Domestic Loans and Borrowings</v>
      </c>
      <c r="C64" s="470"/>
      <c r="D64" s="470"/>
      <c r="E64" s="470"/>
      <c r="F64" s="470"/>
      <c r="G64" s="188">
        <f>+SUMPRODUCT(('2018'!$G63:$R63)*('2018'!$G$5:$R$5&lt;=Master!$B$3)*($A64='2018'!$A$10:$A$66))</f>
        <v>197600000</v>
      </c>
      <c r="H64" s="188">
        <f>+SUMPRODUCT(('2018'!$G158:$R158)*('2018'!$G$5:$R$5&lt;=Master!$B$3))</f>
        <v>0</v>
      </c>
      <c r="I64" s="237">
        <f t="shared" si="0"/>
        <v>197600000</v>
      </c>
      <c r="J64" s="238" t="str">
        <f t="shared" si="1"/>
        <v>…</v>
      </c>
      <c r="K64" s="188">
        <f>+SUMPRODUCT(('2017'!$G63:$R63)*('2017'!$G$5:$R$5&lt;=Master!$B$3))</f>
        <v>257070000</v>
      </c>
      <c r="L64" s="237">
        <f t="shared" si="7"/>
        <v>-59470000</v>
      </c>
      <c r="M64" s="239">
        <f t="shared" si="2"/>
        <v>-0.23133776792313376</v>
      </c>
      <c r="N64" s="188">
        <f>'2018'!Q63</f>
        <v>0</v>
      </c>
      <c r="O64" s="188">
        <f>+INDEX('2018'!$1:$1048576,MATCH(CONCATENATE('Analytics - 2018'!$A64,"p"),'2018'!$A:$A,0),MATCH('Analytics - 2018'!$O$6,'2018'!$101:$101,0))</f>
        <v>0</v>
      </c>
      <c r="P64" s="237">
        <f t="shared" si="11"/>
        <v>0</v>
      </c>
      <c r="Q64" s="238" t="str">
        <f t="shared" si="12"/>
        <v>…</v>
      </c>
      <c r="R64" s="188">
        <f>'2017'!Q63</f>
        <v>0</v>
      </c>
      <c r="S64" s="237">
        <f t="shared" si="9"/>
        <v>0</v>
      </c>
      <c r="T64" s="239" t="str">
        <f t="shared" si="10"/>
        <v>…</v>
      </c>
    </row>
    <row r="65" spans="1:20">
      <c r="A65" s="169">
        <v>7512</v>
      </c>
      <c r="B65" s="453" t="str">
        <f>+VLOOKUP($A65,Master!$D$25:$G$223,4,FALSE)</f>
        <v>Foreign Loans and Borrowings</v>
      </c>
      <c r="C65" s="454"/>
      <c r="D65" s="454"/>
      <c r="E65" s="454"/>
      <c r="F65" s="454"/>
      <c r="G65" s="188">
        <f>+SUMPRODUCT(('2018'!$G64:$R64)*('2018'!$G$5:$R$5&lt;=Master!$B$3)*($A65='2018'!$A$10:$A$66))</f>
        <v>507607224.17000002</v>
      </c>
      <c r="H65" s="188">
        <f>+SUMPRODUCT(('2018'!$G159:$R159)*('2018'!$G$5:$R$5&lt;=Master!$B$3))</f>
        <v>271241666.62999994</v>
      </c>
      <c r="I65" s="237">
        <f t="shared" si="0"/>
        <v>236365557.54000008</v>
      </c>
      <c r="J65" s="238">
        <f t="shared" si="1"/>
        <v>0.8714205323860722</v>
      </c>
      <c r="K65" s="188">
        <f>+SUMPRODUCT(('2017'!$G64:$R64)*('2017'!$G$5:$R$5&lt;=Master!$B$3))</f>
        <v>225322396.98000002</v>
      </c>
      <c r="L65" s="237">
        <f t="shared" si="7"/>
        <v>282284827.19</v>
      </c>
      <c r="M65" s="239">
        <f t="shared" si="2"/>
        <v>1.2528041196679442</v>
      </c>
      <c r="N65" s="188">
        <f>'2018'!Q64</f>
        <v>38823788.329999998</v>
      </c>
      <c r="O65" s="188">
        <f>+INDEX('2018'!$1:$1048576,MATCH(CONCATENATE('Analytics - 2018'!$A65,"p"),'2018'!$A:$A,0),MATCH('Analytics - 2018'!$O$6,'2018'!$101:$101,0))</f>
        <v>24658333.329999998</v>
      </c>
      <c r="P65" s="237">
        <f t="shared" si="11"/>
        <v>14165455</v>
      </c>
      <c r="Q65" s="238">
        <f t="shared" si="12"/>
        <v>0.57446928023987431</v>
      </c>
      <c r="R65" s="188">
        <f>'2017'!Q64</f>
        <v>28222092.870000001</v>
      </c>
      <c r="S65" s="237">
        <f t="shared" si="9"/>
        <v>10601695.459999997</v>
      </c>
      <c r="T65" s="239">
        <f t="shared" si="10"/>
        <v>0.37565234828029248</v>
      </c>
    </row>
    <row r="66" spans="1:20">
      <c r="A66" s="169">
        <v>72</v>
      </c>
      <c r="B66" s="453" t="str">
        <f>+VLOOKUP($A66,Master!$D$25:$G$223,4,FALSE)</f>
        <v>Revenues from Selling Assets</v>
      </c>
      <c r="C66" s="454"/>
      <c r="D66" s="454"/>
      <c r="E66" s="454"/>
      <c r="F66" s="454"/>
      <c r="G66" s="188">
        <f>+SUMPRODUCT(('2018'!$G65:$R65)*('2018'!$G$5:$R$5&lt;=Master!$B$3)*($A66='2018'!$A$10:$A$66))</f>
        <v>14750622.77</v>
      </c>
      <c r="H66" s="188">
        <f>+SUMPRODUCT(('2018'!$G160:$R160)*('2018'!$G$5:$R$5&lt;=Master!$B$3))</f>
        <v>0</v>
      </c>
      <c r="I66" s="237">
        <f t="shared" si="0"/>
        <v>14750622.77</v>
      </c>
      <c r="J66" s="238" t="str">
        <f t="shared" si="1"/>
        <v>…</v>
      </c>
      <c r="K66" s="188">
        <f>+SUMPRODUCT(('2017'!$G65:$R65)*('2017'!$G$5:$R$5&lt;=Master!$B$3))</f>
        <v>5102117.4799999995</v>
      </c>
      <c r="L66" s="237">
        <f t="shared" si="7"/>
        <v>9648505.2899999991</v>
      </c>
      <c r="M66" s="239">
        <f t="shared" si="2"/>
        <v>1.8910786213413497</v>
      </c>
      <c r="N66" s="188">
        <f>'2018'!Q65</f>
        <v>314684.94</v>
      </c>
      <c r="O66" s="188">
        <f>+INDEX('2018'!$1:$1048576,MATCH(CONCATENATE('Analytics - 2018'!$A66,"p"),'2018'!$A:$A,0),MATCH('Analytics - 2018'!$O$6,'2018'!$101:$101,0))</f>
        <v>0</v>
      </c>
      <c r="P66" s="237">
        <f t="shared" si="11"/>
        <v>314684.94</v>
      </c>
      <c r="Q66" s="238" t="str">
        <f t="shared" si="12"/>
        <v>…</v>
      </c>
      <c r="R66" s="188">
        <f>'2017'!Q65</f>
        <v>399611.81</v>
      </c>
      <c r="S66" s="237">
        <f t="shared" si="9"/>
        <v>-84926.87</v>
      </c>
      <c r="T66" s="239">
        <f t="shared" si="10"/>
        <v>-0.21252342366958576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394">
        <f>+SUMPRODUCT(('2018'!$G66:$R66)*('2018'!$G$5:$R$5&lt;=Master!$B$3)*($A67='2018'!$A$10:$A$66))</f>
        <v>-245352667.12</v>
      </c>
      <c r="H67" s="398">
        <f>+SUMPRODUCT(('2018'!$G161:$R161)*('2018'!$G$5:$R$5&lt;=Master!$B$3))</f>
        <v>119492119.85642003</v>
      </c>
      <c r="I67" s="251">
        <f t="shared" si="0"/>
        <v>-364844786.97642004</v>
      </c>
      <c r="J67" s="252" t="str">
        <f>+IF(ISNUMBER(G66/H66-1),G66/H66-1,"…")</f>
        <v>…</v>
      </c>
      <c r="K67" s="394">
        <f>+SUMPRODUCT(('2017'!$G66:$R66)*('2017'!$G$5:$R$5&lt;=Master!$B$3))</f>
        <v>-5284472.2399999723</v>
      </c>
      <c r="L67" s="251">
        <f t="shared" si="7"/>
        <v>-240068194.88000003</v>
      </c>
      <c r="M67" s="253"/>
      <c r="N67" s="394">
        <f>'2018'!Q66</f>
        <v>15070128.249999985</v>
      </c>
      <c r="O67" s="398">
        <f>+INDEX('2018'!$1:$1048576,MATCH(CONCATENATE('Analytics - 2018'!$A67,"p"),'2018'!$A:$A,0),MATCH('Analytics - 2018'!$O$6,'2018'!$101:$101,0))</f>
        <v>23913027.18768625</v>
      </c>
      <c r="P67" s="251">
        <f t="shared" si="11"/>
        <v>-8842898.9376862645</v>
      </c>
      <c r="Q67" s="252">
        <f t="shared" si="12"/>
        <v>-0.36979420749539471</v>
      </c>
      <c r="R67" s="394">
        <f>'2017'!Q66</f>
        <v>10211524.489999995</v>
      </c>
      <c r="S67" s="251">
        <f t="shared" si="9"/>
        <v>4858603.7599999905</v>
      </c>
      <c r="T67" s="253">
        <f t="shared" si="10"/>
        <v>0.47579612277852878</v>
      </c>
    </row>
    <row r="69" spans="1:20">
      <c r="H69" s="395"/>
    </row>
    <row r="70" spans="1:20">
      <c r="H70" s="364"/>
    </row>
    <row r="72" spans="1:20">
      <c r="R72" s="450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S10" sqref="S1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2018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4604500000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tr">
        <f>+Master!G243</f>
        <v>Jan - Nov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145721426.74000001</v>
      </c>
      <c r="Q10" s="176">
        <f t="shared" si="1"/>
        <v>142762362.10999998</v>
      </c>
      <c r="R10" s="176">
        <f t="shared" si="1"/>
        <v>0</v>
      </c>
      <c r="S10" s="264">
        <f>+SUM(G10:R10)</f>
        <v>1561546304.3099999</v>
      </c>
      <c r="T10" s="265">
        <f>+S10/$T$7</f>
        <v>0.33913482556412206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0</v>
      </c>
      <c r="S11" s="267">
        <f t="shared" ref="S11:S65" si="3">+SUM(G11:R11)</f>
        <v>977513784.38999999</v>
      </c>
      <c r="T11" s="268">
        <f t="shared" ref="T11:T66" si="4">+S11/$T$7</f>
        <v>0.21229531640569008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0</v>
      </c>
      <c r="S12" s="269">
        <f t="shared" si="3"/>
        <v>106025922.48000002</v>
      </c>
      <c r="T12" s="270">
        <f t="shared" si="4"/>
        <v>2.3026587573026391E-2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0</v>
      </c>
      <c r="S13" s="269">
        <f t="shared" si="3"/>
        <v>66359905.399999991</v>
      </c>
      <c r="T13" s="270">
        <f t="shared" si="4"/>
        <v>1.4411967727223366E-2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0</v>
      </c>
      <c r="S14" s="269">
        <f t="shared" si="3"/>
        <v>1627139.89</v>
      </c>
      <c r="T14" s="270">
        <f t="shared" si="4"/>
        <v>3.5338036486046257E-4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0</v>
      </c>
      <c r="S15" s="269">
        <f t="shared" si="3"/>
        <v>566021410.47000003</v>
      </c>
      <c r="T15" s="270">
        <f t="shared" si="4"/>
        <v>0.12292787717884679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0</v>
      </c>
      <c r="S16" s="269">
        <f t="shared" si="3"/>
        <v>204416757.59999999</v>
      </c>
      <c r="T16" s="270">
        <f t="shared" si="4"/>
        <v>4.4394995678140946E-2</v>
      </c>
    </row>
    <row r="17" spans="1:25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0</v>
      </c>
      <c r="S17" s="269">
        <f t="shared" si="3"/>
        <v>24584515.18</v>
      </c>
      <c r="T17" s="270">
        <f t="shared" si="4"/>
        <v>5.3392366554457591E-3</v>
      </c>
    </row>
    <row r="18" spans="1:25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0</v>
      </c>
      <c r="S18" s="269">
        <f t="shared" si="3"/>
        <v>8478133.3699999992</v>
      </c>
      <c r="T18" s="270">
        <f t="shared" si="4"/>
        <v>1.8412712281463783E-3</v>
      </c>
    </row>
    <row r="19" spans="1:25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0</v>
      </c>
      <c r="S19" s="272">
        <f t="shared" si="3"/>
        <v>444129706.49000001</v>
      </c>
      <c r="T19" s="273">
        <f t="shared" si="4"/>
        <v>9.6455577476381796E-2</v>
      </c>
    </row>
    <row r="20" spans="1:25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0</v>
      </c>
      <c r="S20" s="269">
        <f t="shared" si="3"/>
        <v>268721169.83000004</v>
      </c>
      <c r="T20" s="270">
        <f t="shared" si="4"/>
        <v>5.8360553769138894E-2</v>
      </c>
    </row>
    <row r="21" spans="1:25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0</v>
      </c>
      <c r="S21" s="269">
        <f t="shared" si="3"/>
        <v>153692823.66</v>
      </c>
      <c r="T21" s="270">
        <f t="shared" si="4"/>
        <v>3.3378830200890434E-2</v>
      </c>
    </row>
    <row r="22" spans="1:25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0</v>
      </c>
      <c r="S22" s="269">
        <f t="shared" si="3"/>
        <v>11441439.030000001</v>
      </c>
      <c r="T22" s="270">
        <f t="shared" si="4"/>
        <v>2.4848385340427845E-3</v>
      </c>
    </row>
    <row r="23" spans="1:25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0</v>
      </c>
      <c r="S23" s="269">
        <f t="shared" si="3"/>
        <v>10274273.970000001</v>
      </c>
      <c r="T23" s="270">
        <f t="shared" si="4"/>
        <v>2.2313549723096972E-3</v>
      </c>
      <c r="Y23" s="379"/>
    </row>
    <row r="24" spans="1:25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1272487.3600000001</v>
      </c>
      <c r="R24" s="274">
        <f>+INDEX(DataEx!$1:$1048576,MATCH('2018'!$A24,DataEx!$D:$D,0),MATCH('2018'!R$6,DataEx!$7:$7,0))</f>
        <v>0</v>
      </c>
      <c r="S24" s="272">
        <f t="shared" si="3"/>
        <v>15281324.589999998</v>
      </c>
      <c r="T24" s="273">
        <f t="shared" si="4"/>
        <v>3.3187804517320007E-3</v>
      </c>
      <c r="Y24" s="379"/>
    </row>
    <row r="25" spans="1:25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0</v>
      </c>
      <c r="S25" s="272">
        <f t="shared" si="3"/>
        <v>23733734.470000003</v>
      </c>
      <c r="T25" s="273">
        <f t="shared" si="4"/>
        <v>5.1544650819850156E-3</v>
      </c>
      <c r="W25" s="366"/>
    </row>
    <row r="26" spans="1:25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2283918.14</v>
      </c>
      <c r="Q26" s="200">
        <f>+INDEX(DataEx!$1:$1048576,MATCH('2018'!$A26,DataEx!$D:$D,0),MATCH('2018'!Q$6,DataEx!$7:$7,0))</f>
        <v>3454054.21</v>
      </c>
      <c r="R26" s="274">
        <f>+INDEX(DataEx!$1:$1048576,MATCH('2018'!$A26,DataEx!$D:$D,0),MATCH('2018'!R$6,DataEx!$7:$7,0))</f>
        <v>0</v>
      </c>
      <c r="S26" s="272">
        <f t="shared" si="3"/>
        <v>67036504.390000008</v>
      </c>
      <c r="T26" s="273">
        <f t="shared" si="4"/>
        <v>1.4558910715604301E-2</v>
      </c>
    </row>
    <row r="27" spans="1:25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0</v>
      </c>
      <c r="S27" s="272">
        <f t="shared" si="3"/>
        <v>10343375.6</v>
      </c>
      <c r="T27" s="273">
        <f t="shared" si="4"/>
        <v>2.2463623846237374E-3</v>
      </c>
    </row>
    <row r="28" spans="1:25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0</v>
      </c>
      <c r="S28" s="272">
        <f t="shared" si="3"/>
        <v>23507874.380000003</v>
      </c>
      <c r="T28" s="276">
        <f t="shared" si="4"/>
        <v>5.105413048105115E-3</v>
      </c>
    </row>
    <row r="29" spans="1:25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+G31+G42+G48+SUM(G49:G53)</f>
        <v>106127861.81999999</v>
      </c>
      <c r="H29" s="176">
        <f t="shared" ref="H29:R29" si="5">+H31+H42+H48+SUM(H49:H53)</f>
        <v>119008839.22</v>
      </c>
      <c r="I29" s="176">
        <f t="shared" si="5"/>
        <v>172442993.90000004</v>
      </c>
      <c r="J29" s="176">
        <f t="shared" si="5"/>
        <v>147732484.81999999</v>
      </c>
      <c r="K29" s="176">
        <f t="shared" si="5"/>
        <v>141761088.21000004</v>
      </c>
      <c r="L29" s="176">
        <f t="shared" si="5"/>
        <v>162103517.94999999</v>
      </c>
      <c r="M29" s="176">
        <f t="shared" si="5"/>
        <v>155878289.95999998</v>
      </c>
      <c r="N29" s="176">
        <f t="shared" si="5"/>
        <v>127202225.30999999</v>
      </c>
      <c r="O29" s="176">
        <f t="shared" si="5"/>
        <v>166137285.44</v>
      </c>
      <c r="P29" s="176">
        <f t="shared" si="5"/>
        <v>158417889.19</v>
      </c>
      <c r="Q29" s="176">
        <f t="shared" si="5"/>
        <v>187380640.81999996</v>
      </c>
      <c r="R29" s="176">
        <f t="shared" si="5"/>
        <v>0</v>
      </c>
      <c r="S29" s="277">
        <f t="shared" si="3"/>
        <v>1644193116.6400001</v>
      </c>
      <c r="T29" s="278">
        <f t="shared" si="4"/>
        <v>0.35708396495602129</v>
      </c>
    </row>
    <row r="30" spans="1:25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104067287.55</v>
      </c>
      <c r="H30" s="206">
        <f t="shared" ref="H30:R30" si="6">+H29-H49</f>
        <v>116050443.73</v>
      </c>
      <c r="I30" s="206">
        <f t="shared" si="6"/>
        <v>161636488.23000005</v>
      </c>
      <c r="J30" s="206">
        <f t="shared" si="6"/>
        <v>118956993.33999999</v>
      </c>
      <c r="K30" s="206">
        <f t="shared" si="6"/>
        <v>129446729.29000004</v>
      </c>
      <c r="L30" s="206">
        <f t="shared" si="6"/>
        <v>142109230.73999998</v>
      </c>
      <c r="M30" s="206">
        <f t="shared" si="6"/>
        <v>133658826.23999998</v>
      </c>
      <c r="N30" s="206">
        <f t="shared" si="6"/>
        <v>120135154.73999998</v>
      </c>
      <c r="O30" s="206">
        <f t="shared" si="6"/>
        <v>127783869.37</v>
      </c>
      <c r="P30" s="206">
        <f t="shared" si="6"/>
        <v>131131790.87</v>
      </c>
      <c r="Q30" s="206">
        <f t="shared" si="6"/>
        <v>162668632.63999996</v>
      </c>
      <c r="R30" s="206">
        <f t="shared" si="6"/>
        <v>0</v>
      </c>
      <c r="S30" s="438">
        <f t="shared" si="3"/>
        <v>1447645446.7399998</v>
      </c>
      <c r="T30" s="280">
        <f t="shared" si="4"/>
        <v>0.31439796866977954</v>
      </c>
    </row>
    <row r="31" spans="1:25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>+SUM(G32:G41)</f>
        <v>48891808.700000003</v>
      </c>
      <c r="H31" s="212">
        <f t="shared" ref="H31:R31" si="7">+SUM(H32:H41)</f>
        <v>54739432.789999992</v>
      </c>
      <c r="I31" s="212">
        <f t="shared" si="7"/>
        <v>95707779.320000023</v>
      </c>
      <c r="J31" s="212">
        <f t="shared" si="7"/>
        <v>57011774.789999992</v>
      </c>
      <c r="K31" s="212">
        <f t="shared" si="7"/>
        <v>66900183.370000012</v>
      </c>
      <c r="L31" s="212">
        <f t="shared" si="7"/>
        <v>74421249.74000001</v>
      </c>
      <c r="M31" s="212">
        <f t="shared" si="7"/>
        <v>62878455.359999999</v>
      </c>
      <c r="N31" s="212">
        <f t="shared" si="7"/>
        <v>54575073.569999985</v>
      </c>
      <c r="O31" s="212">
        <f t="shared" si="7"/>
        <v>63479597.990000002</v>
      </c>
      <c r="P31" s="212">
        <f t="shared" si="7"/>
        <v>66170450.32</v>
      </c>
      <c r="Q31" s="212">
        <f t="shared" si="7"/>
        <v>95000445.049999982</v>
      </c>
      <c r="R31" s="281">
        <f t="shared" si="7"/>
        <v>0</v>
      </c>
      <c r="S31" s="439">
        <f t="shared" si="3"/>
        <v>739776251</v>
      </c>
      <c r="T31" s="268">
        <f t="shared" si="4"/>
        <v>0.16066375306765121</v>
      </c>
    </row>
    <row r="32" spans="1:25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38163591.060000002</v>
      </c>
      <c r="P32" s="188">
        <f>+INDEX(DataEx!$1:$1048576,MATCH('2018'!$A32,DataEx!$D:$D,0),MATCH('2018'!P$6,DataEx!$7:$7,0))</f>
        <v>39555636.280000001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0</v>
      </c>
      <c r="S32" s="269">
        <f t="shared" si="3"/>
        <v>424976511.31999999</v>
      </c>
      <c r="T32" s="270">
        <f t="shared" si="4"/>
        <v>9.2295908637202731E-2</v>
      </c>
    </row>
    <row r="33" spans="1:22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0</v>
      </c>
      <c r="S33" s="269">
        <f t="shared" si="3"/>
        <v>9934843.5299999993</v>
      </c>
      <c r="T33" s="270">
        <f t="shared" si="4"/>
        <v>2.157637860788359E-3</v>
      </c>
      <c r="U33" s="367"/>
    </row>
    <row r="34" spans="1:22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0</v>
      </c>
      <c r="S34" s="269">
        <f t="shared" si="3"/>
        <v>27884806.209999997</v>
      </c>
      <c r="T34" s="270">
        <f t="shared" si="4"/>
        <v>6.0559900553806053E-3</v>
      </c>
      <c r="U34" s="385"/>
      <c r="V34" s="365"/>
    </row>
    <row r="35" spans="1:22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+INDEX(DataEx!$1:$1048576,MATCH('2018'!$A35,DataEx!$D:$D,0),MATCH('2018'!G$6,DataEx!$7:$7,0))</f>
        <v>1697415.73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14378909.960000001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0</v>
      </c>
      <c r="S35" s="269">
        <f t="shared" si="3"/>
        <v>57812112.480000004</v>
      </c>
      <c r="T35" s="270">
        <f t="shared" si="4"/>
        <v>1.2555567918340754E-2</v>
      </c>
    </row>
    <row r="36" spans="1:22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0</v>
      </c>
      <c r="S36" s="269">
        <f t="shared" si="3"/>
        <v>16118423.359999999</v>
      </c>
      <c r="T36" s="270">
        <f t="shared" si="4"/>
        <v>3.5005805972418286E-3</v>
      </c>
    </row>
    <row r="37" spans="1:22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0</v>
      </c>
      <c r="S37" s="269">
        <f>+SUM(G37:R37)</f>
        <v>76488458.230000004</v>
      </c>
      <c r="T37" s="270">
        <f t="shared" si="4"/>
        <v>1.6611675150396351E-2</v>
      </c>
    </row>
    <row r="38" spans="1:22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0</v>
      </c>
      <c r="S38" s="269">
        <f t="shared" si="3"/>
        <v>8199000.1899999995</v>
      </c>
      <c r="T38" s="270">
        <f t="shared" si="4"/>
        <v>1.780649406015854E-3</v>
      </c>
    </row>
    <row r="39" spans="1:22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0</v>
      </c>
      <c r="S39" s="269">
        <f t="shared" si="3"/>
        <v>23799489.119999997</v>
      </c>
      <c r="T39" s="270">
        <f t="shared" si="4"/>
        <v>5.1687456010424578E-3</v>
      </c>
    </row>
    <row r="40" spans="1:22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0</v>
      </c>
      <c r="S40" s="269">
        <f t="shared" si="3"/>
        <v>31340665.960000001</v>
      </c>
      <c r="T40" s="270">
        <f t="shared" si="4"/>
        <v>6.8065296905201432E-3</v>
      </c>
    </row>
    <row r="41" spans="1:22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5920389.9699999997</v>
      </c>
      <c r="Q41" s="188">
        <f>+INDEX(DataEx!$1:$1048576,MATCH('2018'!$A41,DataEx!$D:$D,0),MATCH('2018'!Q$6,DataEx!$7:$7,0))</f>
        <v>28699706.960000001</v>
      </c>
      <c r="R41" s="188">
        <f>+INDEX(DataEx!$1:$1048576,MATCH('2018'!$A41,DataEx!$D:$D,0),MATCH('2018'!R$6,DataEx!$7:$7,0))</f>
        <v>0</v>
      </c>
      <c r="S41" s="269">
        <f t="shared" si="3"/>
        <v>63221940.600000009</v>
      </c>
      <c r="T41" s="270">
        <f t="shared" si="4"/>
        <v>1.3730468150722121E-2</v>
      </c>
    </row>
    <row r="42" spans="1:22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47054657.780000001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46174954.729999989</v>
      </c>
      <c r="R42" s="282">
        <f t="shared" si="8"/>
        <v>0</v>
      </c>
      <c r="S42" s="272">
        <f t="shared" si="3"/>
        <v>493334996.98000002</v>
      </c>
      <c r="T42" s="273">
        <f t="shared" si="4"/>
        <v>0.10714192572049083</v>
      </c>
    </row>
    <row r="43" spans="1:22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0</v>
      </c>
      <c r="S43" s="269">
        <f t="shared" si="3"/>
        <v>71837899.329999998</v>
      </c>
      <c r="T43" s="270">
        <f t="shared" si="4"/>
        <v>1.5601672131610381E-2</v>
      </c>
    </row>
    <row r="44" spans="1:22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0</v>
      </c>
      <c r="S44" s="269">
        <f t="shared" si="3"/>
        <v>11401113.989999998</v>
      </c>
      <c r="T44" s="270">
        <f t="shared" si="4"/>
        <v>2.4760807883592133E-3</v>
      </c>
    </row>
    <row r="45" spans="1:22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34786859.079999998</v>
      </c>
      <c r="R45" s="188">
        <f>+INDEX(DataEx!$1:$1048576,MATCH('2018'!$A45,DataEx!$D:$D,0),MATCH('2018'!R$6,DataEx!$7:$7,0))</f>
        <v>0</v>
      </c>
      <c r="S45" s="269">
        <f t="shared" si="3"/>
        <v>380362389.45999998</v>
      </c>
      <c r="T45" s="270">
        <f t="shared" si="4"/>
        <v>8.2606665101531113E-2</v>
      </c>
    </row>
    <row r="46" spans="1:22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0</v>
      </c>
      <c r="S46" s="269">
        <f t="shared" si="3"/>
        <v>17667278.16</v>
      </c>
      <c r="T46" s="270">
        <f t="shared" si="4"/>
        <v>3.8369590965359975E-3</v>
      </c>
    </row>
    <row r="47" spans="1:22">
      <c r="A47" s="175">
        <v>425</v>
      </c>
      <c r="B47" s="554" t="str">
        <f>+VLOOKUP($A47,Master!$D$25:$G$223,4,FALSE)</f>
        <v>Other Health Care Insurance</v>
      </c>
      <c r="C47" s="555"/>
      <c r="D47" s="555"/>
      <c r="E47" s="555"/>
      <c r="F47" s="555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3555204.14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0</v>
      </c>
      <c r="S47" s="269">
        <f t="shared" si="3"/>
        <v>12066316.039999999</v>
      </c>
      <c r="T47" s="270">
        <f t="shared" si="4"/>
        <v>2.6205486024541208E-3</v>
      </c>
    </row>
    <row r="48" spans="1:22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0</v>
      </c>
      <c r="S48" s="272">
        <f t="shared" si="3"/>
        <v>175302882.54999998</v>
      </c>
      <c r="T48" s="273">
        <f t="shared" si="4"/>
        <v>3.8072077869475508E-2</v>
      </c>
    </row>
    <row r="49" spans="1:22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27286098.32</v>
      </c>
      <c r="Q49" s="200">
        <f>+INDEX(DataEx!$1:$1048576,MATCH('2018'!$A49,DataEx!$D:$D,0),MATCH('2018'!Q$6,DataEx!$7:$7,0))</f>
        <v>24712008.18</v>
      </c>
      <c r="R49" s="200">
        <f>+INDEX(DataEx!$1:$1048576,MATCH('2018'!$A49,DataEx!$D:$D,0),MATCH('2018'!R$6,DataEx!$7:$7,0))</f>
        <v>0</v>
      </c>
      <c r="S49" s="272">
        <f t="shared" si="3"/>
        <v>196547669.89999998</v>
      </c>
      <c r="T49" s="273">
        <f t="shared" si="4"/>
        <v>4.2685996286241715E-2</v>
      </c>
    </row>
    <row r="50" spans="1:22">
      <c r="A50" s="175">
        <v>451</v>
      </c>
      <c r="B50" s="548" t="str">
        <f>+VLOOKUP($A50,Master!$D$25:$G$223,4,FALSE)</f>
        <v>Credits and Borrowings</v>
      </c>
      <c r="C50" s="549"/>
      <c r="D50" s="549"/>
      <c r="E50" s="549"/>
      <c r="F50" s="549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0</v>
      </c>
      <c r="S50" s="269">
        <f t="shared" si="3"/>
        <v>2329281</v>
      </c>
      <c r="T50" s="270">
        <f t="shared" si="4"/>
        <v>5.0587056140731891E-4</v>
      </c>
    </row>
    <row r="51" spans="1:22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0</v>
      </c>
      <c r="S51" s="269">
        <f t="shared" si="3"/>
        <v>15188498.65</v>
      </c>
      <c r="T51" s="270">
        <f t="shared" si="4"/>
        <v>3.2986206211315021E-3</v>
      </c>
    </row>
    <row r="52" spans="1:22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0" t="str">
        <f>+VLOOKUP($A53,Master!$D$25:$G$223,4,TRUE)</f>
        <v>Repayments of Arrears</v>
      </c>
      <c r="C53" s="551"/>
      <c r="D53" s="551"/>
      <c r="E53" s="551"/>
      <c r="F53" s="551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0</v>
      </c>
      <c r="S53" s="440">
        <f>+SUM(G53:R53)</f>
        <v>21713536.559999999</v>
      </c>
      <c r="T53" s="284">
        <f>+S53/$T$7</f>
        <v>4.7157208296231944E-3</v>
      </c>
    </row>
    <row r="54" spans="1:22" ht="13.5" thickBot="1">
      <c r="A54" s="71">
        <v>1005</v>
      </c>
      <c r="B54" s="552" t="str">
        <f>+VLOOKUP($A54,Master!$D$25:$G$225,4,FALSE)</f>
        <v>Net increase of liabilities</v>
      </c>
      <c r="C54" s="553"/>
      <c r="D54" s="553"/>
      <c r="E54" s="553"/>
      <c r="F54" s="553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 t="shared" ref="G55:R55" si="9">+G10-G29</f>
        <v>-24583016.989999995</v>
      </c>
      <c r="H55" s="176">
        <f t="shared" si="9"/>
        <v>-11928731.069999993</v>
      </c>
      <c r="I55" s="176">
        <f t="shared" si="9"/>
        <v>-33584638.360000044</v>
      </c>
      <c r="J55" s="176">
        <f t="shared" si="9"/>
        <v>9105481.9100000262</v>
      </c>
      <c r="K55" s="176">
        <f t="shared" si="9"/>
        <v>-2919925.2200000584</v>
      </c>
      <c r="L55" s="176">
        <f t="shared" si="9"/>
        <v>-21395141.799999982</v>
      </c>
      <c r="M55" s="176">
        <f t="shared" si="9"/>
        <v>4716324.8900000155</v>
      </c>
      <c r="N55" s="176">
        <f t="shared" si="9"/>
        <v>34061554.860000029</v>
      </c>
      <c r="O55" s="176">
        <f t="shared" si="9"/>
        <v>21196020.610000014</v>
      </c>
      <c r="P55" s="176">
        <f t="shared" si="9"/>
        <v>-12696462.449999988</v>
      </c>
      <c r="Q55" s="176">
        <f t="shared" si="9"/>
        <v>-44618278.709999979</v>
      </c>
      <c r="R55" s="176">
        <f t="shared" si="9"/>
        <v>0</v>
      </c>
      <c r="S55" s="285">
        <f t="shared" si="3"/>
        <v>-82646812.329999954</v>
      </c>
      <c r="T55" s="286">
        <f t="shared" si="4"/>
        <v>-1.7949139391899217E-2</v>
      </c>
    </row>
    <row r="56" spans="1:22" ht="13.5" thickBot="1">
      <c r="A56" s="169">
        <v>1001</v>
      </c>
      <c r="B56" s="479" t="str">
        <f>+VLOOKUP($A56,Master!$D$25:$G$223,4,FALSE)</f>
        <v>Primary balance</v>
      </c>
      <c r="C56" s="480"/>
      <c r="D56" s="480"/>
      <c r="E56" s="480"/>
      <c r="F56" s="480"/>
      <c r="G56" s="230">
        <f>+G55+G37</f>
        <v>-20258939.439999994</v>
      </c>
      <c r="H56" s="230">
        <f t="shared" ref="H56:R56" si="10">+H55+H37</f>
        <v>-10877929.839999992</v>
      </c>
      <c r="I56" s="230">
        <f t="shared" si="10"/>
        <v>5930038.3499999568</v>
      </c>
      <c r="J56" s="230">
        <f t="shared" si="10"/>
        <v>10733670.910000026</v>
      </c>
      <c r="K56" s="230">
        <f t="shared" si="10"/>
        <v>7144883.8399999421</v>
      </c>
      <c r="L56" s="230">
        <f t="shared" si="10"/>
        <v>-19556421.169999983</v>
      </c>
      <c r="M56" s="230">
        <f t="shared" si="10"/>
        <v>12210260.900000015</v>
      </c>
      <c r="N56" s="230">
        <f t="shared" si="10"/>
        <v>35195709.800000027</v>
      </c>
      <c r="O56" s="230">
        <f t="shared" si="10"/>
        <v>24813376.210000016</v>
      </c>
      <c r="P56" s="230">
        <f t="shared" si="10"/>
        <v>-11157774.149999987</v>
      </c>
      <c r="Q56" s="230">
        <f t="shared" si="10"/>
        <v>-40335229.509999976</v>
      </c>
      <c r="R56" s="230">
        <f t="shared" si="10"/>
        <v>0</v>
      </c>
      <c r="S56" s="285">
        <f t="shared" si="3"/>
        <v>-6158354.0999999493</v>
      </c>
      <c r="T56" s="286">
        <f t="shared" si="4"/>
        <v>-1.3374642415028665E-3</v>
      </c>
    </row>
    <row r="57" spans="1:22">
      <c r="A57" s="169">
        <v>46</v>
      </c>
      <c r="B57" s="546" t="str">
        <f>+VLOOKUP($A57,Master!$D$25:$G$223,4,FALSE)</f>
        <v>Repayment of Debt</v>
      </c>
      <c r="C57" s="547"/>
      <c r="D57" s="547"/>
      <c r="E57" s="547"/>
      <c r="F57" s="547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0</v>
      </c>
      <c r="S57" s="287">
        <f t="shared" si="3"/>
        <v>323018772.13</v>
      </c>
      <c r="T57" s="288">
        <f t="shared" si="4"/>
        <v>7.0152844419589536E-2</v>
      </c>
      <c r="V57" s="383"/>
    </row>
    <row r="58" spans="1:22">
      <c r="A58" s="169">
        <v>4611</v>
      </c>
      <c r="B58" s="469" t="str">
        <f>+VLOOKUP($A58,Master!$D$25:$G$223,4,FALSE)</f>
        <v>Repayment of Domestic Debt</v>
      </c>
      <c r="C58" s="470"/>
      <c r="D58" s="470"/>
      <c r="E58" s="470"/>
      <c r="F58" s="470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0</v>
      </c>
      <c r="S58" s="289">
        <f t="shared" si="3"/>
        <v>232621428.39000002</v>
      </c>
      <c r="T58" s="290">
        <f t="shared" si="4"/>
        <v>5.0520453554131831E-2</v>
      </c>
    </row>
    <row r="59" spans="1:22" ht="13.5" thickBot="1">
      <c r="A59" s="169">
        <v>4612</v>
      </c>
      <c r="B59" s="453" t="str">
        <f>+VLOOKUP($A59,Master!$D$25:$G$223,4,FALSE)</f>
        <v>Repayment of Foreign Debt</v>
      </c>
      <c r="C59" s="454"/>
      <c r="D59" s="454"/>
      <c r="E59" s="454"/>
      <c r="F59" s="454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0</v>
      </c>
      <c r="S59" s="289">
        <f t="shared" si="3"/>
        <v>90397343.739999995</v>
      </c>
      <c r="T59" s="290">
        <f t="shared" si="4"/>
        <v>1.9632390865457702E-2</v>
      </c>
      <c r="V59" s="402"/>
    </row>
    <row r="60" spans="1:22" ht="13.5" thickBot="1">
      <c r="A60" s="169">
        <v>4418</v>
      </c>
      <c r="B60" s="489" t="s">
        <v>777</v>
      </c>
      <c r="C60" s="490"/>
      <c r="D60" s="490"/>
      <c r="E60" s="490"/>
      <c r="F60" s="490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1.4972221817786947E-2</v>
      </c>
      <c r="V60" s="402"/>
    </row>
    <row r="61" spans="1:22" ht="13.5" thickBot="1">
      <c r="A61" s="169">
        <v>1002</v>
      </c>
      <c r="B61" s="473" t="str">
        <f>+VLOOKUP($A61,Master!$D$25:$G$223,4,FALSE)</f>
        <v>Financing needs</v>
      </c>
      <c r="C61" s="474"/>
      <c r="D61" s="474"/>
      <c r="E61" s="474"/>
      <c r="F61" s="474"/>
      <c r="G61" s="242">
        <f>+G55-G57-G60</f>
        <v>-50783181.969999999</v>
      </c>
      <c r="H61" s="242">
        <f t="shared" ref="H61:R61" si="12">+H55-H57-H60</f>
        <v>-66417702.829999991</v>
      </c>
      <c r="I61" s="242">
        <f t="shared" si="12"/>
        <v>-52650662.850000046</v>
      </c>
      <c r="J61" s="242">
        <f t="shared" si="12"/>
        <v>-10875990.079999976</v>
      </c>
      <c r="K61" s="242">
        <f t="shared" si="12"/>
        <v>-86620216.340000063</v>
      </c>
      <c r="L61" s="242">
        <f t="shared" si="12"/>
        <v>-34324692.609999985</v>
      </c>
      <c r="M61" s="242">
        <f t="shared" si="12"/>
        <v>-39249441.129999988</v>
      </c>
      <c r="N61" s="242">
        <f t="shared" si="12"/>
        <v>-64518550.279999971</v>
      </c>
      <c r="O61" s="242">
        <f t="shared" si="12"/>
        <v>3772314.7100000158</v>
      </c>
      <c r="P61" s="242">
        <f t="shared" si="12"/>
        <v>-18728454.919999987</v>
      </c>
      <c r="Q61" s="242">
        <f t="shared" si="12"/>
        <v>-54208601.519999981</v>
      </c>
      <c r="R61" s="242">
        <f t="shared" si="12"/>
        <v>0</v>
      </c>
      <c r="S61" s="291">
        <f t="shared" si="3"/>
        <v>-474605179.81999993</v>
      </c>
      <c r="T61" s="292">
        <f t="shared" si="4"/>
        <v>-0.10307420562927569</v>
      </c>
    </row>
    <row r="62" spans="1:22" ht="13.5" thickBot="1">
      <c r="A62" s="169">
        <v>1003</v>
      </c>
      <c r="B62" s="475" t="str">
        <f>+VLOOKUP($A62,Master!$D$25:$G$223,4,FALSE)</f>
        <v>Financing</v>
      </c>
      <c r="C62" s="476"/>
      <c r="D62" s="476"/>
      <c r="E62" s="476"/>
      <c r="F62" s="476"/>
      <c r="G62" s="176">
        <f>+SUM(G63:G66)</f>
        <v>50783181.969999999</v>
      </c>
      <c r="H62" s="176">
        <f t="shared" ref="H62:R62" si="13">+SUM(H63:H66)</f>
        <v>66417702.829999991</v>
      </c>
      <c r="I62" s="176">
        <f t="shared" si="13"/>
        <v>52650662.850000046</v>
      </c>
      <c r="J62" s="176">
        <f t="shared" si="13"/>
        <v>10875990.079999968</v>
      </c>
      <c r="K62" s="176">
        <f t="shared" si="13"/>
        <v>86620216.340000063</v>
      </c>
      <c r="L62" s="176">
        <f t="shared" si="13"/>
        <v>34324692.609999985</v>
      </c>
      <c r="M62" s="176">
        <f t="shared" si="13"/>
        <v>39249441.129999988</v>
      </c>
      <c r="N62" s="176">
        <f t="shared" si="13"/>
        <v>64518550.279999971</v>
      </c>
      <c r="O62" s="176">
        <f t="shared" si="13"/>
        <v>-3772314.7100000158</v>
      </c>
      <c r="P62" s="176">
        <f t="shared" si="13"/>
        <v>18728454.919999987</v>
      </c>
      <c r="Q62" s="176">
        <f t="shared" si="13"/>
        <v>54208601.519999981</v>
      </c>
      <c r="R62" s="176">
        <f t="shared" si="13"/>
        <v>0</v>
      </c>
      <c r="S62" s="293">
        <f t="shared" si="3"/>
        <v>474605179.81999993</v>
      </c>
      <c r="T62" s="294">
        <f t="shared" si="4"/>
        <v>0.10307420562927569</v>
      </c>
    </row>
    <row r="63" spans="1:22">
      <c r="A63" s="169">
        <v>7511</v>
      </c>
      <c r="B63" s="469" t="str">
        <f>+VLOOKUP($A63,Master!$D$25:$G$223,4,FALSE)</f>
        <v>Domestic Loans and Borrowings</v>
      </c>
      <c r="C63" s="470"/>
      <c r="D63" s="470"/>
      <c r="E63" s="470"/>
      <c r="F63" s="470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197600000</v>
      </c>
      <c r="T63" s="290">
        <f t="shared" si="4"/>
        <v>4.2914540123791943E-2</v>
      </c>
    </row>
    <row r="64" spans="1:22">
      <c r="A64" s="169">
        <v>7512</v>
      </c>
      <c r="B64" s="453" t="str">
        <f>+VLOOKUP($A64,Master!$D$25:$G$223,4,FALSE)</f>
        <v>Foreign Loans and Borrowings</v>
      </c>
      <c r="C64" s="454"/>
      <c r="D64" s="454"/>
      <c r="E64" s="454"/>
      <c r="F64" s="454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0</v>
      </c>
      <c r="S64" s="289">
        <f t="shared" si="3"/>
        <v>507607224.17000002</v>
      </c>
      <c r="T64" s="290">
        <f t="shared" si="4"/>
        <v>0.11024155156260181</v>
      </c>
    </row>
    <row r="65" spans="1:20">
      <c r="A65" s="169">
        <v>72</v>
      </c>
      <c r="B65" s="453" t="str">
        <f>+VLOOKUP($A65,Master!$D$25:$G$223,4,FALSE)</f>
        <v>Revenues from Selling Assets</v>
      </c>
      <c r="C65" s="454"/>
      <c r="D65" s="454"/>
      <c r="E65" s="454"/>
      <c r="F65" s="454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0</v>
      </c>
      <c r="S65" s="289">
        <f t="shared" si="3"/>
        <v>14750622.77</v>
      </c>
      <c r="T65" s="290">
        <f t="shared" si="4"/>
        <v>3.2035232424801824E-3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25890245.369999997</v>
      </c>
      <c r="H66" s="250">
        <f t="shared" ref="H66:R66" si="14">-H61-SUM(H63:H65)</f>
        <v>-9403865.9700000063</v>
      </c>
      <c r="I66" s="250">
        <f t="shared" si="14"/>
        <v>24327705.940000042</v>
      </c>
      <c r="J66" s="250">
        <f t="shared" si="14"/>
        <v>-114630637.10000002</v>
      </c>
      <c r="K66" s="250">
        <f t="shared" si="14"/>
        <v>78731298.080000058</v>
      </c>
      <c r="L66" s="250">
        <f t="shared" si="14"/>
        <v>-242177061.37000003</v>
      </c>
      <c r="M66" s="250">
        <f t="shared" si="14"/>
        <v>5479532.1299999878</v>
      </c>
      <c r="N66" s="250">
        <f t="shared" si="14"/>
        <v>-7856838.0900000334</v>
      </c>
      <c r="O66" s="250">
        <f t="shared" si="14"/>
        <v>-20539137.730000015</v>
      </c>
      <c r="P66" s="250">
        <f t="shared" si="14"/>
        <v>-244036.63000001013</v>
      </c>
      <c r="Q66" s="250">
        <f t="shared" si="14"/>
        <v>15070128.249999985</v>
      </c>
      <c r="R66" s="250">
        <f t="shared" si="14"/>
        <v>0</v>
      </c>
      <c r="S66" s="295">
        <f>+SUM(G66:R66)</f>
        <v>-245352667.12</v>
      </c>
      <c r="T66" s="296">
        <f t="shared" si="4"/>
        <v>-5.328540929959822E-2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7" t="str">
        <f>+Master!G250</f>
        <v>Planned Budget Execution</v>
      </c>
      <c r="C102" s="538"/>
      <c r="D102" s="538"/>
      <c r="E102" s="538"/>
      <c r="F102" s="538"/>
      <c r="G102" s="531">
        <v>2018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GDP</v>
      </c>
      <c r="T102" s="116">
        <f>+T7</f>
        <v>4604500000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6">+G8</f>
        <v>January</v>
      </c>
      <c r="H103" s="73" t="str">
        <f t="shared" si="16"/>
        <v>February</v>
      </c>
      <c r="I103" s="73" t="str">
        <f t="shared" si="16"/>
        <v>March</v>
      </c>
      <c r="J103" s="73" t="str">
        <f t="shared" si="16"/>
        <v>April</v>
      </c>
      <c r="K103" s="73" t="str">
        <f t="shared" si="16"/>
        <v>May</v>
      </c>
      <c r="L103" s="73" t="str">
        <f t="shared" si="16"/>
        <v>June</v>
      </c>
      <c r="M103" s="73" t="str">
        <f t="shared" si="16"/>
        <v>July</v>
      </c>
      <c r="N103" s="73" t="str">
        <f t="shared" si="16"/>
        <v>August</v>
      </c>
      <c r="O103" s="73" t="str">
        <f t="shared" si="16"/>
        <v>September</v>
      </c>
      <c r="P103" s="73" t="str">
        <f t="shared" si="16"/>
        <v>October</v>
      </c>
      <c r="Q103" s="73" t="str">
        <f t="shared" si="16"/>
        <v>November</v>
      </c>
      <c r="R103" s="73" t="str">
        <f t="shared" si="16"/>
        <v>December</v>
      </c>
      <c r="S103" s="531" t="str">
        <f>+Master!G244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7">+CONCATENATE(A10,"p")</f>
        <v>7p</v>
      </c>
      <c r="B105" s="533" t="str">
        <f>+VLOOKUP(LEFT($A105,LEN(A105)-1)*1,Master!$D$25:$G$223,4,FALSE)</f>
        <v>Total Revenues</v>
      </c>
      <c r="C105" s="534"/>
      <c r="D105" s="534"/>
      <c r="E105" s="534"/>
      <c r="F105" s="534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35" t="str">
        <f>+VLOOKUP(LEFT($A106,LEN(A106)-1)*1,Master!$D$25:$G$223,4,FALSE)</f>
        <v>Taxes</v>
      </c>
      <c r="C106" s="536"/>
      <c r="D106" s="536"/>
      <c r="E106" s="536"/>
      <c r="F106" s="536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17" t="str">
        <f>+VLOOKUP(LEFT($A107,LEN(A107)-1)*1,Master!$D$25:$G$223,4,FALSE)</f>
        <v>Personal Income Tax</v>
      </c>
      <c r="C107" s="518"/>
      <c r="D107" s="518"/>
      <c r="E107" s="518"/>
      <c r="F107" s="518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17" t="str">
        <f>+VLOOKUP(LEFT($A108,LEN(A108)-1)*1,Master!$D$25:$G$223,4,FALSE)</f>
        <v>Corporate Income Tax</v>
      </c>
      <c r="C108" s="518"/>
      <c r="D108" s="518"/>
      <c r="E108" s="518"/>
      <c r="F108" s="518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17" t="str">
        <f>+VLOOKUP(LEFT($A109,LEN(A109)-1)*1,Master!$D$25:$G$223,4,FALSE)</f>
        <v xml:space="preserve">Taxes on Sales of Property </v>
      </c>
      <c r="C109" s="518"/>
      <c r="D109" s="518"/>
      <c r="E109" s="518"/>
      <c r="F109" s="518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17" t="str">
        <f>+VLOOKUP(LEFT($A110,LEN(A110)-1)*1,Master!$D$25:$G$223,4,FALSE)</f>
        <v>Value Added Tax</v>
      </c>
      <c r="C110" s="518"/>
      <c r="D110" s="518"/>
      <c r="E110" s="518"/>
      <c r="F110" s="518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17" t="str">
        <f>+VLOOKUP(LEFT($A111,LEN(A111)-1)*1,Master!$D$25:$G$223,4,FALSE)</f>
        <v>Excises</v>
      </c>
      <c r="C111" s="518"/>
      <c r="D111" s="518"/>
      <c r="E111" s="518"/>
      <c r="F111" s="518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17" t="str">
        <f>+VLOOKUP(LEFT($A112,LEN(A112)-1)*1,Master!$D$25:$G$223,4,FALSE)</f>
        <v>Tax on International Trade and Transactions</v>
      </c>
      <c r="C112" s="518"/>
      <c r="D112" s="518"/>
      <c r="E112" s="518"/>
      <c r="F112" s="518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503" t="str">
        <f>+VLOOKUP(LEFT($A147,LEN(A147)-1)*1,Master!$D$25:$G$223,4,FALSE)</f>
        <v>Repayment of Guarantees</v>
      </c>
      <c r="C147" s="504"/>
      <c r="D147" s="504"/>
      <c r="E147" s="504"/>
      <c r="F147" s="504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1" t="str">
        <f>+VLOOKUP(LEFT($A149,LEN(A149)-1)*1,Master!$D$25:$G$223,4,FALSE)</f>
        <v>Surplus / deficit</v>
      </c>
      <c r="C149" s="512"/>
      <c r="D149" s="512"/>
      <c r="E149" s="512"/>
      <c r="F149" s="512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13" t="str">
        <f>+VLOOKUP(LEFT($A150,LEN(A150)-1)*1,Master!$D$25:$G$223,4,FALSE)</f>
        <v>Primary balance</v>
      </c>
      <c r="C150" s="514"/>
      <c r="D150" s="514"/>
      <c r="E150" s="514"/>
      <c r="F150" s="514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15" t="str">
        <f>+VLOOKUP(LEFT($A151,LEN(A151)-1)*1,Master!$D$25:$G$223,4,FALSE)</f>
        <v>Repayment of Debt</v>
      </c>
      <c r="C151" s="516"/>
      <c r="D151" s="516"/>
      <c r="E151" s="516"/>
      <c r="F151" s="516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09" t="str">
        <f>+VLOOKUP(LEFT($A152,LEN(A152)-1)*1,Master!$D$25:$G$223,4,FALSE)</f>
        <v>Repayment of Domestic Debt</v>
      </c>
      <c r="C152" s="510"/>
      <c r="D152" s="510"/>
      <c r="E152" s="510"/>
      <c r="F152" s="510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503" t="str">
        <f>+VLOOKUP(LEFT($A153,LEN(A153)-1)*1,Master!$D$25:$G$223,4,FALSE)</f>
        <v>Repayment of Foreign Debt</v>
      </c>
      <c r="C153" s="504"/>
      <c r="D153" s="504"/>
      <c r="E153" s="504"/>
      <c r="F153" s="504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503" t="str">
        <f>+VLOOKUP(LEFT($A154,LEN(A154)-1)*1,Master!$D$25:$G$223,4,FALSE)</f>
        <v>Repayments of Arrears</v>
      </c>
      <c r="C154" s="504"/>
      <c r="D154" s="504"/>
      <c r="E154" s="504"/>
      <c r="F154" s="504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29" t="s">
        <v>340</v>
      </c>
      <c r="C155" s="430"/>
      <c r="D155" s="430"/>
      <c r="E155" s="430"/>
      <c r="F155" s="430"/>
      <c r="G155" s="436">
        <f>+DataEx!ET377</f>
        <v>0</v>
      </c>
      <c r="H155" s="436">
        <f>+DataEx!EU377</f>
        <v>0</v>
      </c>
      <c r="I155" s="436">
        <f>+DataEx!EV377</f>
        <v>0</v>
      </c>
      <c r="J155" s="436">
        <f>+DataEx!EW377</f>
        <v>0</v>
      </c>
      <c r="K155" s="436">
        <f>+DataEx!EX377</f>
        <v>70000000</v>
      </c>
      <c r="L155" s="436">
        <f>+DataEx!EY377</f>
        <v>0</v>
      </c>
      <c r="M155" s="436">
        <f>+DataEx!EZ377</f>
        <v>0</v>
      </c>
      <c r="N155" s="436">
        <f>+DataEx!FA377</f>
        <v>0</v>
      </c>
      <c r="O155" s="436">
        <f>+DataEx!FB377</f>
        <v>0</v>
      </c>
      <c r="P155" s="436">
        <f>+DataEx!FC377</f>
        <v>0</v>
      </c>
      <c r="Q155" s="436">
        <f>+DataEx!FD377</f>
        <v>0</v>
      </c>
      <c r="R155" s="436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505" t="str">
        <f>+VLOOKUP(LEFT($A156,LEN(A156)-1)*1,Master!$D$25:$G$223,4,FALSE)</f>
        <v>Financing needs</v>
      </c>
      <c r="C156" s="506"/>
      <c r="D156" s="506"/>
      <c r="E156" s="506"/>
      <c r="F156" s="506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507" t="str">
        <f>+VLOOKUP(LEFT($A157,LEN(A157)-1)*1,Master!$D$25:$G$223,4,FALSE)</f>
        <v>Financing</v>
      </c>
      <c r="C157" s="508"/>
      <c r="D157" s="508"/>
      <c r="E157" s="508"/>
      <c r="F157" s="508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09" t="str">
        <f>+VLOOKUP(LEFT($A158,LEN(A158)-1)*1,Master!$D$25:$G$223,4,FALSE)</f>
        <v>Domestic Loans and Borrowings</v>
      </c>
      <c r="C158" s="510"/>
      <c r="D158" s="510"/>
      <c r="E158" s="510"/>
      <c r="F158" s="510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3" t="str">
        <f>+VLOOKUP(LEFT($A159,LEN(A159)-1)*1,Master!$D$25:$G$223,4,FALSE)</f>
        <v>Foreign Loans and Borrowings</v>
      </c>
      <c r="C159" s="504"/>
      <c r="D159" s="504"/>
      <c r="E159" s="504"/>
      <c r="F159" s="504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503" t="str">
        <f>+VLOOKUP(LEFT($A160,LEN(A160)-1)*1,Master!$D$25:$G$223,4,FALSE)</f>
        <v>Revenues from Selling Assets</v>
      </c>
      <c r="C160" s="504"/>
      <c r="D160" s="504"/>
      <c r="E160" s="504"/>
      <c r="F160" s="504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Increase / decrease of deposits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556" t="str">
        <f>+[1]Master!G249</f>
        <v>Ostvarenje budžeta</v>
      </c>
      <c r="C7" s="456"/>
      <c r="D7" s="456"/>
      <c r="E7" s="456"/>
      <c r="F7" s="456"/>
      <c r="G7" s="464">
        <v>2017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+[1]Master!G246</f>
        <v>BDP</v>
      </c>
      <c r="T7" s="261">
        <v>4299000000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4" t="str">
        <f>+[1]Master!G243</f>
        <v>Jan - Dec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97" t="str">
        <f>+VLOOKUP($A10,[1]Master!$D$25:$G$223,4,FALSE)</f>
        <v>Prihodi budžeta</v>
      </c>
      <c r="C10" s="498"/>
      <c r="D10" s="498"/>
      <c r="E10" s="498"/>
      <c r="F10" s="498"/>
      <c r="G10" s="422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9" t="str">
        <f>+VLOOKUP($A11,[1]Master!$D$25:$G$223,4,FALSE)</f>
        <v>Porezi</v>
      </c>
      <c r="C11" s="500"/>
      <c r="D11" s="500"/>
      <c r="E11" s="500"/>
      <c r="F11" s="500"/>
      <c r="G11" s="424">
        <f t="shared" ref="G11:R11" si="2">+SUM(G12:G18)</f>
        <v>53512170.450000003</v>
      </c>
      <c r="H11" s="423">
        <f t="shared" si="2"/>
        <v>50615120.200000003</v>
      </c>
      <c r="I11" s="423">
        <f t="shared" si="2"/>
        <v>90524246.909999996</v>
      </c>
      <c r="J11" s="423">
        <f t="shared" si="2"/>
        <v>81677988.170000002</v>
      </c>
      <c r="K11" s="423">
        <f t="shared" si="2"/>
        <v>77800336.479999989</v>
      </c>
      <c r="L11" s="423">
        <f t="shared" si="2"/>
        <v>85282444.409999996</v>
      </c>
      <c r="M11" s="423">
        <f t="shared" si="2"/>
        <v>89248400.649999991</v>
      </c>
      <c r="N11" s="423">
        <f t="shared" si="2"/>
        <v>99153787.180000007</v>
      </c>
      <c r="O11" s="423">
        <f t="shared" si="2"/>
        <v>92913520.620000005</v>
      </c>
      <c r="P11" s="423">
        <f t="shared" si="2"/>
        <v>86378572.320000008</v>
      </c>
      <c r="Q11" s="423">
        <f t="shared" si="2"/>
        <v>74654697.830000013</v>
      </c>
      <c r="R11" s="423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5" t="str">
        <f>+VLOOKUP($A12,[1]Master!$D$25:$G$223,4,FALSE)</f>
        <v>Porez na dohodak fizičkih lica</v>
      </c>
      <c r="C12" s="486"/>
      <c r="D12" s="486"/>
      <c r="E12" s="486"/>
      <c r="F12" s="486"/>
      <c r="G12" s="425">
        <v>3855468.97</v>
      </c>
      <c r="H12" s="425">
        <v>7751521.5300000003</v>
      </c>
      <c r="I12" s="425">
        <v>9093379.6300000008</v>
      </c>
      <c r="J12" s="425">
        <v>8729072.4399999995</v>
      </c>
      <c r="K12" s="425">
        <v>9825835.5299999993</v>
      </c>
      <c r="L12" s="425">
        <v>9719543.6799999997</v>
      </c>
      <c r="M12" s="425">
        <v>10577855.74</v>
      </c>
      <c r="N12" s="425">
        <v>10476522.35</v>
      </c>
      <c r="O12" s="425">
        <v>9609655.3800000008</v>
      </c>
      <c r="P12" s="425">
        <v>10226839.18</v>
      </c>
      <c r="Q12" s="425">
        <v>7670634.21</v>
      </c>
      <c r="R12" s="425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5" t="str">
        <f>+VLOOKUP($A13,[1]Master!$D$25:$G$223,4,FALSE)</f>
        <v>Porez na dobit pravnih lica</v>
      </c>
      <c r="C13" s="486"/>
      <c r="D13" s="486"/>
      <c r="E13" s="486"/>
      <c r="F13" s="486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5" t="str">
        <f>+VLOOKUP($A14,[1]Master!$D$25:$G$223,4,FALSE)</f>
        <v>Porez na promet nepokretnosti</v>
      </c>
      <c r="C14" s="486"/>
      <c r="D14" s="486"/>
      <c r="E14" s="486"/>
      <c r="F14" s="486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5" t="str">
        <f>+VLOOKUP($A15,[1]Master!$D$25:$G$223,4,FALSE)</f>
        <v>Porez na dodatu vrijednost</v>
      </c>
      <c r="C15" s="486"/>
      <c r="D15" s="486"/>
      <c r="E15" s="486"/>
      <c r="F15" s="486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5" t="str">
        <f>+VLOOKUP($A16,[1]Master!$D$25:$G$223,4,FALSE)</f>
        <v>Akcize</v>
      </c>
      <c r="C16" s="486"/>
      <c r="D16" s="486"/>
      <c r="E16" s="486"/>
      <c r="F16" s="486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5" t="str">
        <f>+VLOOKUP($A17,[1]Master!$D$25:$G$223,4,FALSE)</f>
        <v>Porez na međunarodnu trgovinu i transakcije</v>
      </c>
      <c r="C17" s="486"/>
      <c r="D17" s="486"/>
      <c r="E17" s="486"/>
      <c r="F17" s="486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5" t="str">
        <f>+VLOOKUP($A18,[1]Master!$D$25:$G$223,4,FALSE)</f>
        <v>Ostali državni porezi</v>
      </c>
      <c r="C18" s="486"/>
      <c r="D18" s="486"/>
      <c r="E18" s="486"/>
      <c r="F18" s="486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5" t="str">
        <f>+VLOOKUP($A19,[1]Master!$D$25:$G$223,4,FALSE)</f>
        <v>Doprinosi</v>
      </c>
      <c r="C19" s="496"/>
      <c r="D19" s="496"/>
      <c r="E19" s="496"/>
      <c r="F19" s="496"/>
      <c r="G19" s="426">
        <f>+INDEX([1]DataEx!$1:$1048576,MATCH('2017'!$A19,[1]DataEx!$D:$D,0),MATCH('2017'!G$6,[1]DataEx!$7:$7,0))</f>
        <v>15942566.910000002</v>
      </c>
      <c r="H19" s="426">
        <f>+INDEX([1]DataEx!$1:$1048576,MATCH('2017'!$A19,[1]DataEx!$D:$D,0),MATCH('2017'!H$6,[1]DataEx!$7:$7,0))</f>
        <v>32105522.039999999</v>
      </c>
      <c r="I19" s="426">
        <f>+INDEX([1]DataEx!$1:$1048576,MATCH('2017'!$A19,[1]DataEx!$D:$D,0),MATCH('2017'!I$6,[1]DataEx!$7:$7,0))</f>
        <v>37652066.75</v>
      </c>
      <c r="J19" s="426">
        <f>+INDEX([1]DataEx!$1:$1048576,MATCH('2017'!$A19,[1]DataEx!$D:$D,0),MATCH('2017'!J$6,[1]DataEx!$7:$7,0))</f>
        <v>35977730.460000001</v>
      </c>
      <c r="K19" s="426">
        <f>+INDEX([1]DataEx!$1:$1048576,MATCH('2017'!$A19,[1]DataEx!$D:$D,0),MATCH('2017'!K$6,[1]DataEx!$7:$7,0))</f>
        <v>40567246.729999997</v>
      </c>
      <c r="L19" s="426">
        <f>+INDEX([1]DataEx!$1:$1048576,MATCH('2017'!$A19,[1]DataEx!$D:$D,0),MATCH('2017'!L$6,[1]DataEx!$7:$7,0))</f>
        <v>40389805.469999999</v>
      </c>
      <c r="M19" s="426">
        <f>+INDEX([1]DataEx!$1:$1048576,MATCH('2017'!$A19,[1]DataEx!$D:$D,0),MATCH('2017'!M$6,[1]DataEx!$7:$7,0))</f>
        <v>44393326.049999997</v>
      </c>
      <c r="N19" s="426">
        <f>+INDEX([1]DataEx!$1:$1048576,MATCH('2017'!$A19,[1]DataEx!$D:$D,0),MATCH('2017'!N$6,[1]DataEx!$7:$7,0))</f>
        <v>43764113.43</v>
      </c>
      <c r="O19" s="426">
        <f>+INDEX([1]DataEx!$1:$1048576,MATCH('2017'!$A19,[1]DataEx!$D:$D,0),MATCH('2017'!O$6,[1]DataEx!$7:$7,0))</f>
        <v>39922755.840000004</v>
      </c>
      <c r="P19" s="426">
        <f>+INDEX([1]DataEx!$1:$1048576,MATCH('2017'!$A19,[1]DataEx!$D:$D,0),MATCH('2017'!P$6,[1]DataEx!$7:$7,0))</f>
        <v>42882136.189999998</v>
      </c>
      <c r="Q19" s="426">
        <f>+INDEX([1]DataEx!$1:$1048576,MATCH('2017'!$A19,[1]DataEx!$D:$D,0),MATCH('2017'!Q$6,[1]DataEx!$7:$7,0))</f>
        <v>43774643.869999997</v>
      </c>
      <c r="R19" s="426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5" t="str">
        <f>+VLOOKUP($A20,[1]Master!$D$25:$G$223,4,FALSE)</f>
        <v>Doprinosi za penzijsko i invalidsko osiguranje</v>
      </c>
      <c r="C20" s="486"/>
      <c r="D20" s="486"/>
      <c r="E20" s="486"/>
      <c r="F20" s="486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5" t="str">
        <f>+VLOOKUP($A21,[1]Master!$D$25:$G$223,4,FALSE)</f>
        <v>Doprinosi za zdravstveno osiguranje</v>
      </c>
      <c r="C21" s="486"/>
      <c r="D21" s="486"/>
      <c r="E21" s="486"/>
      <c r="F21" s="486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5" t="str">
        <f>+VLOOKUP($A22,[1]Master!$D$25:$G$223,4,FALSE)</f>
        <v>Doprinosi za osiguranje od nezaposlenosti</v>
      </c>
      <c r="C22" s="486"/>
      <c r="D22" s="486"/>
      <c r="E22" s="486"/>
      <c r="F22" s="486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5" t="str">
        <f>+VLOOKUP($A23,[1]Master!$D$25:$G$223,4,FALSE)</f>
        <v>Ostali doprinosi</v>
      </c>
      <c r="C23" s="486"/>
      <c r="D23" s="486"/>
      <c r="E23" s="486"/>
      <c r="F23" s="486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7" t="str">
        <f>+VLOOKUP($A24,[1]Master!$D$25:$G$223,4,FALSE)</f>
        <v>Takse</v>
      </c>
      <c r="C24" s="488"/>
      <c r="D24" s="488"/>
      <c r="E24" s="488"/>
      <c r="F24" s="488"/>
      <c r="G24" s="426">
        <v>579949.69999999995</v>
      </c>
      <c r="H24" s="426">
        <v>799058.78</v>
      </c>
      <c r="I24" s="426">
        <v>1000001.89</v>
      </c>
      <c r="J24" s="426">
        <v>900446.92</v>
      </c>
      <c r="K24" s="426">
        <v>1044119.04</v>
      </c>
      <c r="L24" s="426">
        <v>1380660.13</v>
      </c>
      <c r="M24" s="426">
        <v>1483988.38</v>
      </c>
      <c r="N24" s="426">
        <v>1598254.37</v>
      </c>
      <c r="O24" s="426">
        <v>1300121.74</v>
      </c>
      <c r="P24" s="426">
        <v>1269238.77</v>
      </c>
      <c r="Q24" s="426">
        <v>1101076.77</v>
      </c>
      <c r="R24" s="426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7" t="str">
        <f>+VLOOKUP($A25,[1]Master!$D$25:$G$223,4,FALSE)</f>
        <v>Naknade</v>
      </c>
      <c r="C25" s="488"/>
      <c r="D25" s="488"/>
      <c r="E25" s="488"/>
      <c r="F25" s="488"/>
      <c r="G25" s="426">
        <v>1745843.13</v>
      </c>
      <c r="H25" s="426">
        <v>1266650.8400000001</v>
      </c>
      <c r="I25" s="426">
        <v>1508161.35</v>
      </c>
      <c r="J25" s="426">
        <v>1901163.79</v>
      </c>
      <c r="K25" s="426">
        <v>1513570.26</v>
      </c>
      <c r="L25" s="426">
        <v>830213.16</v>
      </c>
      <c r="M25" s="426">
        <v>1705945.14</v>
      </c>
      <c r="N25" s="426">
        <v>1608311.46</v>
      </c>
      <c r="O25" s="426">
        <v>1107710.8999999999</v>
      </c>
      <c r="P25" s="426">
        <v>1997706.83</v>
      </c>
      <c r="Q25" s="426">
        <v>793640.92</v>
      </c>
      <c r="R25" s="426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7" t="str">
        <f>+VLOOKUP($A26,[1]Master!$D$25:$G$223,4,FALSE)</f>
        <v>Ostali prihodi</v>
      </c>
      <c r="C26" s="488"/>
      <c r="D26" s="488"/>
      <c r="E26" s="488"/>
      <c r="F26" s="488"/>
      <c r="G26" s="426">
        <v>1549598.76</v>
      </c>
      <c r="H26" s="426">
        <v>2362534.5499999998</v>
      </c>
      <c r="I26" s="426">
        <v>2237749.3199999998</v>
      </c>
      <c r="J26" s="426">
        <v>3537625.59</v>
      </c>
      <c r="K26" s="426">
        <v>2195275.86</v>
      </c>
      <c r="L26" s="426">
        <v>3677729.73</v>
      </c>
      <c r="M26" s="426">
        <v>5924157.2800000003</v>
      </c>
      <c r="N26" s="426">
        <v>2465692.11</v>
      </c>
      <c r="O26" s="426">
        <v>1761653.61</v>
      </c>
      <c r="P26" s="426">
        <v>3080830.83</v>
      </c>
      <c r="Q26" s="426">
        <v>1891187.54</v>
      </c>
      <c r="R26" s="426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7" t="str">
        <f>+VLOOKUP($A27,[1]Master!$D$25:$G$223,4,FALSE)</f>
        <v>Primici od otplate kredita i sredstva prenesena iz prethodne godine</v>
      </c>
      <c r="C27" s="488"/>
      <c r="D27" s="488"/>
      <c r="E27" s="488"/>
      <c r="F27" s="488"/>
      <c r="G27" s="426">
        <v>150350.67000000001</v>
      </c>
      <c r="H27" s="426">
        <v>500193.46</v>
      </c>
      <c r="I27" s="426">
        <v>126045.79</v>
      </c>
      <c r="J27" s="426">
        <v>67133.97</v>
      </c>
      <c r="K27" s="426">
        <v>340170.16</v>
      </c>
      <c r="L27" s="426">
        <v>1431878.17</v>
      </c>
      <c r="M27" s="426">
        <v>588856.99</v>
      </c>
      <c r="N27" s="426">
        <v>142813.88</v>
      </c>
      <c r="O27" s="426">
        <v>182139.62</v>
      </c>
      <c r="P27" s="426">
        <v>603855.75</v>
      </c>
      <c r="Q27" s="426">
        <v>987894.53</v>
      </c>
      <c r="R27" s="426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9" t="str">
        <f>+VLOOKUP($A28,[1]Master!$D$25:$G$223,4,FALSE)</f>
        <v>Donacije i transferi</v>
      </c>
      <c r="C28" s="490"/>
      <c r="D28" s="490"/>
      <c r="E28" s="490"/>
      <c r="F28" s="490"/>
      <c r="G28" s="426">
        <v>198902.46</v>
      </c>
      <c r="H28" s="426">
        <v>1119540.18</v>
      </c>
      <c r="I28" s="426">
        <v>2133451.14</v>
      </c>
      <c r="J28" s="426">
        <v>849572.77</v>
      </c>
      <c r="K28" s="426">
        <v>1895943.06</v>
      </c>
      <c r="L28" s="426">
        <v>1063223.94</v>
      </c>
      <c r="M28" s="426">
        <v>2617220.7200000002</v>
      </c>
      <c r="N28" s="426">
        <v>693924.15</v>
      </c>
      <c r="O28" s="426">
        <v>1500964.26</v>
      </c>
      <c r="P28" s="426">
        <v>2652981.5699999998</v>
      </c>
      <c r="Q28" s="426">
        <v>2284497.5299999998</v>
      </c>
      <c r="R28" s="426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5" t="str">
        <f>+VLOOKUP($A29,[1]Master!$D$25:$G$223,4,FALSE)</f>
        <v>Budžetki izdaci</v>
      </c>
      <c r="C29" s="476"/>
      <c r="D29" s="476"/>
      <c r="E29" s="476"/>
      <c r="F29" s="476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91" t="str">
        <f>+VLOOKUP($A30,[1]Master!$D$25:$G$223,4,FALSE)</f>
        <v>Tekući izdaci</v>
      </c>
      <c r="C30" s="492"/>
      <c r="D30" s="492"/>
      <c r="E30" s="492"/>
      <c r="F30" s="492"/>
      <c r="G30" s="427">
        <f>+G29-G49</f>
        <v>95081211.609999985</v>
      </c>
      <c r="H30" s="427">
        <f t="shared" ref="H30:R30" si="6">+H29-H49</f>
        <v>105058194.66999999</v>
      </c>
      <c r="I30" s="427">
        <f t="shared" si="6"/>
        <v>159051074.73999998</v>
      </c>
      <c r="J30" s="427">
        <f t="shared" si="6"/>
        <v>134270687.53</v>
      </c>
      <c r="K30" s="427">
        <f t="shared" si="6"/>
        <v>127056839.55</v>
      </c>
      <c r="L30" s="427">
        <f t="shared" si="6"/>
        <v>125448006.67</v>
      </c>
      <c r="M30" s="427">
        <f t="shared" si="6"/>
        <v>135015939.43000001</v>
      </c>
      <c r="N30" s="427">
        <f t="shared" si="6"/>
        <v>119078138.24000001</v>
      </c>
      <c r="O30" s="427">
        <f t="shared" si="6"/>
        <v>117563216.00999998</v>
      </c>
      <c r="P30" s="427">
        <f t="shared" si="6"/>
        <v>126782294.63000003</v>
      </c>
      <c r="Q30" s="427">
        <f t="shared" si="6"/>
        <v>119362889.43000001</v>
      </c>
      <c r="R30" s="427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3" t="str">
        <f>+VLOOKUP($A31,[1]Master!$D$25:$G$223,4,FALSE)</f>
        <v>Tekući budžetski izdaci</v>
      </c>
      <c r="C31" s="494"/>
      <c r="D31" s="494"/>
      <c r="E31" s="494"/>
      <c r="F31" s="494"/>
      <c r="G31" s="423">
        <f>+SUM(G32:G41)</f>
        <v>43671166.869999997</v>
      </c>
      <c r="H31" s="423">
        <f t="shared" ref="H31:R31" si="7">+SUM(H32:H41)</f>
        <v>48408706.909999989</v>
      </c>
      <c r="I31" s="423">
        <f t="shared" si="7"/>
        <v>96989262.820000008</v>
      </c>
      <c r="J31" s="423">
        <f t="shared" si="7"/>
        <v>70965970.75</v>
      </c>
      <c r="K31" s="423">
        <f t="shared" si="7"/>
        <v>64485987.470000006</v>
      </c>
      <c r="L31" s="423">
        <f t="shared" si="7"/>
        <v>61416603.619999997</v>
      </c>
      <c r="M31" s="423">
        <f t="shared" si="7"/>
        <v>59163591.209999993</v>
      </c>
      <c r="N31" s="423">
        <f t="shared" si="7"/>
        <v>55546071.519999996</v>
      </c>
      <c r="O31" s="423">
        <f t="shared" si="7"/>
        <v>56191213.159999996</v>
      </c>
      <c r="P31" s="423">
        <f t="shared" si="7"/>
        <v>60486450.390000001</v>
      </c>
      <c r="Q31" s="423">
        <f t="shared" si="7"/>
        <v>60535623.090000004</v>
      </c>
      <c r="R31" s="423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5" t="str">
        <f>+VLOOKUP($A32,[1]Master!$D$25:$G$223,4,FALSE)</f>
        <v>Bruto zarade i doprinosi na teret poslodavca</v>
      </c>
      <c r="C32" s="486"/>
      <c r="D32" s="486"/>
      <c r="E32" s="486"/>
      <c r="F32" s="486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5" t="str">
        <f>+VLOOKUP($A33,[1]Master!$D$25:$G$223,4,FALSE)</f>
        <v>Ostala lična primanja</v>
      </c>
      <c r="C33" s="486"/>
      <c r="D33" s="486"/>
      <c r="E33" s="486"/>
      <c r="F33" s="486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5" t="str">
        <f>+VLOOKUP($A34,[1]Master!$D$25:$G$223,4,FALSE)</f>
        <v>Rashodi za materijal</v>
      </c>
      <c r="C34" s="486"/>
      <c r="D34" s="486"/>
      <c r="E34" s="486"/>
      <c r="F34" s="486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5" t="str">
        <f>+VLOOKUP($A35,[1]Master!$D$25:$G$223,4,FALSE)</f>
        <v>Rashodi za usluge</v>
      </c>
      <c r="C35" s="486"/>
      <c r="D35" s="486"/>
      <c r="E35" s="486"/>
      <c r="F35" s="486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5" t="str">
        <f>+VLOOKUP($A36,[1]Master!$D$25:$G$223,4,FALSE)</f>
        <v>Rashodi za tekuće održavanje</v>
      </c>
      <c r="C36" s="486"/>
      <c r="D36" s="486"/>
      <c r="E36" s="486"/>
      <c r="F36" s="486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5" t="str">
        <f>+VLOOKUP($A37,[1]Master!$D$25:$G$223,4,FALSE)</f>
        <v>Kamate</v>
      </c>
      <c r="C37" s="486"/>
      <c r="D37" s="486"/>
      <c r="E37" s="486"/>
      <c r="F37" s="486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5" t="str">
        <f>+VLOOKUP($A38,[1]Master!$D$25:$G$223,4,FALSE)</f>
        <v>Renta</v>
      </c>
      <c r="C38" s="486"/>
      <c r="D38" s="486"/>
      <c r="E38" s="486"/>
      <c r="F38" s="486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5" t="str">
        <f>+VLOOKUP($A39,[1]Master!$D$25:$G$223,4,FALSE)</f>
        <v>Subvencije</v>
      </c>
      <c r="C39" s="486"/>
      <c r="D39" s="486"/>
      <c r="E39" s="486"/>
      <c r="F39" s="486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5" t="str">
        <f>+VLOOKUP($A40,[1]Master!$D$25:$G$223,4,FALSE)</f>
        <v>Ostali izdaci</v>
      </c>
      <c r="C40" s="486"/>
      <c r="D40" s="486"/>
      <c r="E40" s="486"/>
      <c r="F40" s="486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5" t="str">
        <f>+VLOOKUP($A41,[1]Master!$D$25:$G$223,4,FALSE)</f>
        <v>Kapitalni izdaci u tekućem budžetu</v>
      </c>
      <c r="C41" s="486"/>
      <c r="D41" s="486"/>
      <c r="E41" s="486"/>
      <c r="F41" s="486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1" t="str">
        <f>+VLOOKUP($A42,[1]Master!$D$25:$G$223,4,FALSE)</f>
        <v>Transferi za socijalnu zaštitu</v>
      </c>
      <c r="C42" s="482"/>
      <c r="D42" s="482"/>
      <c r="E42" s="482"/>
      <c r="F42" s="482"/>
      <c r="G42" s="426">
        <f>+SUM(G43:G47)</f>
        <v>43853641.199999996</v>
      </c>
      <c r="H42" s="426">
        <f t="shared" ref="H42:R42" si="8">+SUM(H43:H47)</f>
        <v>46694958.479999997</v>
      </c>
      <c r="I42" s="426">
        <f t="shared" si="8"/>
        <v>46060225.379999995</v>
      </c>
      <c r="J42" s="426">
        <f t="shared" si="8"/>
        <v>45239884.829999998</v>
      </c>
      <c r="K42" s="426">
        <f t="shared" si="8"/>
        <v>45683297.689999998</v>
      </c>
      <c r="L42" s="426">
        <f t="shared" si="8"/>
        <v>45402922.969999999</v>
      </c>
      <c r="M42" s="426">
        <f t="shared" si="8"/>
        <v>45267241.289999999</v>
      </c>
      <c r="N42" s="426">
        <f t="shared" si="8"/>
        <v>42270056.32</v>
      </c>
      <c r="O42" s="426">
        <f t="shared" si="8"/>
        <v>44046758.639999993</v>
      </c>
      <c r="P42" s="426">
        <f t="shared" si="8"/>
        <v>44748876.500000007</v>
      </c>
      <c r="Q42" s="426">
        <f t="shared" si="8"/>
        <v>43633580.93999999</v>
      </c>
      <c r="R42" s="426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5" t="str">
        <f>+VLOOKUP($A43,[1]Master!$D$25:$G$223,4,FALSE)</f>
        <v>Prava iz oblasti socijalne zaštite</v>
      </c>
      <c r="C43" s="486"/>
      <c r="D43" s="486"/>
      <c r="E43" s="486"/>
      <c r="F43" s="486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5" t="str">
        <f>+VLOOKUP($A44,[1]Master!$D$25:$G$223,4,FALSE)</f>
        <v>Sredstva za tehnološke viškove</v>
      </c>
      <c r="C44" s="486"/>
      <c r="D44" s="486"/>
      <c r="E44" s="486"/>
      <c r="F44" s="486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5" t="str">
        <f>+VLOOKUP($A45,[1]Master!$D$25:$G$223,4,FALSE)</f>
        <v>Prava iz oblasti penzijskog i invalidskog osiguranja</v>
      </c>
      <c r="C45" s="486"/>
      <c r="D45" s="486"/>
      <c r="E45" s="486"/>
      <c r="F45" s="486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5" t="str">
        <f>+VLOOKUP($A46,[1]Master!$D$25:$G$223,4,FALSE)</f>
        <v>Ostala prava iz oblasti zdravstvene zaštite</v>
      </c>
      <c r="C46" s="486"/>
      <c r="D46" s="486"/>
      <c r="E46" s="486"/>
      <c r="F46" s="486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5" t="str">
        <f>+VLOOKUP($A47,[1]Master!$D$25:$G$223,4,FALSE)</f>
        <v>Ostala prava iz zdravstvenog osiguranja</v>
      </c>
      <c r="C47" s="486"/>
      <c r="D47" s="486"/>
      <c r="E47" s="486"/>
      <c r="F47" s="486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3" t="str">
        <f>+VLOOKUP($A48,[1]Master!$D$25:$G$223,4,FALSE)</f>
        <v xml:space="preserve">Transferi institucijama, pojedincima, nevladinom i javnom sektoru </v>
      </c>
      <c r="C48" s="484"/>
      <c r="D48" s="484"/>
      <c r="E48" s="484"/>
      <c r="F48" s="484"/>
      <c r="G48" s="426">
        <v>5367351.82</v>
      </c>
      <c r="H48" s="426">
        <v>7878426.2999999998</v>
      </c>
      <c r="I48" s="426">
        <v>12624632.02</v>
      </c>
      <c r="J48" s="426">
        <v>15717196.880000001</v>
      </c>
      <c r="K48" s="426">
        <v>10712461.529999999</v>
      </c>
      <c r="L48" s="426">
        <v>13588572.92</v>
      </c>
      <c r="M48" s="426">
        <v>17165199.760000002</v>
      </c>
      <c r="N48" s="426">
        <v>15793377.119999999</v>
      </c>
      <c r="O48" s="426">
        <v>13743974.02</v>
      </c>
      <c r="P48" s="426">
        <v>13251144.24</v>
      </c>
      <c r="Q48" s="426">
        <v>11142113.050000001</v>
      </c>
      <c r="R48" s="426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3" t="str">
        <f>+VLOOKUP($A49,[1]Master!$D$25:$G$223,4,FALSE)</f>
        <v>Kapitalni budžet</v>
      </c>
      <c r="C49" s="484"/>
      <c r="D49" s="484"/>
      <c r="E49" s="484"/>
      <c r="F49" s="484"/>
      <c r="G49" s="426">
        <v>109644.44</v>
      </c>
      <c r="H49" s="426">
        <v>1491590.34</v>
      </c>
      <c r="I49" s="426">
        <v>7362820.4900000002</v>
      </c>
      <c r="J49" s="426">
        <v>6918517.2599999998</v>
      </c>
      <c r="K49" s="426">
        <v>2511744.17</v>
      </c>
      <c r="L49" s="426">
        <v>22683622.390000001</v>
      </c>
      <c r="M49" s="426">
        <v>10754440.220000001</v>
      </c>
      <c r="N49" s="426">
        <v>29296079.120000001</v>
      </c>
      <c r="O49" s="426">
        <v>19940301.670000002</v>
      </c>
      <c r="P49" s="426">
        <v>29993285.289999999</v>
      </c>
      <c r="Q49" s="426">
        <v>37935759.630000003</v>
      </c>
      <c r="R49" s="426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3" t="str">
        <f>+VLOOKUP($A50,[1]Master!$D$25:$G$223,4,FALSE)</f>
        <v>Pozajmice i krediti</v>
      </c>
      <c r="C50" s="454"/>
      <c r="D50" s="454"/>
      <c r="E50" s="454"/>
      <c r="F50" s="454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3" t="str">
        <f>+VLOOKUP($A51,[1]Master!$D$25:$G$223,4,FALSE)</f>
        <v>Rezerve</v>
      </c>
      <c r="C51" s="454"/>
      <c r="D51" s="454"/>
      <c r="E51" s="454"/>
      <c r="F51" s="454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1" t="str">
        <f>+VLOOKUP($A52,[1]Master!$D$25:$G$223,4,FALSE)</f>
        <v>Otplata garancija</v>
      </c>
      <c r="C52" s="472"/>
      <c r="D52" s="472"/>
      <c r="E52" s="472"/>
      <c r="F52" s="472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1" t="str">
        <f>+VLOOKUP($A53,[1]Master!$D$25:$G$223,4,TRUE)</f>
        <v>Otplata obaveza iz prethodnih godina</v>
      </c>
      <c r="C53" s="472"/>
      <c r="D53" s="472"/>
      <c r="E53" s="472"/>
      <c r="F53" s="472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7" t="str">
        <f>+VLOOKUP($A54,[1]Master!$D$25:$G$225,4,FALSE)</f>
        <v>Neto povećanje obaveza</v>
      </c>
      <c r="C54" s="558"/>
      <c r="D54" s="558"/>
      <c r="E54" s="558"/>
      <c r="F54" s="558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7" t="str">
        <f>+VLOOKUP($A55,[1]Master!$D$25:$G$223,4,FALSE)</f>
        <v>Suficit / deficit</v>
      </c>
      <c r="C55" s="478"/>
      <c r="D55" s="478"/>
      <c r="E55" s="478"/>
      <c r="F55" s="478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41" t="s">
        <v>778</v>
      </c>
      <c r="C56" s="442"/>
      <c r="D56" s="442"/>
      <c r="E56" s="442"/>
      <c r="F56" s="442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79" t="str">
        <f>+VLOOKUP($A57,[1]Master!$D$25:$G$223,4,FALSE)</f>
        <v>Primarni bilans</v>
      </c>
      <c r="C57" s="480"/>
      <c r="D57" s="480"/>
      <c r="E57" s="480"/>
      <c r="F57" s="480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1" t="str">
        <f>+VLOOKUP($A58,[1]Master!$D$25:$G$223,4,FALSE)</f>
        <v>Otplata dugova</v>
      </c>
      <c r="C58" s="482"/>
      <c r="D58" s="482"/>
      <c r="E58" s="482"/>
      <c r="F58" s="482"/>
      <c r="G58" s="428">
        <f t="shared" ref="G58:R58" si="12">+SUM(G59:G60)</f>
        <v>18311638.189999998</v>
      </c>
      <c r="H58" s="428">
        <f t="shared" si="12"/>
        <v>42352594.400000006</v>
      </c>
      <c r="I58" s="428">
        <f t="shared" si="12"/>
        <v>36492059.539999999</v>
      </c>
      <c r="J58" s="428">
        <f t="shared" si="12"/>
        <v>65432249.010000005</v>
      </c>
      <c r="K58" s="428">
        <f t="shared" si="12"/>
        <v>6070178.8200000003</v>
      </c>
      <c r="L58" s="428">
        <f t="shared" si="12"/>
        <v>29898962.890000001</v>
      </c>
      <c r="M58" s="428">
        <f t="shared" si="12"/>
        <v>35563936.18</v>
      </c>
      <c r="N58" s="428">
        <f t="shared" si="12"/>
        <v>68410518.010000005</v>
      </c>
      <c r="O58" s="428">
        <f t="shared" si="12"/>
        <v>13074495.76</v>
      </c>
      <c r="P58" s="428">
        <f t="shared" si="12"/>
        <v>7199515.9700000007</v>
      </c>
      <c r="Q58" s="428">
        <f t="shared" si="12"/>
        <v>7022219.0999999996</v>
      </c>
      <c r="R58" s="428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69" t="str">
        <f>+VLOOKUP($A59,[1]Master!$D$25:$G$223,4,FALSE)</f>
        <v>Otplata hartija od vrijednosti i kredita rezidentima</v>
      </c>
      <c r="C59" s="470"/>
      <c r="D59" s="470"/>
      <c r="E59" s="470"/>
      <c r="F59" s="470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3" t="str">
        <f>+VLOOKUP($A60,[1]Master!$D$25:$G$223,4,FALSE)</f>
        <v>Otplata hartija od vrijednosti i kredita nerezidentima</v>
      </c>
      <c r="C60" s="454"/>
      <c r="D60" s="454"/>
      <c r="E60" s="454"/>
      <c r="F60" s="454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3" t="str">
        <f>+VLOOKUP($A61,[1]Master!$D$25:$G$223,4,FALSE)</f>
        <v>Nedostajuća sredstva</v>
      </c>
      <c r="C61" s="474"/>
      <c r="D61" s="474"/>
      <c r="E61" s="474"/>
      <c r="F61" s="474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5" t="str">
        <f>+VLOOKUP($A62,[1]Master!$D$25:$G$223,4,FALSE)</f>
        <v>Finansiranje</v>
      </c>
      <c r="C62" s="476"/>
      <c r="D62" s="476"/>
      <c r="E62" s="476"/>
      <c r="F62" s="476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69" t="str">
        <f>+VLOOKUP($A63,[1]Master!$D$25:$G$223,4,FALSE)</f>
        <v>Pozajmice i krediti od domaćih izvora</v>
      </c>
      <c r="C63" s="470"/>
      <c r="D63" s="470"/>
      <c r="E63" s="470"/>
      <c r="F63" s="470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3" t="str">
        <f>+VLOOKUP($A64,[1]Master!$D$25:$G$223,4,FALSE)</f>
        <v>Pozajmice i krediti od inostranih izvora</v>
      </c>
      <c r="C64" s="454"/>
      <c r="D64" s="454"/>
      <c r="E64" s="454"/>
      <c r="F64" s="454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3" t="str">
        <f>+VLOOKUP($A65,[1]Master!$D$25:$G$223,4,FALSE)</f>
        <v>Primici od prodaje imovine</v>
      </c>
      <c r="C65" s="454"/>
      <c r="D65" s="454"/>
      <c r="E65" s="454"/>
      <c r="F65" s="454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7" t="str">
        <f>+[1]Master!G250</f>
        <v>Plan ostvarenja budžeta</v>
      </c>
      <c r="C102" s="538"/>
      <c r="D102" s="538"/>
      <c r="E102" s="538"/>
      <c r="F102" s="538"/>
      <c r="G102" s="531">
        <v>2017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BDP</v>
      </c>
      <c r="T102" s="116">
        <f>+T7</f>
        <v>4299000000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1" t="str">
        <f>+[1]Master!G244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+VLOOKUP(LEFT($A105,LEN(A105)-1)*1,[1]Master!$D$25:$G$223,4,FALSE)</f>
        <v>Prihodi budžeta</v>
      </c>
      <c r="C105" s="534"/>
      <c r="D105" s="534"/>
      <c r="E105" s="534"/>
      <c r="F105" s="534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5" t="str">
        <f>+VLOOKUP(LEFT($A106,LEN(A106)-1)*1,[1]Master!$D$25:$G$223,4,FALSE)</f>
        <v>Porezi</v>
      </c>
      <c r="C106" s="536"/>
      <c r="D106" s="536"/>
      <c r="E106" s="536"/>
      <c r="F106" s="536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7" t="str">
        <f>+VLOOKUP(LEFT($A107,LEN(A107)-1)*1,[1]Master!$D$25:$G$223,4,FALSE)</f>
        <v>Porez na dohodak fizičkih lica</v>
      </c>
      <c r="C107" s="518"/>
      <c r="D107" s="518"/>
      <c r="E107" s="518"/>
      <c r="F107" s="518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7" t="str">
        <f>+VLOOKUP(LEFT($A108,LEN(A108)-1)*1,[1]Master!$D$25:$G$223,4,FALSE)</f>
        <v>Porez na dobit pravnih lica</v>
      </c>
      <c r="C108" s="518"/>
      <c r="D108" s="518"/>
      <c r="E108" s="518"/>
      <c r="F108" s="518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7" t="str">
        <f>+VLOOKUP(LEFT($A109,LEN(A109)-1)*1,[1]Master!$D$25:$G$223,4,FALSE)</f>
        <v>Porez na promet nepokretnosti</v>
      </c>
      <c r="C109" s="518"/>
      <c r="D109" s="518"/>
      <c r="E109" s="518"/>
      <c r="F109" s="518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7" t="str">
        <f>+VLOOKUP(LEFT($A110,LEN(A110)-1)*1,[1]Master!$D$25:$G$223,4,FALSE)</f>
        <v>Porez na dodatu vrijednost</v>
      </c>
      <c r="C110" s="518"/>
      <c r="D110" s="518"/>
      <c r="E110" s="518"/>
      <c r="F110" s="518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7" t="str">
        <f>+VLOOKUP(LEFT($A111,LEN(A111)-1)*1,[1]Master!$D$25:$G$223,4,FALSE)</f>
        <v>Akcize</v>
      </c>
      <c r="C111" s="518"/>
      <c r="D111" s="518"/>
      <c r="E111" s="518"/>
      <c r="F111" s="518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7" t="str">
        <f>+VLOOKUP(LEFT($A112,LEN(A112)-1)*1,[1]Master!$D$25:$G$223,4,FALSE)</f>
        <v>Porez na međunarodnu trgovinu i transakcije</v>
      </c>
      <c r="C112" s="518"/>
      <c r="D112" s="518"/>
      <c r="E112" s="518"/>
      <c r="F112" s="518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7" t="str">
        <f>+VLOOKUP(LEFT($A113,LEN(A113)-1)*1,[1]Master!$D$25:$G$223,4,FALSE)</f>
        <v>Ostali državni porezi</v>
      </c>
      <c r="C113" s="518"/>
      <c r="D113" s="518"/>
      <c r="E113" s="518"/>
      <c r="F113" s="518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29" t="str">
        <f>+VLOOKUP(LEFT($A114,LEN(A114)-1)*1,[1]Master!$D$25:$G$223,4,FALSE)</f>
        <v>Doprinosi</v>
      </c>
      <c r="C114" s="530"/>
      <c r="D114" s="530"/>
      <c r="E114" s="530"/>
      <c r="F114" s="530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7" t="str">
        <f>+VLOOKUP(LEFT($A115,LEN(A115)-1)*1,[1]Master!$D$25:$G$223,4,FALSE)</f>
        <v>Doprinosi za penzijsko i invalidsko osiguranje</v>
      </c>
      <c r="C115" s="518"/>
      <c r="D115" s="518"/>
      <c r="E115" s="518"/>
      <c r="F115" s="518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7" t="str">
        <f>+VLOOKUP(LEFT($A116,LEN(A116)-1)*1,[1]Master!$D$25:$G$223,4,FALSE)</f>
        <v>Doprinosi za zdravstveno osiguranje</v>
      </c>
      <c r="C116" s="518"/>
      <c r="D116" s="518"/>
      <c r="E116" s="518"/>
      <c r="F116" s="518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7" t="str">
        <f>+VLOOKUP(LEFT($A117,LEN(A117)-1)*1,[1]Master!$D$25:$G$223,4,FALSE)</f>
        <v>Doprinosi za osiguranje od nezaposlenosti</v>
      </c>
      <c r="C117" s="518"/>
      <c r="D117" s="518"/>
      <c r="E117" s="518"/>
      <c r="F117" s="518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7" t="str">
        <f>+VLOOKUP(LEFT($A118,LEN(A118)-1)*1,[1]Master!$D$25:$G$223,4,FALSE)</f>
        <v>Ostali doprinosi</v>
      </c>
      <c r="C118" s="518"/>
      <c r="D118" s="518"/>
      <c r="E118" s="518"/>
      <c r="F118" s="518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1" t="str">
        <f>+VLOOKUP(LEFT($A119,LEN(A119)-1)*1,[1]Master!$D$25:$G$223,4,FALSE)</f>
        <v>Takse</v>
      </c>
      <c r="C119" s="522"/>
      <c r="D119" s="522"/>
      <c r="E119" s="522"/>
      <c r="F119" s="522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1" t="str">
        <f>+VLOOKUP(LEFT($A120,LEN(A120)-1)*1,[1]Master!$D$25:$G$223,4,FALSE)</f>
        <v>Naknade</v>
      </c>
      <c r="C120" s="522"/>
      <c r="D120" s="522"/>
      <c r="E120" s="522"/>
      <c r="F120" s="522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1" t="str">
        <f>+VLOOKUP(LEFT($A121,LEN(A121)-1)*1,[1]Master!$D$25:$G$223,4,FALSE)</f>
        <v>Ostali prihodi</v>
      </c>
      <c r="C121" s="522"/>
      <c r="D121" s="522"/>
      <c r="E121" s="522"/>
      <c r="F121" s="522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1" t="str">
        <f>+VLOOKUP(LEFT($A122,LEN(A122)-1)*1,[1]Master!$D$25:$G$223,4,FALSE)</f>
        <v>Primici od otplate kredita i sredstva prenesena iz prethodne godine</v>
      </c>
      <c r="C122" s="522"/>
      <c r="D122" s="522"/>
      <c r="E122" s="522"/>
      <c r="F122" s="522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3" t="str">
        <f>+VLOOKUP(LEFT($A123,LEN(A123)-1)*1,[1]Master!$D$25:$G$223,4,FALSE)</f>
        <v>Donacije i transferi</v>
      </c>
      <c r="C123" s="524"/>
      <c r="D123" s="524"/>
      <c r="E123" s="524"/>
      <c r="F123" s="524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7" t="str">
        <f>+VLOOKUP(LEFT($A124,LEN(A124)-1)*1,[1]Master!$D$25:$G$223,4,FALSE)</f>
        <v>Budžetki izdaci</v>
      </c>
      <c r="C124" s="508"/>
      <c r="D124" s="508"/>
      <c r="E124" s="508"/>
      <c r="F124" s="508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5" t="str">
        <f>+VLOOKUP(LEFT($A125,LEN(A125)-1)*1,[1]Master!$D$25:$G$223,4,FALSE)</f>
        <v>Tekući izdaci</v>
      </c>
      <c r="C125" s="526"/>
      <c r="D125" s="526"/>
      <c r="E125" s="526"/>
      <c r="F125" s="526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7" t="str">
        <f>+VLOOKUP(LEFT($A126,LEN(A126)-1)*1,[1]Master!$D$25:$G$223,4,FALSE)</f>
        <v>Tekući budžetski izdaci</v>
      </c>
      <c r="C126" s="528"/>
      <c r="D126" s="528"/>
      <c r="E126" s="528"/>
      <c r="F126" s="528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7" t="str">
        <f>+VLOOKUP(LEFT($A127,LEN(A127)-1)*1,[1]Master!$D$25:$G$223,4,FALSE)</f>
        <v>Bruto zarade i doprinosi na teret poslodavca</v>
      </c>
      <c r="C127" s="518"/>
      <c r="D127" s="518"/>
      <c r="E127" s="518"/>
      <c r="F127" s="518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7" t="str">
        <f>+VLOOKUP(LEFT($A128,LEN(A128)-1)*1,[1]Master!$D$25:$G$223,4,FALSE)</f>
        <v>Ostala lična primanja</v>
      </c>
      <c r="C128" s="518"/>
      <c r="D128" s="518"/>
      <c r="E128" s="518"/>
      <c r="F128" s="518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7" t="str">
        <f>+VLOOKUP(LEFT($A129,LEN(A129)-1)*1,[1]Master!$D$25:$G$223,4,FALSE)</f>
        <v>Rashodi za materijal</v>
      </c>
      <c r="C129" s="518"/>
      <c r="D129" s="518"/>
      <c r="E129" s="518"/>
      <c r="F129" s="518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7" t="str">
        <f>+VLOOKUP(LEFT($A130,LEN(A130)-1)*1,[1]Master!$D$25:$G$223,4,FALSE)</f>
        <v>Rashodi za usluge</v>
      </c>
      <c r="C130" s="518"/>
      <c r="D130" s="518"/>
      <c r="E130" s="518"/>
      <c r="F130" s="518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7" t="str">
        <f>+VLOOKUP(LEFT($A131,LEN(A131)-1)*1,[1]Master!$D$25:$G$223,4,FALSE)</f>
        <v>Rashodi za tekuće održavanje</v>
      </c>
      <c r="C131" s="518"/>
      <c r="D131" s="518"/>
      <c r="E131" s="518"/>
      <c r="F131" s="518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7" t="str">
        <f>+VLOOKUP(LEFT($A132,LEN(A132)-1)*1,[1]Master!$D$25:$G$223,4,FALSE)</f>
        <v>Kamate</v>
      </c>
      <c r="C132" s="518"/>
      <c r="D132" s="518"/>
      <c r="E132" s="518"/>
      <c r="F132" s="518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7" t="str">
        <f>+VLOOKUP(LEFT($A133,LEN(A133)-1)*1,[1]Master!$D$25:$G$223,4,FALSE)</f>
        <v>Renta</v>
      </c>
      <c r="C133" s="518"/>
      <c r="D133" s="518"/>
      <c r="E133" s="518"/>
      <c r="F133" s="518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7" t="str">
        <f>+VLOOKUP(LEFT($A134,LEN(A134)-1)*1,[1]Master!$D$25:$G$223,4,FALSE)</f>
        <v>Subvencije</v>
      </c>
      <c r="C134" s="518"/>
      <c r="D134" s="518"/>
      <c r="E134" s="518"/>
      <c r="F134" s="518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7" t="str">
        <f>+VLOOKUP(LEFT($A135,LEN(A135)-1)*1,[1]Master!$D$25:$G$223,4,FALSE)</f>
        <v>Ostali izdaci</v>
      </c>
      <c r="C135" s="518"/>
      <c r="D135" s="518"/>
      <c r="E135" s="518"/>
      <c r="F135" s="518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7" t="str">
        <f>+VLOOKUP(LEFT($A136,LEN(A136)-1)*1,[1]Master!$D$25:$G$223,4,FALSE)</f>
        <v>Kapitalni izdaci u tekućem budžetu</v>
      </c>
      <c r="C136" s="518"/>
      <c r="D136" s="518"/>
      <c r="E136" s="518"/>
      <c r="F136" s="518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5" t="str">
        <f>+VLOOKUP(LEFT($A137,LEN(A137)-1)*1,[1]Master!$D$25:$G$223,4,FALSE)</f>
        <v>Transferi za socijalnu zaštitu</v>
      </c>
      <c r="C137" s="516"/>
      <c r="D137" s="516"/>
      <c r="E137" s="516"/>
      <c r="F137" s="516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7" t="str">
        <f>+VLOOKUP(LEFT($A138,LEN(A138)-1)*1,[1]Master!$D$25:$G$223,4,FALSE)</f>
        <v>Prava iz oblasti socijalne zaštite</v>
      </c>
      <c r="C138" s="518"/>
      <c r="D138" s="518"/>
      <c r="E138" s="518"/>
      <c r="F138" s="518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7" t="str">
        <f>+VLOOKUP(LEFT($A139,LEN(A139)-1)*1,[1]Master!$D$25:$G$223,4,FALSE)</f>
        <v>Sredstva za tehnološke viškove</v>
      </c>
      <c r="C139" s="518"/>
      <c r="D139" s="518"/>
      <c r="E139" s="518"/>
      <c r="F139" s="518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7" t="str">
        <f>+VLOOKUP(LEFT($A140,LEN(A140)-1)*1,[1]Master!$D$25:$G$223,4,FALSE)</f>
        <v>Prava iz oblasti penzijskog i invalidskog osiguranja</v>
      </c>
      <c r="C140" s="518"/>
      <c r="D140" s="518"/>
      <c r="E140" s="518"/>
      <c r="F140" s="518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7" t="str">
        <f>+VLOOKUP(LEFT($A141,LEN(A141)-1)*1,[1]Master!$D$25:$G$223,4,FALSE)</f>
        <v>Ostala prava iz oblasti zdravstvene zaštite</v>
      </c>
      <c r="C141" s="518"/>
      <c r="D141" s="518"/>
      <c r="E141" s="518"/>
      <c r="F141" s="518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7" t="str">
        <f>+VLOOKUP(LEFT($A142,LEN(A142)-1)*1,[1]Master!$D$25:$G$223,4,FALSE)</f>
        <v>Ostala prava iz zdravstvenog osiguranja</v>
      </c>
      <c r="C142" s="518"/>
      <c r="D142" s="518"/>
      <c r="E142" s="518"/>
      <c r="F142" s="518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19" t="str">
        <f>+VLOOKUP(LEFT($A143,LEN(A143)-1)*1,[1]Master!$D$25:$G$223,4,FALSE)</f>
        <v xml:space="preserve">Transferi institucijama, pojedincima, nevladinom i javnom sektoru </v>
      </c>
      <c r="C143" s="520"/>
      <c r="D143" s="520"/>
      <c r="E143" s="520"/>
      <c r="F143" s="520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19" t="str">
        <f>+VLOOKUP(LEFT($A144,LEN(A144)-1)*1,[1]Master!$D$25:$G$223,4,FALSE)</f>
        <v>Kapitalni budžet</v>
      </c>
      <c r="C144" s="520"/>
      <c r="D144" s="520"/>
      <c r="E144" s="520"/>
      <c r="F144" s="520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3" t="str">
        <f>+VLOOKUP(LEFT($A145,LEN(A145)-1)*1,[1]Master!$D$25:$G$223,4,FALSE)</f>
        <v>Pozajmice i krediti</v>
      </c>
      <c r="C145" s="504"/>
      <c r="D145" s="504"/>
      <c r="E145" s="504"/>
      <c r="F145" s="504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3" t="str">
        <f>+VLOOKUP(LEFT($A146,LEN(A146)-1)*1,[1]Master!$D$25:$G$223,4,FALSE)</f>
        <v>Rezerve</v>
      </c>
      <c r="C146" s="504"/>
      <c r="D146" s="504"/>
      <c r="E146" s="504"/>
      <c r="F146" s="504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3" t="str">
        <f>+VLOOKUP(LEFT($A147,LEN(A147)-1)*1,[1]Master!$D$25:$G$223,4,FALSE)</f>
        <v>Otplata garancija</v>
      </c>
      <c r="C147" s="504"/>
      <c r="D147" s="504"/>
      <c r="E147" s="504"/>
      <c r="F147" s="504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20" t="s">
        <v>699</v>
      </c>
      <c r="C148" s="421"/>
      <c r="D148" s="421"/>
      <c r="E148" s="421"/>
      <c r="F148" s="421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1" t="str">
        <f>+VLOOKUP(LEFT($A149,LEN(A149)-1)*1,[1]Master!$D$25:$G$223,4,FALSE)</f>
        <v>Suficit / deficit</v>
      </c>
      <c r="C149" s="512"/>
      <c r="D149" s="512"/>
      <c r="E149" s="512"/>
      <c r="F149" s="512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3" t="str">
        <f>+VLOOKUP(LEFT($A150,LEN(A150)-1)*1,[1]Master!$D$25:$G$223,4,FALSE)</f>
        <v>Primarni bilans</v>
      </c>
      <c r="C150" s="514"/>
      <c r="D150" s="514"/>
      <c r="E150" s="514"/>
      <c r="F150" s="514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5" t="str">
        <f>+VLOOKUP(LEFT($A151,LEN(A151)-1)*1,[1]Master!$D$25:$G$223,4,FALSE)</f>
        <v>Otplata dugova</v>
      </c>
      <c r="C151" s="516"/>
      <c r="D151" s="516"/>
      <c r="E151" s="516"/>
      <c r="F151" s="516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9" t="str">
        <f>+VLOOKUP(LEFT($A152,LEN(A152)-1)*1,[1]Master!$D$25:$G$223,4,FALSE)</f>
        <v>Otplata hartija od vrijednosti i kredita rezidentima</v>
      </c>
      <c r="C152" s="510"/>
      <c r="D152" s="510"/>
      <c r="E152" s="510"/>
      <c r="F152" s="510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3" t="str">
        <f>+VLOOKUP(LEFT($A153,LEN(A153)-1)*1,[1]Master!$D$25:$G$223,4,FALSE)</f>
        <v>Otplata hartija od vrijednosti i kredita nerezidentima</v>
      </c>
      <c r="C153" s="504"/>
      <c r="D153" s="504"/>
      <c r="E153" s="504"/>
      <c r="F153" s="504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7" t="str">
        <f>+VLOOKUP(LEFT($A154,LEN(A154)-1)*1,[1]Master!$D$25:$G$223,4,FALSE)</f>
        <v>Otplata obaveza iz prethodnih godina</v>
      </c>
      <c r="C154" s="558"/>
      <c r="D154" s="558"/>
      <c r="E154" s="558"/>
      <c r="F154" s="558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5" t="str">
        <f>+VLOOKUP(LEFT($A155,LEN(A155)-1)*1,[1]Master!$D$25:$G$223,4,FALSE)</f>
        <v>Nedostajuća sredstva</v>
      </c>
      <c r="C155" s="506"/>
      <c r="D155" s="506"/>
      <c r="E155" s="506"/>
      <c r="F155" s="506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7" t="str">
        <f>+VLOOKUP(LEFT($A156,LEN(A156)-1)*1,[1]Master!$D$25:$G$223,4,FALSE)</f>
        <v>Finansiranje</v>
      </c>
      <c r="C156" s="508"/>
      <c r="D156" s="508"/>
      <c r="E156" s="508"/>
      <c r="F156" s="508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9" t="str">
        <f>+VLOOKUP(LEFT($A157,LEN(A157)-1)*1,[1]Master!$D$25:$G$223,4,FALSE)</f>
        <v>Pozajmice i krediti od domaćih izvora</v>
      </c>
      <c r="C157" s="510"/>
      <c r="D157" s="510"/>
      <c r="E157" s="510"/>
      <c r="F157" s="510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3" t="str">
        <f>+VLOOKUP(LEFT($A158,LEN(A158)-1)*1,[1]Master!$D$25:$G$223,4,FALSE)</f>
        <v>Pozajmice i krediti od inostranih izvora</v>
      </c>
      <c r="C158" s="504"/>
      <c r="D158" s="504"/>
      <c r="E158" s="504"/>
      <c r="F158" s="504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3" t="str">
        <f>+VLOOKUP(LEFT($A159,LEN(A159)-1)*1,[1]Master!$D$25:$G$223,4,FALSE)</f>
        <v>Primici od prodaje imovine</v>
      </c>
      <c r="C159" s="504"/>
      <c r="D159" s="504"/>
      <c r="E159" s="504"/>
      <c r="F159" s="504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V5" sqref="V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2016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3954200000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tr">
        <f>+Master!G243</f>
        <v>Jan - Nov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1" t="str">
        <f>+VLOOKUP($A53,Master!$D$25:$G$223,4,TRUE)</f>
        <v>Repayments of Arrears</v>
      </c>
      <c r="C53" s="472"/>
      <c r="D53" s="472"/>
      <c r="E53" s="472"/>
      <c r="F53" s="472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7" t="str">
        <f>+VLOOKUP($A54,Master!$D$25:$G$225,4,FALSE)</f>
        <v>Net increase of liabilities</v>
      </c>
      <c r="C54" s="558"/>
      <c r="D54" s="558"/>
      <c r="E54" s="558"/>
      <c r="F54" s="558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1" t="s">
        <v>778</v>
      </c>
      <c r="C56" s="442"/>
      <c r="D56" s="442"/>
      <c r="E56" s="442"/>
      <c r="F56" s="442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9" t="str">
        <f>+VLOOKUP($A57,Master!$D$25:$G$223,4,FALSE)</f>
        <v>Primary balance</v>
      </c>
      <c r="C57" s="480"/>
      <c r="D57" s="480"/>
      <c r="E57" s="480"/>
      <c r="F57" s="480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1" t="str">
        <f>+VLOOKUP($A58,Master!$D$25:$G$223,4,FALSE)</f>
        <v>Repayment of Debt</v>
      </c>
      <c r="C58" s="482"/>
      <c r="D58" s="482"/>
      <c r="E58" s="482"/>
      <c r="F58" s="482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9" t="str">
        <f>+VLOOKUP($A59,Master!$D$25:$G$223,4,FALSE)</f>
        <v>Repayment of Domestic Debt</v>
      </c>
      <c r="C59" s="470"/>
      <c r="D59" s="470"/>
      <c r="E59" s="470"/>
      <c r="F59" s="470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3" t="str">
        <f>+VLOOKUP($A60,Master!$D$25:$G$223,4,FALSE)</f>
        <v>Repayment of Foreign Debt</v>
      </c>
      <c r="C60" s="454"/>
      <c r="D60" s="454"/>
      <c r="E60" s="454"/>
      <c r="F60" s="454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3" t="str">
        <f>+VLOOKUP($A61,Master!$D$25:$G$223,4,FALSE)</f>
        <v>Financing needs</v>
      </c>
      <c r="C61" s="474"/>
      <c r="D61" s="474"/>
      <c r="E61" s="474"/>
      <c r="F61" s="474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5" t="str">
        <f>+VLOOKUP($A62,Master!$D$25:$G$223,4,FALSE)</f>
        <v>Financing</v>
      </c>
      <c r="C62" s="476"/>
      <c r="D62" s="476"/>
      <c r="E62" s="476"/>
      <c r="F62" s="476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9" t="str">
        <f>+VLOOKUP($A63,Master!$D$25:$G$223,4,FALSE)</f>
        <v>Domestic Loans and Borrowings</v>
      </c>
      <c r="C63" s="470"/>
      <c r="D63" s="470"/>
      <c r="E63" s="470"/>
      <c r="F63" s="470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3" t="str">
        <f>+VLOOKUP($A64,Master!$D$25:$G$223,4,FALSE)</f>
        <v>Foreign Loans and Borrowings</v>
      </c>
      <c r="C64" s="454"/>
      <c r="D64" s="454"/>
      <c r="E64" s="454"/>
      <c r="F64" s="454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3" t="str">
        <f>+VLOOKUP($A65,Master!$D$25:$G$223,4,FALSE)</f>
        <v>Revenues from Selling Assets</v>
      </c>
      <c r="C65" s="454"/>
      <c r="D65" s="454"/>
      <c r="E65" s="454"/>
      <c r="F65" s="454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7" t="str">
        <f>+Master!G250</f>
        <v>Planned Budget Execution</v>
      </c>
      <c r="C102" s="538"/>
      <c r="D102" s="538"/>
      <c r="E102" s="538"/>
      <c r="F102" s="538"/>
      <c r="G102" s="531">
        <v>2016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GDP</v>
      </c>
      <c r="T102" s="116">
        <f>+T7</f>
        <v>3954200000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1" t="str">
        <f>+Master!G244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+VLOOKUP(LEFT($A105,LEN(A105)-1)*1,Master!$D$25:$G$223,4,FALSE)</f>
        <v>Total Revenues</v>
      </c>
      <c r="C105" s="534"/>
      <c r="D105" s="534"/>
      <c r="E105" s="534"/>
      <c r="F105" s="534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5" t="str">
        <f>+VLOOKUP(LEFT($A106,LEN(A106)-1)*1,Master!$D$25:$G$223,4,FALSE)</f>
        <v>Taxes</v>
      </c>
      <c r="C106" s="536"/>
      <c r="D106" s="536"/>
      <c r="E106" s="536"/>
      <c r="F106" s="536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7" t="str">
        <f>+VLOOKUP(LEFT($A107,LEN(A107)-1)*1,Master!$D$25:$G$223,4,FALSE)</f>
        <v>Personal Income Tax</v>
      </c>
      <c r="C107" s="518"/>
      <c r="D107" s="518"/>
      <c r="E107" s="518"/>
      <c r="F107" s="518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7" t="str">
        <f>+VLOOKUP(LEFT($A108,LEN(A108)-1)*1,Master!$D$25:$G$223,4,FALSE)</f>
        <v>Corporate Income Tax</v>
      </c>
      <c r="C108" s="518"/>
      <c r="D108" s="518"/>
      <c r="E108" s="518"/>
      <c r="F108" s="518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7" t="str">
        <f>+VLOOKUP(LEFT($A109,LEN(A109)-1)*1,Master!$D$25:$G$223,4,FALSE)</f>
        <v xml:space="preserve">Taxes on Sales of Property </v>
      </c>
      <c r="C109" s="518"/>
      <c r="D109" s="518"/>
      <c r="E109" s="518"/>
      <c r="F109" s="518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7" t="str">
        <f>+VLOOKUP(LEFT($A110,LEN(A110)-1)*1,Master!$D$25:$G$223,4,FALSE)</f>
        <v>Value Added Tax</v>
      </c>
      <c r="C110" s="518"/>
      <c r="D110" s="518"/>
      <c r="E110" s="518"/>
      <c r="F110" s="518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7" t="str">
        <f>+VLOOKUP(LEFT($A111,LEN(A111)-1)*1,Master!$D$25:$G$223,4,FALSE)</f>
        <v>Excises</v>
      </c>
      <c r="C111" s="518"/>
      <c r="D111" s="518"/>
      <c r="E111" s="518"/>
      <c r="F111" s="518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7" t="str">
        <f>+VLOOKUP(LEFT($A112,LEN(A112)-1)*1,Master!$D$25:$G$223,4,FALSE)</f>
        <v>Tax on International Trade and Transactions</v>
      </c>
      <c r="C112" s="518"/>
      <c r="D112" s="518"/>
      <c r="E112" s="518"/>
      <c r="F112" s="518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3" t="str">
        <f>+VLOOKUP(LEFT($A147,LEN(A147)-1)*1,Master!$D$25:$G$223,4,FALSE)</f>
        <v>Repayment of Guarantees</v>
      </c>
      <c r="C147" s="504"/>
      <c r="D147" s="504"/>
      <c r="E147" s="504"/>
      <c r="F147" s="504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699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1" t="str">
        <f>+VLOOKUP(LEFT($A149,LEN(A149)-1)*1,Master!$D$25:$G$223,4,FALSE)</f>
        <v>Surplus / deficit</v>
      </c>
      <c r="C149" s="512"/>
      <c r="D149" s="512"/>
      <c r="E149" s="512"/>
      <c r="F149" s="512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3" t="str">
        <f>+VLOOKUP(LEFT($A150,LEN(A150)-1)*1,Master!$D$25:$G$223,4,FALSE)</f>
        <v>Primary balance</v>
      </c>
      <c r="C150" s="514"/>
      <c r="D150" s="514"/>
      <c r="E150" s="514"/>
      <c r="F150" s="514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5" t="str">
        <f>+VLOOKUP(LEFT($A151,LEN(A151)-1)*1,Master!$D$25:$G$223,4,FALSE)</f>
        <v>Repayment of Debt</v>
      </c>
      <c r="C151" s="516"/>
      <c r="D151" s="516"/>
      <c r="E151" s="516"/>
      <c r="F151" s="516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9" t="str">
        <f>+VLOOKUP(LEFT($A152,LEN(A152)-1)*1,Master!$D$25:$G$223,4,FALSE)</f>
        <v>Repayment of Domestic Debt</v>
      </c>
      <c r="C152" s="510"/>
      <c r="D152" s="510"/>
      <c r="E152" s="510"/>
      <c r="F152" s="510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3" t="str">
        <f>+VLOOKUP(LEFT($A153,LEN(A153)-1)*1,Master!$D$25:$G$223,4,FALSE)</f>
        <v>Repayment of Foreign Debt</v>
      </c>
      <c r="C153" s="504"/>
      <c r="D153" s="504"/>
      <c r="E153" s="504"/>
      <c r="F153" s="504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7" t="str">
        <f>+VLOOKUP(LEFT($A154,LEN(A154)-1)*1,Master!$D$25:$G$223,4,FALSE)</f>
        <v>Repayments of Arrears</v>
      </c>
      <c r="C154" s="558"/>
      <c r="D154" s="558"/>
      <c r="E154" s="558"/>
      <c r="F154" s="558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5" t="str">
        <f>+VLOOKUP(LEFT($A155,LEN(A155)-1)*1,Master!$D$25:$G$223,4,FALSE)</f>
        <v>Financing needs</v>
      </c>
      <c r="C155" s="506"/>
      <c r="D155" s="506"/>
      <c r="E155" s="506"/>
      <c r="F155" s="506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7" t="str">
        <f>+VLOOKUP(LEFT($A156,LEN(A156)-1)*1,Master!$D$25:$G$223,4,FALSE)</f>
        <v>Financing</v>
      </c>
      <c r="C156" s="508"/>
      <c r="D156" s="508"/>
      <c r="E156" s="508"/>
      <c r="F156" s="508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9" t="str">
        <f>+VLOOKUP(LEFT($A157,LEN(A157)-1)*1,Master!$D$25:$G$223,4,FALSE)</f>
        <v>Domestic Loans and Borrowings</v>
      </c>
      <c r="C157" s="510"/>
      <c r="D157" s="510"/>
      <c r="E157" s="510"/>
      <c r="F157" s="510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3" t="str">
        <f>+VLOOKUP(LEFT($A158,LEN(A158)-1)*1,Master!$D$25:$G$223,4,FALSE)</f>
        <v>Foreign Loans and Borrowings</v>
      </c>
      <c r="C158" s="504"/>
      <c r="D158" s="504"/>
      <c r="E158" s="504"/>
      <c r="F158" s="504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3" t="str">
        <f>+VLOOKUP(LEFT($A159,LEN(A159)-1)*1,Master!$D$25:$G$223,4,FALSE)</f>
        <v>Revenues from Selling Assets</v>
      </c>
      <c r="C159" s="504"/>
      <c r="D159" s="504"/>
      <c r="E159" s="504"/>
      <c r="F159" s="504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+VLOOKUP(LEFT($A160,LEN(A160)-1)*1,Master!$D$25:$G$223,4,FALSE)</f>
        <v>Increase / decrease of deposits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W29" sqref="W29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2015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3655000000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">
        <v>740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1" t="str">
        <f>+VLOOKUP($A53,Master!$D$25:$G$223,4,TRUE)</f>
        <v>Repayments of Arrears</v>
      </c>
      <c r="C53" s="472"/>
      <c r="D53" s="472"/>
      <c r="E53" s="472"/>
      <c r="F53" s="472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7" t="str">
        <f>+VLOOKUP($A54,Master!$D$25:$G$225,4,FALSE)</f>
        <v>Net increase of liabilities</v>
      </c>
      <c r="C54" s="558"/>
      <c r="D54" s="558"/>
      <c r="E54" s="558"/>
      <c r="F54" s="558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41" t="s">
        <v>778</v>
      </c>
      <c r="C56" s="442"/>
      <c r="D56" s="442"/>
      <c r="E56" s="442"/>
      <c r="F56" s="442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9" t="str">
        <f>+VLOOKUP($A57,Master!$D$25:$G$223,4,FALSE)</f>
        <v>Primary balance</v>
      </c>
      <c r="C57" s="480"/>
      <c r="D57" s="480"/>
      <c r="E57" s="480"/>
      <c r="F57" s="480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1" t="str">
        <f>+VLOOKUP($A58,Master!$D$25:$G$223,4,FALSE)</f>
        <v>Repayment of Debt</v>
      </c>
      <c r="C58" s="482"/>
      <c r="D58" s="482"/>
      <c r="E58" s="482"/>
      <c r="F58" s="482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9" t="str">
        <f>+VLOOKUP($A59,Master!$D$25:$G$223,4,FALSE)</f>
        <v>Repayment of Domestic Debt</v>
      </c>
      <c r="C59" s="470"/>
      <c r="D59" s="470"/>
      <c r="E59" s="470"/>
      <c r="F59" s="470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3" t="str">
        <f>+VLOOKUP($A60,Master!$D$25:$G$223,4,FALSE)</f>
        <v>Repayment of Foreign Debt</v>
      </c>
      <c r="C60" s="454"/>
      <c r="D60" s="454"/>
      <c r="E60" s="454"/>
      <c r="F60" s="454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3" t="str">
        <f>+VLOOKUP($A61,Master!$D$25:$G$223,4,FALSE)</f>
        <v>Financing needs</v>
      </c>
      <c r="C61" s="474"/>
      <c r="D61" s="474"/>
      <c r="E61" s="474"/>
      <c r="F61" s="474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5" t="str">
        <f>+VLOOKUP($A62,Master!$D$25:$G$223,4,FALSE)</f>
        <v>Financing</v>
      </c>
      <c r="C62" s="476"/>
      <c r="D62" s="476"/>
      <c r="E62" s="476"/>
      <c r="F62" s="476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9" t="str">
        <f>+VLOOKUP($A63,Master!$D$25:$G$223,4,FALSE)</f>
        <v>Domestic Loans and Borrowings</v>
      </c>
      <c r="C63" s="470"/>
      <c r="D63" s="470"/>
      <c r="E63" s="470"/>
      <c r="F63" s="470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3" t="str">
        <f>+VLOOKUP($A64,Master!$D$25:$G$223,4,FALSE)</f>
        <v>Foreign Loans and Borrowings</v>
      </c>
      <c r="C64" s="454"/>
      <c r="D64" s="454"/>
      <c r="E64" s="454"/>
      <c r="F64" s="454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3" t="str">
        <f>+VLOOKUP($A65,Master!$D$25:$G$223,4,FALSE)</f>
        <v>Revenues from Selling Assets</v>
      </c>
      <c r="C65" s="454"/>
      <c r="D65" s="454"/>
      <c r="E65" s="454"/>
      <c r="F65" s="454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45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7" t="str">
        <f>+Master!G250</f>
        <v>Planned Budget Execution</v>
      </c>
      <c r="C102" s="538"/>
      <c r="D102" s="538"/>
      <c r="E102" s="538"/>
      <c r="F102" s="538"/>
      <c r="G102" s="531">
        <v>2015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GDP</v>
      </c>
      <c r="T102" s="116">
        <f>+T7</f>
        <v>3655000000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1" t="str">
        <f>+Master!G244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+VLOOKUP(LEFT($A105,LEN(A105)-1)*1,Master!$D$25:$G$223,4,FALSE)</f>
        <v>Total Revenues</v>
      </c>
      <c r="C105" s="534"/>
      <c r="D105" s="534"/>
      <c r="E105" s="534"/>
      <c r="F105" s="534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5" t="str">
        <f>+VLOOKUP(LEFT($A106,LEN(A106)-1)*1,Master!$D$25:$G$223,4,FALSE)</f>
        <v>Taxes</v>
      </c>
      <c r="C106" s="536"/>
      <c r="D106" s="536"/>
      <c r="E106" s="536"/>
      <c r="F106" s="536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7" t="str">
        <f>+VLOOKUP(LEFT($A107,LEN(A107)-1)*1,Master!$D$25:$G$223,4,FALSE)</f>
        <v>Personal Income Tax</v>
      </c>
      <c r="C107" s="518"/>
      <c r="D107" s="518"/>
      <c r="E107" s="518"/>
      <c r="F107" s="518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7" t="str">
        <f>+VLOOKUP(LEFT($A108,LEN(A108)-1)*1,Master!$D$25:$G$223,4,FALSE)</f>
        <v>Corporate Income Tax</v>
      </c>
      <c r="C108" s="518"/>
      <c r="D108" s="518"/>
      <c r="E108" s="518"/>
      <c r="F108" s="518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7" t="str">
        <f>+VLOOKUP(LEFT($A109,LEN(A109)-1)*1,Master!$D$25:$G$223,4,FALSE)</f>
        <v xml:space="preserve">Taxes on Sales of Property </v>
      </c>
      <c r="C109" s="518"/>
      <c r="D109" s="518"/>
      <c r="E109" s="518"/>
      <c r="F109" s="518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7" t="str">
        <f>+VLOOKUP(LEFT($A110,LEN(A110)-1)*1,Master!$D$25:$G$223,4,FALSE)</f>
        <v>Value Added Tax</v>
      </c>
      <c r="C110" s="518"/>
      <c r="D110" s="518"/>
      <c r="E110" s="518"/>
      <c r="F110" s="518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7" t="str">
        <f>+VLOOKUP(LEFT($A111,LEN(A111)-1)*1,Master!$D$25:$G$223,4,FALSE)</f>
        <v>Excises</v>
      </c>
      <c r="C111" s="518"/>
      <c r="D111" s="518"/>
      <c r="E111" s="518"/>
      <c r="F111" s="518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7" t="str">
        <f>+VLOOKUP(LEFT($A112,LEN(A112)-1)*1,Master!$D$25:$G$223,4,FALSE)</f>
        <v>Tax on International Trade and Transactions</v>
      </c>
      <c r="C112" s="518"/>
      <c r="D112" s="518"/>
      <c r="E112" s="518"/>
      <c r="F112" s="518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7" t="str">
        <f>+VLOOKUP(LEFT($A147,LEN(A147)-1)*1,Master!$D$25:$G$223,4,FALSE)</f>
        <v>Repayment of Guarantees</v>
      </c>
      <c r="C147" s="558"/>
      <c r="D147" s="558"/>
      <c r="E147" s="558"/>
      <c r="F147" s="558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1" t="str">
        <f>+VLOOKUP(LEFT($A148,LEN(A148)-1)*1,Master!$D$25:$G$223,4,FALSE)</f>
        <v>Surplus / deficit</v>
      </c>
      <c r="C148" s="512"/>
      <c r="D148" s="512"/>
      <c r="E148" s="512"/>
      <c r="F148" s="512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3" t="str">
        <f>+VLOOKUP(LEFT($A149,LEN(A149)-1)*1,Master!$D$25:$G$223,4,FALSE)</f>
        <v>Primary balance</v>
      </c>
      <c r="C149" s="514"/>
      <c r="D149" s="514"/>
      <c r="E149" s="514"/>
      <c r="F149" s="514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9" t="str">
        <f>+VLOOKUP(LEFT($A151,LEN(A151)-1)*1,Master!$D$25:$G$223,4,FALSE)</f>
        <v>Repayment of Domestic Debt</v>
      </c>
      <c r="C151" s="510"/>
      <c r="D151" s="510"/>
      <c r="E151" s="510"/>
      <c r="F151" s="510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3" t="str">
        <f>+VLOOKUP(LEFT($A152,LEN(A152)-1)*1,Master!$D$25:$G$223,4,FALSE)</f>
        <v>Repayment of Foreign Debt</v>
      </c>
      <c r="C152" s="504"/>
      <c r="D152" s="504"/>
      <c r="E152" s="504"/>
      <c r="F152" s="504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7" t="str">
        <f>+VLOOKUP(LEFT($A153,LEN(A153)-1)*1,Master!$D$25:$G$223,4,FALSE)</f>
        <v>Repayments of Arrears</v>
      </c>
      <c r="C153" s="558"/>
      <c r="D153" s="558"/>
      <c r="E153" s="558"/>
      <c r="F153" s="558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5" t="str">
        <f>+VLOOKUP(LEFT($A154,LEN(A154)-1)*1,Master!$D$25:$G$223,4,FALSE)</f>
        <v>Financing needs</v>
      </c>
      <c r="C154" s="506"/>
      <c r="D154" s="506"/>
      <c r="E154" s="506"/>
      <c r="F154" s="506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7" t="str">
        <f>+VLOOKUP(LEFT($A155,LEN(A155)-1)*1,Master!$D$25:$G$223,4,FALSE)</f>
        <v>Financing</v>
      </c>
      <c r="C155" s="508"/>
      <c r="D155" s="508"/>
      <c r="E155" s="508"/>
      <c r="F155" s="508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9" t="str">
        <f>+VLOOKUP(LEFT($A156,LEN(A156)-1)*1,Master!$D$25:$G$223,4,FALSE)</f>
        <v>Domestic Loans and Borrowings</v>
      </c>
      <c r="C156" s="510"/>
      <c r="D156" s="510"/>
      <c r="E156" s="510"/>
      <c r="F156" s="510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3" t="str">
        <f>+VLOOKUP(LEFT($A157,LEN(A157)-1)*1,Master!$D$25:$G$223,4,FALSE)</f>
        <v>Foreign Loans and Borrowings</v>
      </c>
      <c r="C157" s="504"/>
      <c r="D157" s="504"/>
      <c r="E157" s="504"/>
      <c r="F157" s="504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3" t="str">
        <f>+VLOOKUP(LEFT($A158,LEN(A158)-1)*1,Master!$D$25:$G$223,4,FALSE)</f>
        <v>Revenues from Selling Assets</v>
      </c>
      <c r="C158" s="504"/>
      <c r="D158" s="504"/>
      <c r="E158" s="504"/>
      <c r="F158" s="504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2014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3457880000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">
        <v>705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1" t="str">
        <f>+VLOOKUP($A53,Master!$D$25:$G$223,4,TRUE)</f>
        <v>Repayments of Arrears</v>
      </c>
      <c r="C53" s="472"/>
      <c r="D53" s="472"/>
      <c r="E53" s="472"/>
      <c r="F53" s="472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7" t="str">
        <f>+VLOOKUP($A54,Master!$D$25:$G$225,4,FALSE)</f>
        <v>Net increase of liabilities</v>
      </c>
      <c r="C54" s="558"/>
      <c r="D54" s="558"/>
      <c r="E54" s="558"/>
      <c r="F54" s="558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9" t="str">
        <f>+VLOOKUP($A55,Master!$D$25:$G$223,4,FALSE)</f>
        <v>Surplus / deficit</v>
      </c>
      <c r="C55" s="560"/>
      <c r="D55" s="560"/>
      <c r="E55" s="560"/>
      <c r="F55" s="560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9" t="str">
        <f>+VLOOKUP($A56,Master!$D$25:$G$223,4,FALSE)</f>
        <v>Primary balance</v>
      </c>
      <c r="C56" s="480"/>
      <c r="D56" s="480"/>
      <c r="E56" s="480"/>
      <c r="F56" s="480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1" t="str">
        <f>+VLOOKUP($A57,Master!$D$25:$G$223,4,FALSE)</f>
        <v>Repayment of Debt</v>
      </c>
      <c r="C57" s="482"/>
      <c r="D57" s="482"/>
      <c r="E57" s="482"/>
      <c r="F57" s="482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9" t="str">
        <f>+VLOOKUP($A58,Master!$D$25:$G$223,4,FALSE)</f>
        <v>Repayment of Domestic Debt</v>
      </c>
      <c r="C58" s="470"/>
      <c r="D58" s="470"/>
      <c r="E58" s="470"/>
      <c r="F58" s="470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3" t="str">
        <f>+VLOOKUP($A59,Master!$D$25:$G$223,4,FALSE)</f>
        <v>Repayment of Foreign Debt</v>
      </c>
      <c r="C59" s="454"/>
      <c r="D59" s="454"/>
      <c r="E59" s="454"/>
      <c r="F59" s="454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3" t="str">
        <f>+VLOOKUP($A60,Master!$D$25:$G$223,4,FALSE)</f>
        <v>Financing needs</v>
      </c>
      <c r="C60" s="474"/>
      <c r="D60" s="474"/>
      <c r="E60" s="474"/>
      <c r="F60" s="474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5" t="str">
        <f>+VLOOKUP($A61,Master!$D$25:$G$223,4,FALSE)</f>
        <v>Financing</v>
      </c>
      <c r="C61" s="476"/>
      <c r="D61" s="476"/>
      <c r="E61" s="476"/>
      <c r="F61" s="476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9" t="str">
        <f>+VLOOKUP($A62,Master!$D$25:$G$223,4,FALSE)</f>
        <v>Domestic Loans and Borrowings</v>
      </c>
      <c r="C62" s="470"/>
      <c r="D62" s="470"/>
      <c r="E62" s="470"/>
      <c r="F62" s="470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3" t="str">
        <f>+VLOOKUP($A63,Master!$D$25:$G$223,4,FALSE)</f>
        <v>Foreign Loans and Borrowings</v>
      </c>
      <c r="C63" s="454"/>
      <c r="D63" s="454"/>
      <c r="E63" s="454"/>
      <c r="F63" s="454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3" t="str">
        <f>+VLOOKUP($A64,Master!$D$25:$G$223,4,FALSE)</f>
        <v>Revenues from Selling Assets</v>
      </c>
      <c r="C64" s="454"/>
      <c r="D64" s="454"/>
      <c r="E64" s="454"/>
      <c r="F64" s="454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7" t="str">
        <f>+Master!G250</f>
        <v>Planned Budget Execution</v>
      </c>
      <c r="C101" s="538"/>
      <c r="D101" s="538"/>
      <c r="E101" s="538"/>
      <c r="F101" s="538"/>
      <c r="G101" s="531">
        <v>2014</v>
      </c>
      <c r="H101" s="545"/>
      <c r="I101" s="545"/>
      <c r="J101" s="545"/>
      <c r="K101" s="545"/>
      <c r="L101" s="545"/>
      <c r="M101" s="545"/>
      <c r="N101" s="545"/>
      <c r="O101" s="545"/>
      <c r="P101" s="545"/>
      <c r="Q101" s="545"/>
      <c r="R101" s="532"/>
      <c r="S101" s="115" t="str">
        <f>+S7</f>
        <v>GDP</v>
      </c>
      <c r="T101" s="116">
        <v>3393200615</v>
      </c>
    </row>
    <row r="102" spans="1:21" ht="15.75" customHeight="1">
      <c r="B102" s="539"/>
      <c r="C102" s="540"/>
      <c r="D102" s="540"/>
      <c r="E102" s="540"/>
      <c r="F102" s="541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31" t="str">
        <f>+Master!G244</f>
        <v>Jan - Dec</v>
      </c>
      <c r="T102" s="532">
        <f>+T8</f>
        <v>0</v>
      </c>
    </row>
    <row r="103" spans="1:21" ht="13.5" thickBot="1">
      <c r="B103" s="542"/>
      <c r="C103" s="543"/>
      <c r="D103" s="543"/>
      <c r="E103" s="543"/>
      <c r="F103" s="54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11" si="16">+CONCATENATE(A10,"p")</f>
        <v>7p</v>
      </c>
      <c r="B104" s="533" t="str">
        <f>+VLOOKUP(LEFT($A104,LEN(A104)-1)*1,Master!$D$25:$G$223,4,FALSE)</f>
        <v>Total Revenues</v>
      </c>
      <c r="C104" s="534"/>
      <c r="D104" s="534"/>
      <c r="E104" s="534"/>
      <c r="F104" s="534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5" t="str">
        <f>+VLOOKUP(LEFT($A105,LEN(A105)-1)*1,Master!$D$25:$G$223,4,FALSE)</f>
        <v>Taxes</v>
      </c>
      <c r="C105" s="536"/>
      <c r="D105" s="536"/>
      <c r="E105" s="536"/>
      <c r="F105" s="536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7" t="str">
        <f>+VLOOKUP(LEFT($A106,LEN(A106)-1)*1,Master!$D$25:$G$223,4,FALSE)</f>
        <v>Personal Income Tax</v>
      </c>
      <c r="C106" s="518"/>
      <c r="D106" s="518"/>
      <c r="E106" s="518"/>
      <c r="F106" s="518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7" t="str">
        <f>+VLOOKUP(LEFT($A107,LEN(A107)-1)*1,Master!$D$25:$G$223,4,FALSE)</f>
        <v>Corporate Income Tax</v>
      </c>
      <c r="C107" s="518"/>
      <c r="D107" s="518"/>
      <c r="E107" s="518"/>
      <c r="F107" s="518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7" t="str">
        <f>+VLOOKUP(LEFT($A108,LEN(A108)-1)*1,Master!$D$25:$G$223,4,FALSE)</f>
        <v xml:space="preserve">Taxes on Sales of Property </v>
      </c>
      <c r="C108" s="518"/>
      <c r="D108" s="518"/>
      <c r="E108" s="518"/>
      <c r="F108" s="518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7" t="str">
        <f>+VLOOKUP(LEFT($A109,LEN(A109)-1)*1,Master!$D$25:$G$223,4,FALSE)</f>
        <v>Value Added Tax</v>
      </c>
      <c r="C109" s="518"/>
      <c r="D109" s="518"/>
      <c r="E109" s="518"/>
      <c r="F109" s="518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7" t="str">
        <f>+VLOOKUP(LEFT($A110,LEN(A110)-1)*1,Master!$D$25:$G$223,4,FALSE)</f>
        <v>Excises</v>
      </c>
      <c r="C110" s="518"/>
      <c r="D110" s="518"/>
      <c r="E110" s="518"/>
      <c r="F110" s="518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7" t="str">
        <f>+VLOOKUP(LEFT($A111,LEN(A111)-1)*1,Master!$D$25:$G$223,4,FALSE)</f>
        <v>Tax on International Trade and Transactions</v>
      </c>
      <c r="C111" s="518"/>
      <c r="D111" s="518"/>
      <c r="E111" s="518"/>
      <c r="F111" s="518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7" t="e">
        <f>+VLOOKUP(LEFT($A112,LEN(A112)-1)*1,Master!$D$25:$G$223,4,FALSE)</f>
        <v>#REF!</v>
      </c>
      <c r="C112" s="518"/>
      <c r="D112" s="518"/>
      <c r="E112" s="518"/>
      <c r="F112" s="518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7" t="str">
        <f>+VLOOKUP(LEFT($A147,LEN(A147)-1)*1,Master!$D$25:$G$223,4,FALSE)</f>
        <v>Repayment of Guarantees</v>
      </c>
      <c r="C147" s="558"/>
      <c r="D147" s="558"/>
      <c r="E147" s="558"/>
      <c r="F147" s="558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1" t="str">
        <f>+VLOOKUP(LEFT($A148,LEN(A148)-1)*1,Master!$D$25:$G$223,4,FALSE)</f>
        <v>Surplus / deficit</v>
      </c>
      <c r="C148" s="512"/>
      <c r="D148" s="512"/>
      <c r="E148" s="512"/>
      <c r="F148" s="512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3" t="str">
        <f>+VLOOKUP(LEFT($A149,LEN(A149)-1)*1,Master!$D$25:$G$223,4,FALSE)</f>
        <v>Primary balance</v>
      </c>
      <c r="C149" s="514"/>
      <c r="D149" s="514"/>
      <c r="E149" s="514"/>
      <c r="F149" s="514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9" t="str">
        <f>+VLOOKUP(LEFT($A151,LEN(A151)-1)*1,Master!$D$25:$G$223,4,FALSE)</f>
        <v>Repayment of Domestic Debt</v>
      </c>
      <c r="C151" s="510"/>
      <c r="D151" s="510"/>
      <c r="E151" s="510"/>
      <c r="F151" s="510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3" t="str">
        <f>+VLOOKUP(LEFT($A152,LEN(A152)-1)*1,Master!$D$25:$G$223,4,FALSE)</f>
        <v>Repayment of Foreign Debt</v>
      </c>
      <c r="C152" s="504"/>
      <c r="D152" s="504"/>
      <c r="E152" s="504"/>
      <c r="F152" s="504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7" t="str">
        <f>+VLOOKUP(LEFT($A153,LEN(A153)-1)*1,Master!$D$25:$G$223,4,FALSE)</f>
        <v>Repayments of Arrears</v>
      </c>
      <c r="C153" s="558"/>
      <c r="D153" s="558"/>
      <c r="E153" s="558"/>
      <c r="F153" s="558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5" t="str">
        <f>+VLOOKUP(LEFT($A154,LEN(A154)-1)*1,Master!$D$25:$G$223,4,FALSE)</f>
        <v>Financing needs</v>
      </c>
      <c r="C154" s="506"/>
      <c r="D154" s="506"/>
      <c r="E154" s="506"/>
      <c r="F154" s="506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7" t="str">
        <f>+VLOOKUP(LEFT($A155,LEN(A155)-1)*1,Master!$D$25:$G$223,4,FALSE)</f>
        <v>Financing</v>
      </c>
      <c r="C155" s="508"/>
      <c r="D155" s="508"/>
      <c r="E155" s="508"/>
      <c r="F155" s="508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9" t="str">
        <f>+VLOOKUP(LEFT($A156,LEN(A156)-1)*1,Master!$D$25:$G$223,4,FALSE)</f>
        <v>Domestic Loans and Borrowings</v>
      </c>
      <c r="C156" s="510"/>
      <c r="D156" s="510"/>
      <c r="E156" s="510"/>
      <c r="F156" s="510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3" t="str">
        <f>+VLOOKUP(LEFT($A157,LEN(A157)-1)*1,Master!$D$25:$G$223,4,FALSE)</f>
        <v>Foreign Loans and Borrowings</v>
      </c>
      <c r="C157" s="504"/>
      <c r="D157" s="504"/>
      <c r="E157" s="504"/>
      <c r="F157" s="504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3" t="str">
        <f>+VLOOKUP(LEFT($A158,LEN(A158)-1)*1,Master!$D$25:$G$223,4,FALSE)</f>
        <v>Revenues from Selling Assets</v>
      </c>
      <c r="C158" s="504"/>
      <c r="D158" s="504"/>
      <c r="E158" s="504"/>
      <c r="F158" s="504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7" t="str">
        <f>+Master!G249</f>
        <v>Budget Execution</v>
      </c>
      <c r="C7" s="538"/>
      <c r="D7" s="538"/>
      <c r="E7" s="538"/>
      <c r="F7" s="538"/>
      <c r="G7" s="531">
        <v>2013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32"/>
      <c r="V7" s="360"/>
      <c r="W7" s="115" t="str">
        <f>+Master!G246</f>
        <v>GDP</v>
      </c>
      <c r="X7" s="116">
        <v>3327000000</v>
      </c>
    </row>
    <row r="8" spans="1:24" ht="16.5" customHeight="1">
      <c r="B8" s="539"/>
      <c r="C8" s="540"/>
      <c r="D8" s="540"/>
      <c r="E8" s="540"/>
      <c r="F8" s="541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31" t="s">
        <v>706</v>
      </c>
      <c r="X8" s="532"/>
    </row>
    <row r="9" spans="1:24" ht="13.5" thickBot="1">
      <c r="B9" s="542"/>
      <c r="C9" s="543"/>
      <c r="D9" s="543"/>
      <c r="E9" s="543"/>
      <c r="F9" s="544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33" t="str">
        <f>+VLOOKUP($A10,Master!$D$25:$G$223,4,FALSE)</f>
        <v>Total Revenues</v>
      </c>
      <c r="C10" s="534"/>
      <c r="D10" s="534"/>
      <c r="E10" s="534"/>
      <c r="F10" s="534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5" t="str">
        <f>+VLOOKUP($A11,Master!$D$25:$G$223,4,FALSE)</f>
        <v>Taxes</v>
      </c>
      <c r="C11" s="536"/>
      <c r="D11" s="536"/>
      <c r="E11" s="536"/>
      <c r="F11" s="536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7" t="str">
        <f>+VLOOKUP($A12,Master!$D$25:$G$223,4,FALSE)</f>
        <v>Personal Income Tax</v>
      </c>
      <c r="C12" s="518"/>
      <c r="D12" s="518"/>
      <c r="E12" s="518"/>
      <c r="F12" s="518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7" t="str">
        <f>+VLOOKUP($A13,Master!$D$25:$G$223,4,FALSE)</f>
        <v>Corporate Income Tax</v>
      </c>
      <c r="C13" s="518"/>
      <c r="D13" s="518"/>
      <c r="E13" s="518"/>
      <c r="F13" s="518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7" t="str">
        <f>+VLOOKUP($A14,Master!$D$25:$G$223,4,FALSE)</f>
        <v xml:space="preserve">Taxes on Sales of Property </v>
      </c>
      <c r="C14" s="518"/>
      <c r="D14" s="518"/>
      <c r="E14" s="518"/>
      <c r="F14" s="518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7" t="str">
        <f>+VLOOKUP($A15,Master!$D$25:$G$223,4,FALSE)</f>
        <v>Value Added Tax</v>
      </c>
      <c r="C15" s="518"/>
      <c r="D15" s="518"/>
      <c r="E15" s="518"/>
      <c r="F15" s="518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7" t="str">
        <f>+VLOOKUP($A16,Master!$D$25:$G$223,4,FALSE)</f>
        <v>Excises</v>
      </c>
      <c r="C16" s="518"/>
      <c r="D16" s="518"/>
      <c r="E16" s="518"/>
      <c r="F16" s="518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7" t="str">
        <f>+VLOOKUP($A17,Master!$D$25:$G$223,4,FALSE)</f>
        <v>Tax on International Trade and Transactions</v>
      </c>
      <c r="C17" s="518"/>
      <c r="D17" s="518"/>
      <c r="E17" s="518"/>
      <c r="F17" s="518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7" t="e">
        <f>+VLOOKUP($A18,Master!$D$25:$G$223,4,FALSE)</f>
        <v>#N/A</v>
      </c>
      <c r="C18" s="518"/>
      <c r="D18" s="518"/>
      <c r="E18" s="518"/>
      <c r="F18" s="518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7" t="str">
        <f>+VLOOKUP($A19,Master!$D$25:$G$223,4,FALSE)</f>
        <v>Other Republic Taxes</v>
      </c>
      <c r="C19" s="518"/>
      <c r="D19" s="518"/>
      <c r="E19" s="518"/>
      <c r="F19" s="518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9" t="str">
        <f>+VLOOKUP($A20,Master!$D$25:$G$223,4,FALSE)</f>
        <v>Contributions</v>
      </c>
      <c r="C20" s="530"/>
      <c r="D20" s="530"/>
      <c r="E20" s="530"/>
      <c r="F20" s="53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7" t="str">
        <f>+VLOOKUP($A21,Master!$D$25:$G$223,4,FALSE)</f>
        <v>Contributions for Pension and Disability Insurance</v>
      </c>
      <c r="C21" s="518"/>
      <c r="D21" s="518"/>
      <c r="E21" s="518"/>
      <c r="F21" s="518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7" t="str">
        <f>+VLOOKUP($A22,Master!$D$25:$G$223,4,FALSE)</f>
        <v>Contributions for Health Insurance</v>
      </c>
      <c r="C22" s="518"/>
      <c r="D22" s="518"/>
      <c r="E22" s="518"/>
      <c r="F22" s="518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7" t="str">
        <f>+VLOOKUP($A23,Master!$D$25:$G$223,4,FALSE)</f>
        <v>Contributions for  Unemployment Insurance</v>
      </c>
      <c r="C23" s="518"/>
      <c r="D23" s="518"/>
      <c r="E23" s="518"/>
      <c r="F23" s="518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7" t="str">
        <f>+VLOOKUP($A24,Master!$D$25:$G$223,4,FALSE)</f>
        <v>Other contributions</v>
      </c>
      <c r="C24" s="518"/>
      <c r="D24" s="518"/>
      <c r="E24" s="518"/>
      <c r="F24" s="518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1" t="str">
        <f>+VLOOKUP($A25,Master!$D$25:$G$223,4,FALSE)</f>
        <v>Duties</v>
      </c>
      <c r="C25" s="522"/>
      <c r="D25" s="522"/>
      <c r="E25" s="522"/>
      <c r="F25" s="52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1" t="str">
        <f>+VLOOKUP($A26,Master!$D$25:$G$223,4,FALSE)</f>
        <v>Fees</v>
      </c>
      <c r="C26" s="522"/>
      <c r="D26" s="522"/>
      <c r="E26" s="522"/>
      <c r="F26" s="52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1" t="str">
        <f>+VLOOKUP($A27,Master!$D$25:$G$223,4,FALSE)</f>
        <v>Other revenues</v>
      </c>
      <c r="C27" s="522"/>
      <c r="D27" s="522"/>
      <c r="E27" s="522"/>
      <c r="F27" s="52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1" t="str">
        <f>+VLOOKUP($A28,Master!$D$25:$G$223,4,FALSE)</f>
        <v>Receipts from Repayment of Loans and Funds Carried over from Previous Year</v>
      </c>
      <c r="C28" s="522"/>
      <c r="D28" s="522"/>
      <c r="E28" s="522"/>
      <c r="F28" s="52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3" t="str">
        <f>+VLOOKUP($A29,Master!$D$25:$G$223,4,FALSE)</f>
        <v>Grants and Transfers</v>
      </c>
      <c r="C29" s="524"/>
      <c r="D29" s="524"/>
      <c r="E29" s="524"/>
      <c r="F29" s="52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7" t="str">
        <f>+VLOOKUP($A30,Master!$D$25:$G$223,4,FALSE)</f>
        <v>Total Expenditures</v>
      </c>
      <c r="C30" s="508"/>
      <c r="D30" s="508"/>
      <c r="E30" s="508"/>
      <c r="F30" s="508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5" t="str">
        <f>+VLOOKUP($A31,Master!$D$25:$G$223,4,FALSE)</f>
        <v>Current Expenditures</v>
      </c>
      <c r="C31" s="526"/>
      <c r="D31" s="526"/>
      <c r="E31" s="526"/>
      <c r="F31" s="526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7" t="str">
        <f>+VLOOKUP($A32,Master!$D$25:$G$223,4,FALSE)</f>
        <v>Current Budgetary Expenditures</v>
      </c>
      <c r="C32" s="528"/>
      <c r="D32" s="528"/>
      <c r="E32" s="528"/>
      <c r="F32" s="528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7" t="str">
        <f>+VLOOKUP($A33,Master!$D$25:$G$223,4,FALSE)</f>
        <v>Gross Salaries and Contributions</v>
      </c>
      <c r="C33" s="518"/>
      <c r="D33" s="518"/>
      <c r="E33" s="518"/>
      <c r="F33" s="518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7" t="str">
        <f>+VLOOKUP($A34,Master!$D$25:$G$223,4,FALSE)</f>
        <v>Other Personal Income</v>
      </c>
      <c r="C34" s="518"/>
      <c r="D34" s="518"/>
      <c r="E34" s="518"/>
      <c r="F34" s="518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7" t="str">
        <f>+VLOOKUP($A35,Master!$D$25:$G$223,4,FALSE)</f>
        <v>Expenditures for Supplies</v>
      </c>
      <c r="C35" s="518"/>
      <c r="D35" s="518"/>
      <c r="E35" s="518"/>
      <c r="F35" s="518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7" t="str">
        <f>+VLOOKUP($A36,Master!$D$25:$G$223,4,FALSE)</f>
        <v>Expenditures for Services</v>
      </c>
      <c r="C36" s="518"/>
      <c r="D36" s="518"/>
      <c r="E36" s="518"/>
      <c r="F36" s="518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7" t="str">
        <f>+VLOOKUP($A37,Master!$D$25:$G$223,4,FALSE)</f>
        <v>Current Maintenance</v>
      </c>
      <c r="C37" s="518"/>
      <c r="D37" s="518"/>
      <c r="E37" s="518"/>
      <c r="F37" s="518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7" t="str">
        <f>+VLOOKUP($A38,Master!$D$25:$G$223,4,FALSE)</f>
        <v>Interests</v>
      </c>
      <c r="C38" s="518"/>
      <c r="D38" s="518"/>
      <c r="E38" s="518"/>
      <c r="F38" s="518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7" t="str">
        <f>+VLOOKUP($A39,Master!$D$25:$G$223,4,FALSE)</f>
        <v>Rent</v>
      </c>
      <c r="C39" s="518"/>
      <c r="D39" s="518"/>
      <c r="E39" s="518"/>
      <c r="F39" s="518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7" t="str">
        <f>+VLOOKUP($A40,Master!$D$25:$G$223,4,FALSE)</f>
        <v>Subsidies</v>
      </c>
      <c r="C40" s="518"/>
      <c r="D40" s="518"/>
      <c r="E40" s="518"/>
      <c r="F40" s="518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7" t="str">
        <f>+VLOOKUP($A41,Master!$D$25:$G$223,4,FALSE)</f>
        <v>Other expenditures</v>
      </c>
      <c r="C41" s="518"/>
      <c r="D41" s="518"/>
      <c r="E41" s="518"/>
      <c r="F41" s="518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7" t="str">
        <f>+VLOOKUP($A42,Master!$D$25:$G$223,4,FALSE)</f>
        <v>Current Capital Expenditure</v>
      </c>
      <c r="C42" s="518"/>
      <c r="D42" s="518"/>
      <c r="E42" s="518"/>
      <c r="F42" s="518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5" t="str">
        <f>+VLOOKUP($A43,Master!$D$25:$G$223,4,FALSE)</f>
        <v>Social Security Transfers</v>
      </c>
      <c r="C43" s="516"/>
      <c r="D43" s="516"/>
      <c r="E43" s="516"/>
      <c r="F43" s="516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7" t="str">
        <f>+VLOOKUP($A44,Master!$D$25:$G$223,4,FALSE)</f>
        <v>Social Security</v>
      </c>
      <c r="C44" s="518"/>
      <c r="D44" s="518"/>
      <c r="E44" s="518"/>
      <c r="F44" s="518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7" t="str">
        <f>+VLOOKUP($A45,Master!$D$25:$G$223,4,FALSE)</f>
        <v>Funds for redundant labor</v>
      </c>
      <c r="C45" s="518"/>
      <c r="D45" s="518"/>
      <c r="E45" s="518"/>
      <c r="F45" s="518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7" t="str">
        <f>+VLOOKUP($A46,Master!$D$25:$G$223,4,FALSE)</f>
        <v>Pension and Disability Insurance</v>
      </c>
      <c r="C46" s="518"/>
      <c r="D46" s="518"/>
      <c r="E46" s="518"/>
      <c r="F46" s="518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7" t="str">
        <f>+VLOOKUP($A47,Master!$D$25:$G$223,4,FALSE)</f>
        <v>Other Health Care Transfers</v>
      </c>
      <c r="C47" s="518"/>
      <c r="D47" s="518"/>
      <c r="E47" s="518"/>
      <c r="F47" s="518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7" t="str">
        <f>+VLOOKUP($A48,Master!$D$25:$G$223,4,FALSE)</f>
        <v>Other Health Care Insurance</v>
      </c>
      <c r="C48" s="518"/>
      <c r="D48" s="518"/>
      <c r="E48" s="518"/>
      <c r="F48" s="518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9" t="str">
        <f>+VLOOKUP($A49,Master!$D$25:$G$223,4,FALSE)</f>
        <v xml:space="preserve">Transfers to Institutions, Individuals, NGO and Public Sector </v>
      </c>
      <c r="C49" s="520"/>
      <c r="D49" s="520"/>
      <c r="E49" s="520"/>
      <c r="F49" s="520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9" t="str">
        <f>+VLOOKUP($A50,Master!$D$25:$G$223,4,FALSE)</f>
        <v>Capital Expenditure</v>
      </c>
      <c r="C50" s="520"/>
      <c r="D50" s="520"/>
      <c r="E50" s="520"/>
      <c r="F50" s="520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3" t="str">
        <f>+VLOOKUP($A51,Master!$D$25:$G$223,4,FALSE)</f>
        <v>Credits and Borrowings</v>
      </c>
      <c r="C51" s="504"/>
      <c r="D51" s="504"/>
      <c r="E51" s="504"/>
      <c r="F51" s="50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3" t="str">
        <f>+VLOOKUP($A52,Master!$D$25:$G$223,4,FALSE)</f>
        <v>Reserves</v>
      </c>
      <c r="C52" s="504"/>
      <c r="D52" s="504"/>
      <c r="E52" s="504"/>
      <c r="F52" s="50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7" t="str">
        <f>+VLOOKUP($A53,Master!$D$25:$G$223,4,FALSE)</f>
        <v>Repayment of Guarantees</v>
      </c>
      <c r="C53" s="558"/>
      <c r="D53" s="558"/>
      <c r="E53" s="558"/>
      <c r="F53" s="558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7" t="str">
        <f>+VLOOKUP($A54,Master!$D$25:$G$223,4,FALSE)</f>
        <v>Repayments of Arrears</v>
      </c>
      <c r="C54" s="558"/>
      <c r="D54" s="558"/>
      <c r="E54" s="558"/>
      <c r="F54" s="558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7" t="str">
        <f>+VLOOKUP($A55,Master!$D$25:$G$225,4,FALSE)</f>
        <v>Net increase of liabilities</v>
      </c>
      <c r="C55" s="558"/>
      <c r="D55" s="558"/>
      <c r="E55" s="558"/>
      <c r="F55" s="558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1" t="str">
        <f>+VLOOKUP($A56,Master!$D$25:$G$223,4,FALSE)</f>
        <v>Surplus / deficit</v>
      </c>
      <c r="C56" s="512"/>
      <c r="D56" s="512"/>
      <c r="E56" s="512"/>
      <c r="F56" s="512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3" t="str">
        <f>+VLOOKUP($A57,Master!$D$25:$G$223,4,FALSE)</f>
        <v>Primary balance</v>
      </c>
      <c r="C57" s="514"/>
      <c r="D57" s="514"/>
      <c r="E57" s="514"/>
      <c r="F57" s="514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5" t="str">
        <f>+VLOOKUP($A58,Master!$D$25:$G$223,4,FALSE)</f>
        <v>Repayment of Debt</v>
      </c>
      <c r="C58" s="516"/>
      <c r="D58" s="516"/>
      <c r="E58" s="516"/>
      <c r="F58" s="516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9" t="str">
        <f>+VLOOKUP($A59,Master!$D$25:$G$223,4,FALSE)</f>
        <v>Repayment of Domestic Debt</v>
      </c>
      <c r="C59" s="510"/>
      <c r="D59" s="510"/>
      <c r="E59" s="510"/>
      <c r="F59" s="51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3" t="str">
        <f>+VLOOKUP($A60,Master!$D$25:$G$223,4,FALSE)</f>
        <v>Repayment of Foreign Debt</v>
      </c>
      <c r="C60" s="504"/>
      <c r="D60" s="504"/>
      <c r="E60" s="504"/>
      <c r="F60" s="50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5" t="str">
        <f>+VLOOKUP($A61,Master!$D$25:$G$223,4,FALSE)</f>
        <v>Financing needs</v>
      </c>
      <c r="C61" s="506"/>
      <c r="D61" s="506"/>
      <c r="E61" s="506"/>
      <c r="F61" s="506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7" t="str">
        <f>+VLOOKUP($A62,Master!$D$25:$G$223,4,FALSE)</f>
        <v>Financing</v>
      </c>
      <c r="C62" s="508"/>
      <c r="D62" s="508"/>
      <c r="E62" s="508"/>
      <c r="F62" s="508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9" t="str">
        <f>+VLOOKUP($A63,Master!$D$25:$G$223,4,FALSE)</f>
        <v>Domestic Loans and Borrowings</v>
      </c>
      <c r="C63" s="510"/>
      <c r="D63" s="510"/>
      <c r="E63" s="510"/>
      <c r="F63" s="51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3" t="str">
        <f>+VLOOKUP($A64,Master!$D$25:$G$223,4,FALSE)</f>
        <v>Foreign Loans and Borrowings</v>
      </c>
      <c r="C64" s="504"/>
      <c r="D64" s="504"/>
      <c r="E64" s="504"/>
      <c r="F64" s="50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3" t="str">
        <f>+VLOOKUP($A65,Master!$D$25:$G$223,4,FALSE)</f>
        <v>Revenues from Selling Assets</v>
      </c>
      <c r="C65" s="504"/>
      <c r="D65" s="504"/>
      <c r="E65" s="504"/>
      <c r="F65" s="50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6" t="str">
        <f>+Master!G250</f>
        <v>Planned Budget Execution</v>
      </c>
      <c r="C102" s="456"/>
      <c r="D102" s="456"/>
      <c r="E102" s="456"/>
      <c r="F102" s="456"/>
      <c r="G102" s="464">
        <v>2013</v>
      </c>
      <c r="H102" s="465"/>
      <c r="I102" s="465"/>
      <c r="J102" s="465"/>
      <c r="K102" s="465"/>
      <c r="L102" s="465"/>
      <c r="M102" s="465"/>
      <c r="N102" s="465"/>
      <c r="O102" s="465"/>
      <c r="P102" s="465"/>
      <c r="Q102" s="465"/>
      <c r="R102" s="465"/>
      <c r="S102" s="465"/>
      <c r="T102" s="465"/>
      <c r="U102" s="468"/>
      <c r="V102" s="363"/>
      <c r="W102" s="260" t="str">
        <f>+W7</f>
        <v>GDP</v>
      </c>
      <c r="X102" s="261">
        <v>3393200615</v>
      </c>
    </row>
    <row r="103" spans="1:24" ht="15.75" customHeight="1">
      <c r="A103" s="169"/>
      <c r="B103" s="457"/>
      <c r="C103" s="458"/>
      <c r="D103" s="458"/>
      <c r="E103" s="458"/>
      <c r="F103" s="459"/>
      <c r="G103" s="170" t="str">
        <f t="shared" ref="G103:U103" si="20">+G8</f>
        <v>January</v>
      </c>
      <c r="H103" s="170" t="str">
        <f t="shared" si="20"/>
        <v>February</v>
      </c>
      <c r="I103" s="170" t="str">
        <f t="shared" si="20"/>
        <v>March</v>
      </c>
      <c r="J103" s="170"/>
      <c r="K103" s="170" t="str">
        <f t="shared" si="20"/>
        <v>April</v>
      </c>
      <c r="L103" s="170" t="str">
        <f t="shared" si="20"/>
        <v>May</v>
      </c>
      <c r="M103" s="170" t="str">
        <f t="shared" si="20"/>
        <v>June</v>
      </c>
      <c r="N103" s="170"/>
      <c r="O103" s="170" t="str">
        <f t="shared" si="20"/>
        <v>July</v>
      </c>
      <c r="P103" s="170" t="str">
        <f t="shared" si="20"/>
        <v>August</v>
      </c>
      <c r="Q103" s="170" t="str">
        <f t="shared" si="20"/>
        <v>September</v>
      </c>
      <c r="R103" s="170"/>
      <c r="S103" s="170" t="str">
        <f t="shared" si="20"/>
        <v>October</v>
      </c>
      <c r="T103" s="170" t="str">
        <f t="shared" si="20"/>
        <v>November</v>
      </c>
      <c r="U103" s="170" t="str">
        <f t="shared" si="20"/>
        <v>December</v>
      </c>
      <c r="V103" s="170"/>
      <c r="W103" s="464" t="str">
        <f>+Master!G244</f>
        <v>Jan - Dec</v>
      </c>
      <c r="X103" s="468">
        <f>+X8</f>
        <v>0</v>
      </c>
    </row>
    <row r="104" spans="1:24" ht="13.5" thickBot="1">
      <c r="A104" s="169"/>
      <c r="B104" s="460"/>
      <c r="C104" s="461"/>
      <c r="D104" s="461"/>
      <c r="E104" s="461"/>
      <c r="F104" s="462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GDP</v>
      </c>
    </row>
    <row r="105" spans="1:24" ht="13.5" thickBot="1">
      <c r="A105" s="297" t="str">
        <f t="shared" ref="A105:A148" si="21">+CONCATENATE(A10,"p")</f>
        <v>7p</v>
      </c>
      <c r="B105" s="497" t="str">
        <f>+VLOOKUP(LEFT($A105,LEN(A105)-1)*1,Master!$D$25:$G$223,4,FALSE)</f>
        <v>Total Revenues</v>
      </c>
      <c r="C105" s="498"/>
      <c r="D105" s="498"/>
      <c r="E105" s="498"/>
      <c r="F105" s="498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9" t="str">
        <f>+VLOOKUP(LEFT($A106,LEN(A106)-1)*1,Master!$D$25:$G$223,4,FALSE)</f>
        <v>Taxes</v>
      </c>
      <c r="C106" s="500"/>
      <c r="D106" s="500"/>
      <c r="E106" s="500"/>
      <c r="F106" s="500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5" t="str">
        <f>+VLOOKUP(LEFT($A107,LEN(A107)-1)*1,Master!$D$25:$G$223,4,FALSE)</f>
        <v>Personal Income Tax</v>
      </c>
      <c r="C107" s="486"/>
      <c r="D107" s="486"/>
      <c r="E107" s="486"/>
      <c r="F107" s="486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5" t="str">
        <f>+VLOOKUP(LEFT($A108,LEN(A108)-1)*1,Master!$D$25:$G$223,4,FALSE)</f>
        <v>Corporate Income Tax</v>
      </c>
      <c r="C108" s="486"/>
      <c r="D108" s="486"/>
      <c r="E108" s="486"/>
      <c r="F108" s="486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5" t="str">
        <f>+VLOOKUP(LEFT($A109,LEN(A109)-1)*1,Master!$D$25:$G$223,4,FALSE)</f>
        <v xml:space="preserve">Taxes on Sales of Property </v>
      </c>
      <c r="C109" s="486"/>
      <c r="D109" s="486"/>
      <c r="E109" s="486"/>
      <c r="F109" s="486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5" t="str">
        <f>+VLOOKUP(LEFT($A110,LEN(A110)-1)*1,Master!$D$25:$G$223,4,FALSE)</f>
        <v>Value Added Tax</v>
      </c>
      <c r="C110" s="486"/>
      <c r="D110" s="486"/>
      <c r="E110" s="486"/>
      <c r="F110" s="486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5" t="str">
        <f>+VLOOKUP(LEFT($A111,LEN(A111)-1)*1,Master!$D$25:$G$223,4,FALSE)</f>
        <v>Excises</v>
      </c>
      <c r="C111" s="486"/>
      <c r="D111" s="486"/>
      <c r="E111" s="486"/>
      <c r="F111" s="486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5" t="str">
        <f>+VLOOKUP(LEFT($A112,LEN(A112)-1)*1,Master!$D$25:$G$223,4,FALSE)</f>
        <v>Tax on International Trade and Transactions</v>
      </c>
      <c r="C112" s="486"/>
      <c r="D112" s="486"/>
      <c r="E112" s="486"/>
      <c r="F112" s="486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5" t="e">
        <f>+VLOOKUP(LEFT($A113,LEN(A113)-1)*1,Master!$D$25:$G$223,4,FALSE)</f>
        <v>#N/A</v>
      </c>
      <c r="C113" s="486"/>
      <c r="D113" s="486"/>
      <c r="E113" s="486"/>
      <c r="F113" s="486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5" t="str">
        <f>+VLOOKUP(LEFT($A114,LEN(A114)-1)*1,Master!$D$25:$G$223,4,FALSE)</f>
        <v>Other Republic Taxes</v>
      </c>
      <c r="C114" s="486"/>
      <c r="D114" s="486"/>
      <c r="E114" s="486"/>
      <c r="F114" s="486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5" t="str">
        <f>+VLOOKUP(LEFT($A115,LEN(A115)-1)*1,Master!$D$25:$G$223,4,FALSE)</f>
        <v>Contributions</v>
      </c>
      <c r="C115" s="496"/>
      <c r="D115" s="496"/>
      <c r="E115" s="496"/>
      <c r="F115" s="496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5" t="str">
        <f>+VLOOKUP(LEFT($A116,LEN(A116)-1)*1,Master!$D$25:$G$223,4,FALSE)</f>
        <v>Contributions for Pension and Disability Insurance</v>
      </c>
      <c r="C116" s="486"/>
      <c r="D116" s="486"/>
      <c r="E116" s="486"/>
      <c r="F116" s="486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5" t="str">
        <f>+VLOOKUP(LEFT($A117,LEN(A117)-1)*1,Master!$D$25:$G$223,4,FALSE)</f>
        <v>Contributions for Health Insurance</v>
      </c>
      <c r="C117" s="486"/>
      <c r="D117" s="486"/>
      <c r="E117" s="486"/>
      <c r="F117" s="486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5" t="str">
        <f>+VLOOKUP(LEFT($A118,LEN(A118)-1)*1,Master!$D$25:$G$223,4,FALSE)</f>
        <v>Contributions for  Unemployment Insurance</v>
      </c>
      <c r="C118" s="486"/>
      <c r="D118" s="486"/>
      <c r="E118" s="486"/>
      <c r="F118" s="486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5" t="str">
        <f>+VLOOKUP(LEFT($A119,LEN(A119)-1)*1,Master!$D$25:$G$223,4,FALSE)</f>
        <v>Other contributions</v>
      </c>
      <c r="C119" s="486"/>
      <c r="D119" s="486"/>
      <c r="E119" s="486"/>
      <c r="F119" s="486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7" t="str">
        <f>+VLOOKUP(LEFT($A120,LEN(A120)-1)*1,Master!$D$25:$G$223,4,FALSE)</f>
        <v>Duties</v>
      </c>
      <c r="C120" s="488"/>
      <c r="D120" s="488"/>
      <c r="E120" s="488"/>
      <c r="F120" s="488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7" t="str">
        <f>+VLOOKUP(LEFT($A121,LEN(A121)-1)*1,Master!$D$25:$G$223,4,FALSE)</f>
        <v>Fees</v>
      </c>
      <c r="C121" s="488"/>
      <c r="D121" s="488"/>
      <c r="E121" s="488"/>
      <c r="F121" s="488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7" t="str">
        <f>+VLOOKUP(LEFT($A122,LEN(A122)-1)*1,Master!$D$25:$G$223,4,FALSE)</f>
        <v>Other revenues</v>
      </c>
      <c r="C122" s="488"/>
      <c r="D122" s="488"/>
      <c r="E122" s="488"/>
      <c r="F122" s="488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7" t="str">
        <f>+VLOOKUP(LEFT($A123,LEN(A123)-1)*1,Master!$D$25:$G$223,4,FALSE)</f>
        <v>Receipts from Repayment of Loans and Funds Carried over from Previous Year</v>
      </c>
      <c r="C123" s="488"/>
      <c r="D123" s="488"/>
      <c r="E123" s="488"/>
      <c r="F123" s="488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9" t="str">
        <f>+VLOOKUP(LEFT($A124,LEN(A124)-1)*1,Master!$D$25:$G$223,4,FALSE)</f>
        <v>Grants and Transfers</v>
      </c>
      <c r="C124" s="490"/>
      <c r="D124" s="490"/>
      <c r="E124" s="490"/>
      <c r="F124" s="490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5" t="str">
        <f>+VLOOKUP(LEFT($A125,LEN(A125)-1)*1,Master!$D$25:$G$223,4,FALSE)</f>
        <v>Total Expenditures</v>
      </c>
      <c r="C125" s="476"/>
      <c r="D125" s="476"/>
      <c r="E125" s="476"/>
      <c r="F125" s="476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1" t="str">
        <f>+VLOOKUP(LEFT($A126,LEN(A126)-1)*1,Master!$D$25:$G$223,4,FALSE)</f>
        <v>Current Expenditures</v>
      </c>
      <c r="C126" s="492"/>
      <c r="D126" s="492"/>
      <c r="E126" s="492"/>
      <c r="F126" s="492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3" t="str">
        <f>+VLOOKUP(LEFT($A127,LEN(A127)-1)*1,Master!$D$25:$G$223,4,FALSE)</f>
        <v>Current Budgetary Expenditures</v>
      </c>
      <c r="C127" s="494"/>
      <c r="D127" s="494"/>
      <c r="E127" s="494"/>
      <c r="F127" s="494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5" t="str">
        <f>+VLOOKUP(LEFT($A128,LEN(A128)-1)*1,Master!$D$25:$G$223,4,FALSE)</f>
        <v>Gross Salaries and Contributions</v>
      </c>
      <c r="C128" s="486"/>
      <c r="D128" s="486"/>
      <c r="E128" s="486"/>
      <c r="F128" s="486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5" t="str">
        <f>+VLOOKUP(LEFT($A129,LEN(A129)-1)*1,Master!$D$25:$G$223,4,FALSE)</f>
        <v>Other Personal Income</v>
      </c>
      <c r="C129" s="486"/>
      <c r="D129" s="486"/>
      <c r="E129" s="486"/>
      <c r="F129" s="486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5" t="str">
        <f>+VLOOKUP(LEFT($A130,LEN(A130)-1)*1,Master!$D$25:$G$223,4,FALSE)</f>
        <v>Expenditures for Supplies</v>
      </c>
      <c r="C130" s="486"/>
      <c r="D130" s="486"/>
      <c r="E130" s="486"/>
      <c r="F130" s="486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5" t="str">
        <f>+VLOOKUP(LEFT($A131,LEN(A131)-1)*1,Master!$D$25:$G$223,4,FALSE)</f>
        <v>Expenditures for Services</v>
      </c>
      <c r="C131" s="486"/>
      <c r="D131" s="486"/>
      <c r="E131" s="486"/>
      <c r="F131" s="486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5" t="str">
        <f>+VLOOKUP(LEFT($A132,LEN(A132)-1)*1,Master!$D$25:$G$223,4,FALSE)</f>
        <v>Current Maintenance</v>
      </c>
      <c r="C132" s="486"/>
      <c r="D132" s="486"/>
      <c r="E132" s="486"/>
      <c r="F132" s="486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5" t="str">
        <f>+VLOOKUP(LEFT($A133,LEN(A133)-1)*1,Master!$D$25:$G$223,4,FALSE)</f>
        <v>Interests</v>
      </c>
      <c r="C133" s="486"/>
      <c r="D133" s="486"/>
      <c r="E133" s="486"/>
      <c r="F133" s="486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5" t="str">
        <f>+VLOOKUP(LEFT($A134,LEN(A134)-1)*1,Master!$D$25:$G$223,4,FALSE)</f>
        <v>Rent</v>
      </c>
      <c r="C134" s="486"/>
      <c r="D134" s="486"/>
      <c r="E134" s="486"/>
      <c r="F134" s="486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5" t="str">
        <f>+VLOOKUP(LEFT($A135,LEN(A135)-1)*1,Master!$D$25:$G$223,4,FALSE)</f>
        <v>Subsidies</v>
      </c>
      <c r="C135" s="486"/>
      <c r="D135" s="486"/>
      <c r="E135" s="486"/>
      <c r="F135" s="486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5" t="str">
        <f>+VLOOKUP(LEFT($A136,LEN(A136)-1)*1,Master!$D$25:$G$223,4,FALSE)</f>
        <v>Other expenditures</v>
      </c>
      <c r="C136" s="486"/>
      <c r="D136" s="486"/>
      <c r="E136" s="486"/>
      <c r="F136" s="486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5" t="str">
        <f>+VLOOKUP(LEFT($A137,LEN(A137)-1)*1,Master!$D$25:$G$223,4,FALSE)</f>
        <v>Current Capital Expenditure</v>
      </c>
      <c r="C137" s="486"/>
      <c r="D137" s="486"/>
      <c r="E137" s="486"/>
      <c r="F137" s="486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1" t="str">
        <f>+VLOOKUP(LEFT($A138,LEN(A138)-1)*1,Master!$D$25:$G$223,4,FALSE)</f>
        <v>Social Security Transfers</v>
      </c>
      <c r="C138" s="482"/>
      <c r="D138" s="482"/>
      <c r="E138" s="482"/>
      <c r="F138" s="482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5" t="str">
        <f>+VLOOKUP(LEFT($A139,LEN(A139)-1)*1,Master!$D$25:$G$223,4,FALSE)</f>
        <v>Social Security</v>
      </c>
      <c r="C139" s="486"/>
      <c r="D139" s="486"/>
      <c r="E139" s="486"/>
      <c r="F139" s="486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5" t="str">
        <f>+VLOOKUP(LEFT($A140,LEN(A140)-1)*1,Master!$D$25:$G$223,4,FALSE)</f>
        <v>Funds for redundant labor</v>
      </c>
      <c r="C140" s="486"/>
      <c r="D140" s="486"/>
      <c r="E140" s="486"/>
      <c r="F140" s="486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5" t="str">
        <f>+VLOOKUP(LEFT($A141,LEN(A141)-1)*1,Master!$D$25:$G$223,4,FALSE)</f>
        <v>Pension and Disability Insurance</v>
      </c>
      <c r="C141" s="486"/>
      <c r="D141" s="486"/>
      <c r="E141" s="486"/>
      <c r="F141" s="486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5" t="str">
        <f>+VLOOKUP(LEFT($A142,LEN(A142)-1)*1,Master!$D$25:$G$223,4,FALSE)</f>
        <v>Other Health Care Transfers</v>
      </c>
      <c r="C142" s="486"/>
      <c r="D142" s="486"/>
      <c r="E142" s="486"/>
      <c r="F142" s="486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5" t="str">
        <f>+VLOOKUP(LEFT($A143,LEN(A143)-1)*1,Master!$D$25:$G$223,4,FALSE)</f>
        <v>Other Health Care Insurance</v>
      </c>
      <c r="C143" s="486"/>
      <c r="D143" s="486"/>
      <c r="E143" s="486"/>
      <c r="F143" s="486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3" t="str">
        <f>+VLOOKUP(LEFT($A144,LEN(A144)-1)*1,Master!$D$25:$G$223,4,FALSE)</f>
        <v xml:space="preserve">Transfers to Institutions, Individuals, NGO and Public Sector </v>
      </c>
      <c r="C144" s="484"/>
      <c r="D144" s="484"/>
      <c r="E144" s="484"/>
      <c r="F144" s="484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3" t="str">
        <f>+VLOOKUP(LEFT($A145,LEN(A145)-1)*1,Master!$D$25:$G$223,4,FALSE)</f>
        <v>Capital Expenditure</v>
      </c>
      <c r="C145" s="484"/>
      <c r="D145" s="484"/>
      <c r="E145" s="484"/>
      <c r="F145" s="484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3" t="str">
        <f>+VLOOKUP(LEFT($A146,LEN(A146)-1)*1,Master!$D$25:$G$223,4,FALSE)</f>
        <v>Credits and Borrowings</v>
      </c>
      <c r="C146" s="454"/>
      <c r="D146" s="454"/>
      <c r="E146" s="454"/>
      <c r="F146" s="454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3" t="str">
        <f>+VLOOKUP(LEFT($A147,LEN(A147)-1)*1,Master!$D$25:$G$223,4,FALSE)</f>
        <v>Reserves</v>
      </c>
      <c r="C147" s="454"/>
      <c r="D147" s="454"/>
      <c r="E147" s="454"/>
      <c r="F147" s="454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1" t="str">
        <f>+VLOOKUP(LEFT($A148,LEN(A148)-1)*1,Master!$D$25:$G$223,4,FALSE)</f>
        <v>Repayment of Guarantees</v>
      </c>
      <c r="C148" s="472"/>
      <c r="D148" s="472"/>
      <c r="E148" s="472"/>
      <c r="F148" s="472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7" t="str">
        <f>+VLOOKUP(LEFT($A149,LEN(A149)-1)*1,Master!$D$25:$G$223,4,FALSE)</f>
        <v>Surplus / deficit</v>
      </c>
      <c r="C149" s="478"/>
      <c r="D149" s="478"/>
      <c r="E149" s="478"/>
      <c r="F149" s="478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9" t="str">
        <f>+VLOOKUP(LEFT($A150,LEN(A150)-1)*1,Master!$D$25:$G$223,4,FALSE)</f>
        <v>Primary balance</v>
      </c>
      <c r="C150" s="480"/>
      <c r="D150" s="480"/>
      <c r="E150" s="480"/>
      <c r="F150" s="480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1" t="str">
        <f>+VLOOKUP(LEFT($A151,LEN(A151)-1)*1,Master!$D$25:$G$223,4,FALSE)</f>
        <v>Repayment of Debt</v>
      </c>
      <c r="C151" s="482"/>
      <c r="D151" s="482"/>
      <c r="E151" s="482"/>
      <c r="F151" s="482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9" t="str">
        <f>+VLOOKUP(LEFT($A152,LEN(A152)-1)*1,Master!$D$25:$G$223,4,FALSE)</f>
        <v>Repayment of Domestic Debt</v>
      </c>
      <c r="C152" s="470"/>
      <c r="D152" s="470"/>
      <c r="E152" s="470"/>
      <c r="F152" s="470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3" t="str">
        <f>+VLOOKUP(LEFT($A153,LEN(A153)-1)*1,Master!$D$25:$G$223,4,FALSE)</f>
        <v>Repayment of Foreign Debt</v>
      </c>
      <c r="C153" s="454"/>
      <c r="D153" s="454"/>
      <c r="E153" s="454"/>
      <c r="F153" s="454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1" t="str">
        <f>+VLOOKUP(LEFT($A154,LEN(A154)-1)*1,Master!$D$25:$G$223,4,FALSE)</f>
        <v>Repayments of Arrears</v>
      </c>
      <c r="C154" s="472"/>
      <c r="D154" s="472"/>
      <c r="E154" s="472"/>
      <c r="F154" s="472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3" t="str">
        <f>+VLOOKUP(LEFT($A155,LEN(A155)-1)*1,Master!$D$25:$G$223,4,FALSE)</f>
        <v>Financing needs</v>
      </c>
      <c r="C155" s="474"/>
      <c r="D155" s="474"/>
      <c r="E155" s="474"/>
      <c r="F155" s="474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5" t="str">
        <f>+VLOOKUP(LEFT($A156,LEN(A156)-1)*1,Master!$D$25:$G$223,4,FALSE)</f>
        <v>Financing</v>
      </c>
      <c r="C156" s="476"/>
      <c r="D156" s="476"/>
      <c r="E156" s="476"/>
      <c r="F156" s="476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9" t="str">
        <f>+VLOOKUP(LEFT($A157,LEN(A157)-1)*1,Master!$D$25:$G$223,4,FALSE)</f>
        <v>Domestic Loans and Borrowings</v>
      </c>
      <c r="C157" s="470"/>
      <c r="D157" s="470"/>
      <c r="E157" s="470"/>
      <c r="F157" s="470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3" t="str">
        <f>+VLOOKUP(LEFT($A158,LEN(A158)-1)*1,Master!$D$25:$G$223,4,FALSE)</f>
        <v>Foreign Loans and Borrowings</v>
      </c>
      <c r="C158" s="454"/>
      <c r="D158" s="454"/>
      <c r="E158" s="454"/>
      <c r="F158" s="454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3" t="str">
        <f>+VLOOKUP(LEFT($A159,LEN(A159)-1)*1,Master!$D$25:$G$223,4,FALSE)</f>
        <v>Revenues from Selling Assets</v>
      </c>
      <c r="C159" s="454"/>
      <c r="D159" s="454"/>
      <c r="E159" s="454"/>
      <c r="F159" s="454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Increase / decrease of deposits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 Poleksic</cp:lastModifiedBy>
  <cp:lastPrinted>2017-03-01T13:10:49Z</cp:lastPrinted>
  <dcterms:created xsi:type="dcterms:W3CDTF">2014-09-15T13:41:17Z</dcterms:created>
  <dcterms:modified xsi:type="dcterms:W3CDTF">2018-12-31T12:52:10Z</dcterms:modified>
</cp:coreProperties>
</file>