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3\javni poziv\Primjer popunjenog Biznis plana i Zahtjeva za dodjelu podrške\"/>
    </mc:Choice>
  </mc:AlternateContent>
  <xr:revisionPtr revIDLastSave="0" documentId="8_{46EBDDD4-085B-41FA-91A1-E66046E925F1}" xr6:coauthVersionLast="36" xr6:coauthVersionMax="36" xr10:uidLastSave="{00000000-0000-0000-0000-000000000000}"/>
  <bookViews>
    <workbookView xWindow="-120" yWindow="-120" windowWidth="29040" windowHeight="1584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6" l="1"/>
  <c r="D17" i="2"/>
  <c r="E7" i="6" l="1"/>
  <c r="E6" i="6"/>
  <c r="E3" i="6"/>
  <c r="E6" i="1"/>
  <c r="D6" i="1"/>
  <c r="F6" i="1" s="1"/>
  <c r="D3" i="7"/>
  <c r="E5" i="1" l="1"/>
  <c r="D5" i="1"/>
  <c r="F5" i="1" s="1"/>
  <c r="E4" i="1"/>
  <c r="D4" i="1"/>
  <c r="F4" i="1" s="1"/>
  <c r="E3" i="1"/>
  <c r="D3" i="1"/>
  <c r="M9" i="3"/>
  <c r="L9" i="3"/>
  <c r="K9" i="3"/>
  <c r="J9" i="3"/>
  <c r="I9" i="3"/>
  <c r="H9" i="3"/>
  <c r="G9" i="3"/>
  <c r="F9" i="3"/>
  <c r="E9" i="3"/>
  <c r="D9" i="3"/>
  <c r="M6" i="3"/>
  <c r="L6" i="3"/>
  <c r="K6" i="3"/>
  <c r="J6" i="3"/>
  <c r="I6" i="3"/>
  <c r="H6" i="3"/>
  <c r="G6" i="3"/>
  <c r="F6" i="3"/>
  <c r="E6" i="3"/>
  <c r="D6" i="3"/>
  <c r="M4" i="3"/>
  <c r="L4" i="3"/>
  <c r="K4" i="3"/>
  <c r="J4" i="3"/>
  <c r="I4" i="3"/>
  <c r="H4" i="3"/>
  <c r="G4" i="3"/>
  <c r="F4" i="3"/>
  <c r="E4" i="3"/>
  <c r="D4" i="3"/>
  <c r="M16" i="2"/>
  <c r="L16" i="2"/>
  <c r="K16" i="2"/>
  <c r="J16" i="2"/>
  <c r="I16" i="2"/>
  <c r="H16" i="2"/>
  <c r="G16" i="2"/>
  <c r="F16" i="2"/>
  <c r="E16" i="2"/>
  <c r="D16" i="2"/>
  <c r="F3" i="1" l="1"/>
  <c r="E7" i="1"/>
  <c r="E8" i="1"/>
  <c r="E9" i="1"/>
  <c r="E10" i="1"/>
  <c r="E11" i="1"/>
  <c r="E12" i="1"/>
  <c r="D7" i="1"/>
  <c r="D8" i="1"/>
  <c r="D9" i="1"/>
  <c r="F9" i="1" s="1"/>
  <c r="D10" i="1"/>
  <c r="F10" i="1"/>
  <c r="D11" i="1"/>
  <c r="D12" i="1"/>
  <c r="F12" i="1" l="1"/>
  <c r="F8" i="1"/>
  <c r="F7" i="1"/>
  <c r="F11" i="1"/>
  <c r="C3" i="11"/>
  <c r="C4" i="11" s="1"/>
  <c r="C5" i="11" s="1"/>
  <c r="C6" i="11" s="1"/>
  <c r="C7" i="11" s="1"/>
  <c r="C8" i="11" s="1"/>
  <c r="C9" i="11" s="1"/>
  <c r="C10" i="11" s="1"/>
  <c r="C11" i="11" s="1"/>
  <c r="H13" i="1" l="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E18" i="2"/>
  <c r="C3" i="9" s="1"/>
  <c r="D4" i="10" s="1"/>
  <c r="F18" i="2"/>
  <c r="D3" i="9" s="1"/>
  <c r="G18" i="2"/>
  <c r="E3" i="9" s="1"/>
  <c r="H18" i="2"/>
  <c r="F3" i="9" s="1"/>
  <c r="G4" i="10" s="1"/>
  <c r="I18" i="2"/>
  <c r="G3" i="9" s="1"/>
  <c r="J18" i="2"/>
  <c r="H3" i="9" s="1"/>
  <c r="K18" i="2"/>
  <c r="L18" i="2"/>
  <c r="J3" i="9" s="1"/>
  <c r="M18" i="2"/>
  <c r="K3" i="9" s="1"/>
  <c r="E4" i="7"/>
  <c r="D5" i="7"/>
  <c r="C6" i="15" s="1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K9" i="9" s="1"/>
  <c r="L14" i="3"/>
  <c r="J5" i="9" s="1"/>
  <c r="R4" i="8"/>
  <c r="J8" i="9" s="1"/>
  <c r="K13" i="4"/>
  <c r="J9" i="9" s="1"/>
  <c r="K14" i="3"/>
  <c r="I5" i="9" s="1"/>
  <c r="Q4" i="8"/>
  <c r="I8" i="9" s="1"/>
  <c r="J13" i="4"/>
  <c r="I9" i="9" s="1"/>
  <c r="J14" i="3"/>
  <c r="H5" i="9" s="1"/>
  <c r="P4" i="8"/>
  <c r="H8" i="9" s="1"/>
  <c r="I13" i="4"/>
  <c r="H9" i="9" s="1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E5" i="9" s="1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I3" i="9"/>
  <c r="E3" i="7"/>
  <c r="E2" i="7"/>
  <c r="I11" i="6" l="1"/>
  <c r="E7" i="9" s="1"/>
  <c r="B6" i="9"/>
  <c r="C8" i="10" s="1"/>
  <c r="C11" i="15" s="1"/>
  <c r="K13" i="1"/>
  <c r="E6" i="9" s="1"/>
  <c r="F8" i="10" s="1"/>
  <c r="F11" i="15" s="1"/>
  <c r="O13" i="1"/>
  <c r="I6" i="9" s="1"/>
  <c r="J8" i="10" s="1"/>
  <c r="J11" i="15" s="1"/>
  <c r="L13" i="1"/>
  <c r="F6" i="9" s="1"/>
  <c r="G8" i="10" s="1"/>
  <c r="G11" i="15" s="1"/>
  <c r="P13" i="1"/>
  <c r="J6" i="9" s="1"/>
  <c r="K8" i="10" s="1"/>
  <c r="K11" i="15" s="1"/>
  <c r="I13" i="1"/>
  <c r="C6" i="9" s="1"/>
  <c r="D8" i="10" s="1"/>
  <c r="D11" i="15" s="1"/>
  <c r="M13" i="1"/>
  <c r="G6" i="9" s="1"/>
  <c r="H8" i="10" s="1"/>
  <c r="H11" i="15" s="1"/>
  <c r="Q13" i="1"/>
  <c r="K6" i="9" s="1"/>
  <c r="L8" i="10" s="1"/>
  <c r="L11" i="15" s="1"/>
  <c r="J13" i="1"/>
  <c r="D6" i="9" s="1"/>
  <c r="E8" i="10" s="1"/>
  <c r="E11" i="15" s="1"/>
  <c r="N13" i="1"/>
  <c r="H6" i="9" s="1"/>
  <c r="I8" i="10" s="1"/>
  <c r="I11" i="15" s="1"/>
  <c r="L11" i="6"/>
  <c r="H7" i="9" s="1"/>
  <c r="H11" i="6"/>
  <c r="D7" i="9" s="1"/>
  <c r="F11" i="6"/>
  <c r="B7" i="9" s="1"/>
  <c r="O11" i="6"/>
  <c r="K7" i="9" s="1"/>
  <c r="G7" i="10"/>
  <c r="I7" i="10"/>
  <c r="K7" i="10"/>
  <c r="L7" i="10"/>
  <c r="N11" i="6"/>
  <c r="J7" i="9" s="1"/>
  <c r="J11" i="6"/>
  <c r="F7" i="9" s="1"/>
  <c r="K11" i="6"/>
  <c r="G7" i="9" s="1"/>
  <c r="G11" i="6"/>
  <c r="C7" i="9" s="1"/>
  <c r="M11" i="6"/>
  <c r="I7" i="9" s="1"/>
  <c r="C7" i="10"/>
  <c r="C10" i="15" s="1"/>
  <c r="D7" i="10"/>
  <c r="E7" i="10"/>
  <c r="F7" i="10"/>
  <c r="H7" i="10"/>
  <c r="J7" i="10"/>
  <c r="H4" i="10"/>
  <c r="H3" i="10" s="1"/>
  <c r="K4" i="10"/>
  <c r="K3" i="10" s="1"/>
  <c r="I4" i="10"/>
  <c r="E4" i="10"/>
  <c r="L4" i="10"/>
  <c r="D4" i="15"/>
  <c r="D3" i="15" s="1"/>
  <c r="D3" i="10"/>
  <c r="J4" i="10"/>
  <c r="F4" i="10"/>
  <c r="H4" i="15"/>
  <c r="H3" i="15" s="1"/>
  <c r="G4" i="15"/>
  <c r="G3" i="15" s="1"/>
  <c r="G3" i="10"/>
  <c r="E5" i="7"/>
  <c r="C7" i="15"/>
  <c r="C5" i="15" s="1"/>
  <c r="F2" i="8"/>
  <c r="F1" i="8"/>
  <c r="I4" i="9" l="1"/>
  <c r="I10" i="9" s="1"/>
  <c r="I11" i="9" s="1"/>
  <c r="I12" i="9" s="1"/>
  <c r="I13" i="9" s="1"/>
  <c r="K5" i="10"/>
  <c r="C6" i="10"/>
  <c r="C9" i="15" s="1"/>
  <c r="D15" i="2"/>
  <c r="D18" i="2" s="1"/>
  <c r="B3" i="9" s="1"/>
  <c r="C4" i="10" s="1"/>
  <c r="C4" i="15" s="1"/>
  <c r="C3" i="15" s="1"/>
  <c r="G5" i="10"/>
  <c r="G9" i="10" s="1"/>
  <c r="B6" i="11" s="1"/>
  <c r="D6" i="11" s="1"/>
  <c r="D7" i="13" s="1"/>
  <c r="B4" i="9"/>
  <c r="G4" i="9"/>
  <c r="G10" i="9" s="1"/>
  <c r="G11" i="9" s="1"/>
  <c r="G12" i="9" s="1"/>
  <c r="G13" i="9" s="1"/>
  <c r="F4" i="9"/>
  <c r="F10" i="9" s="1"/>
  <c r="F11" i="9" s="1"/>
  <c r="F12" i="9" s="1"/>
  <c r="F13" i="9" s="1"/>
  <c r="E4" i="9"/>
  <c r="E10" i="9" s="1"/>
  <c r="E11" i="9" s="1"/>
  <c r="E12" i="9" s="1"/>
  <c r="E13" i="9" s="1"/>
  <c r="D4" i="9"/>
  <c r="D10" i="9" s="1"/>
  <c r="D11" i="9" s="1"/>
  <c r="D12" i="9" s="1"/>
  <c r="D13" i="9" s="1"/>
  <c r="H4" i="9"/>
  <c r="H10" i="9" s="1"/>
  <c r="H11" i="9" s="1"/>
  <c r="H12" i="9" s="1"/>
  <c r="H13" i="9" s="1"/>
  <c r="I5" i="10"/>
  <c r="J4" i="9"/>
  <c r="J10" i="9" s="1"/>
  <c r="J11" i="9" s="1"/>
  <c r="J12" i="9" s="1"/>
  <c r="J13" i="9" s="1"/>
  <c r="C4" i="9"/>
  <c r="C10" i="9" s="1"/>
  <c r="C11" i="9" s="1"/>
  <c r="C12" i="9" s="1"/>
  <c r="C13" i="9" s="1"/>
  <c r="L5" i="10"/>
  <c r="K4" i="9"/>
  <c r="K10" i="9" s="1"/>
  <c r="K11" i="9" s="1"/>
  <c r="K12" i="9" s="1"/>
  <c r="K13" i="9" s="1"/>
  <c r="B3" i="13"/>
  <c r="C10" i="13" s="1"/>
  <c r="K4" i="15"/>
  <c r="K3" i="15" s="1"/>
  <c r="L10" i="15"/>
  <c r="L8" i="15" s="1"/>
  <c r="K10" i="15"/>
  <c r="K8" i="15" s="1"/>
  <c r="K13" i="15" s="1"/>
  <c r="I10" i="15"/>
  <c r="I8" i="15" s="1"/>
  <c r="G10" i="15"/>
  <c r="G8" i="15" s="1"/>
  <c r="G13" i="15" s="1"/>
  <c r="C5" i="10"/>
  <c r="C8" i="15"/>
  <c r="K9" i="10"/>
  <c r="B10" i="11" s="1"/>
  <c r="D10" i="11" s="1"/>
  <c r="D11" i="13" s="1"/>
  <c r="J5" i="10"/>
  <c r="J10" i="15"/>
  <c r="J8" i="15" s="1"/>
  <c r="F5" i="10"/>
  <c r="F10" i="15"/>
  <c r="F8" i="15" s="1"/>
  <c r="D10" i="15"/>
  <c r="D8" i="15" s="1"/>
  <c r="D13" i="15" s="1"/>
  <c r="D5" i="10"/>
  <c r="D9" i="10" s="1"/>
  <c r="B3" i="11" s="1"/>
  <c r="H10" i="15"/>
  <c r="H8" i="15" s="1"/>
  <c r="H13" i="15" s="1"/>
  <c r="H5" i="10"/>
  <c r="H9" i="10" s="1"/>
  <c r="B7" i="11" s="1"/>
  <c r="E10" i="15"/>
  <c r="E8" i="15" s="1"/>
  <c r="E5" i="10"/>
  <c r="I3" i="10"/>
  <c r="I4" i="15"/>
  <c r="I3" i="15" s="1"/>
  <c r="E3" i="10"/>
  <c r="E4" i="15"/>
  <c r="E3" i="15" s="1"/>
  <c r="J4" i="15"/>
  <c r="J3" i="15" s="1"/>
  <c r="J3" i="10"/>
  <c r="F4" i="15"/>
  <c r="F3" i="15" s="1"/>
  <c r="F3" i="10"/>
  <c r="L4" i="15"/>
  <c r="L3" i="15" s="1"/>
  <c r="L3" i="10"/>
  <c r="C7" i="13" l="1"/>
  <c r="C6" i="13"/>
  <c r="C3" i="13"/>
  <c r="C12" i="13"/>
  <c r="C4" i="13"/>
  <c r="C5" i="13"/>
  <c r="C3" i="10"/>
  <c r="C9" i="10" s="1"/>
  <c r="B2" i="11" s="1"/>
  <c r="D2" i="11" s="1"/>
  <c r="D3" i="13" s="1"/>
  <c r="E3" i="13" s="1"/>
  <c r="C11" i="13"/>
  <c r="C8" i="13"/>
  <c r="C9" i="13"/>
  <c r="B10" i="9"/>
  <c r="B11" i="9" s="1"/>
  <c r="B12" i="9" s="1"/>
  <c r="B13" i="9" s="1"/>
  <c r="L9" i="10"/>
  <c r="B11" i="11" s="1"/>
  <c r="D11" i="11" s="1"/>
  <c r="D12" i="13" s="1"/>
  <c r="I9" i="10"/>
  <c r="B8" i="11" s="1"/>
  <c r="B8" i="12" s="1"/>
  <c r="L13" i="15"/>
  <c r="I13" i="15"/>
  <c r="J9" i="10"/>
  <c r="B9" i="11" s="1"/>
  <c r="D9" i="11" s="1"/>
  <c r="D10" i="13" s="1"/>
  <c r="B6" i="12"/>
  <c r="F9" i="10"/>
  <c r="B5" i="11" s="1"/>
  <c r="D5" i="11" s="1"/>
  <c r="D6" i="13" s="1"/>
  <c r="E9" i="10"/>
  <c r="B4" i="11" s="1"/>
  <c r="C13" i="15"/>
  <c r="J13" i="15"/>
  <c r="B3" i="12"/>
  <c r="D3" i="11"/>
  <c r="D4" i="13" s="1"/>
  <c r="B10" i="12"/>
  <c r="F13" i="15"/>
  <c r="E13" i="15"/>
  <c r="D7" i="11"/>
  <c r="D8" i="13" s="1"/>
  <c r="B7" i="12"/>
  <c r="B11" i="12" l="1"/>
  <c r="D8" i="11"/>
  <c r="D9" i="13" s="1"/>
  <c r="B2" i="12"/>
  <c r="B9" i="12"/>
  <c r="B5" i="12"/>
  <c r="B12" i="11"/>
  <c r="B4" i="12"/>
  <c r="D4" i="11"/>
  <c r="D12" i="11" l="1"/>
  <c r="D5" i="13"/>
  <c r="B12" i="12"/>
  <c r="E6" i="11"/>
  <c r="C2" i="12"/>
  <c r="E4" i="13"/>
  <c r="F3" i="13"/>
  <c r="F4" i="13" l="1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<sst xmlns="http://schemas.openxmlformats.org/spreadsheetml/2006/main" count="179" uniqueCount="134">
  <si>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</si>
  <si>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</si>
  <si>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</si>
  <si>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</si>
  <si>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</si>
  <si>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</si>
  <si>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</si>
  <si>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</si>
  <si>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</si>
  <si>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</si>
  <si>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</si>
  <si>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</si>
  <si>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</si>
  <si>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</si>
  <si>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</si>
  <si>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</si>
  <si>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</si>
  <si>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</si>
  <si>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</si>
  <si>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</si>
  <si>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</si>
  <si>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</si>
  <si>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</si>
  <si>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</si>
  <si>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</si>
  <si>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</si>
  <si>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</si>
  <si>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</si>
  <si>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</si>
  <si>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</si>
  <si>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</si>
  <si>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</si>
  <si>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</si>
  <si>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</si>
  <si>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</si>
  <si>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</si>
  <si>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</si>
  <si>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</si>
  <si>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</si>
  <si>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</si>
  <si>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</si>
  <si>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</si>
  <si>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</si>
  <si>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</si>
  <si>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</si>
  <si>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</si>
  <si>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</si>
  <si>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</si>
  <si>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</si>
  <si>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</si>
  <si>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</si>
  <si>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</si>
  <si>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</si>
  <si>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</si>
  <si>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</si>
  <si>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</si>
  <si>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</si>
  <si>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</si>
  <si>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</si>
  <si>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</si>
  <si>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</si>
  <si>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</si>
  <si>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</si>
  <si>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</si>
  <si>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</si>
  <si>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</si>
  <si>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</si>
  <si>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</si>
  <si>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</si>
  <si>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</si>
  <si>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</si>
  <si>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</si>
  <si>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</si>
  <si>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</si>
  <si>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</si>
  <si>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</si>
  <si>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</si>
  <si>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</si>
  <si>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</si>
  <si>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</si>
  <si>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</si>
  <si>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</si>
  <si>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</si>
  <si>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</si>
  <si>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</si>
  <si>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</si>
  <si>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</si>
  <si>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</si>
  <si>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</si>
  <si>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</si>
  <si>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</si>
  <si>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</si>
  <si>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</si>
  <si>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</si>
  <si>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</si>
  <si>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</si>
  <si>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</si>
  <si>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</si>
  <si>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</si>
  <si>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</si>
  <si>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</si>
  <si>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</si>
  <si>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</si>
  <si>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Građevinski objekti (montažni)</t>
  </si>
  <si>
    <t>Diskontni faktor 5%</t>
  </si>
  <si>
    <t>Pomoćna</t>
  </si>
  <si>
    <t>Pomoćna 2</t>
  </si>
  <si>
    <t>Pomoćna za računanje</t>
  </si>
  <si>
    <t>Vino</t>
  </si>
  <si>
    <t>l</t>
  </si>
  <si>
    <t>Rakija</t>
  </si>
  <si>
    <t>Đubrivo</t>
  </si>
  <si>
    <t>t</t>
  </si>
  <si>
    <t>Etikete (vino)</t>
  </si>
  <si>
    <t>kom</t>
  </si>
  <si>
    <t>Etikete (rakija)</t>
  </si>
  <si>
    <t>Čepovi (vino)</t>
  </si>
  <si>
    <t>Čepovi (rakija)</t>
  </si>
  <si>
    <t>Sredstva za zaštitu</t>
  </si>
  <si>
    <t>Prskanje</t>
  </si>
  <si>
    <t>Ambalaža (vino)</t>
  </si>
  <si>
    <t>Ambalaža (rakija)</t>
  </si>
  <si>
    <t>Folija</t>
  </si>
  <si>
    <t>kg</t>
  </si>
  <si>
    <t>Izvršni direktor</t>
  </si>
  <si>
    <t>Tehnolog</t>
  </si>
  <si>
    <t>Sezonski radnik</t>
  </si>
  <si>
    <t>Oprema za preradu (postojeća)</t>
  </si>
  <si>
    <t>Oprema za preradu (nova)</t>
  </si>
  <si>
    <t>Održavanje opreme</t>
  </si>
  <si>
    <t>Gorivo</t>
  </si>
  <si>
    <t>Pomoćni radnik</t>
  </si>
  <si>
    <t>Nepredviđeni troškovi</t>
  </si>
  <si>
    <t>Solarni paneli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</si>
</sst>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.00\ &quot;€&quot;;\-#,##0.0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£&quot;#,##0.00;[Red]\-&quot;£&quot;#,##0.00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70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6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6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6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8" fontId="11" fillId="0" borderId="0" xfId="0" applyNumberFormat="1" applyFont="1" applyProtection="1"/>
    <xf numFmtId="0" fontId="6" fillId="0" borderId="0" xfId="0" applyFont="1" applyProtection="1"/>
    <xf numFmtId="165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4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179" fontId="0" fillId="0" borderId="1" xfId="2" applyNumberFormat="1" applyFont="1" applyBorder="1" applyProtection="1">
      <protection locked="0"/>
    </xf>
    <xf numFmtId="170" fontId="0" fillId="0" borderId="1" xfId="1" applyFont="1" applyBorder="1" applyProtection="1">
      <protection locked="0"/>
    </xf>
    <xf numFmtId="170" fontId="0" fillId="0" borderId="0" xfId="1" applyFont="1" applyProtection="1"/>
    <xf numFmtId="0" fontId="6" fillId="5" borderId="1" xfId="0" applyFont="1" applyFill="1" applyBorder="1" applyAlignment="1" applyProtection="1">
      <alignment horizontal="center" wrapText="1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100000</c:v>
                </c:pt>
                <c:pt idx="1">
                  <c:v>639915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B25" sqref="B25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85</v>
      </c>
      <c r="B1" s="78" t="s">
        <v>86</v>
      </c>
      <c r="C1" s="78" t="s">
        <v>82</v>
      </c>
      <c r="D1" s="78" t="s">
        <v>87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>
        <v>100000</v>
      </c>
      <c r="D2" s="45">
        <v>505000</v>
      </c>
      <c r="E2" s="42">
        <f>SUM(C2:D2)</f>
        <v>605000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>
        <f>121000+12100</f>
        <v>133100</v>
      </c>
      <c r="E3" s="42">
        <f>SUM(C3:D3)</f>
        <v>133100</v>
      </c>
      <c r="F3" s="9"/>
    </row>
    <row r="4" spans="1:10" ht="15.75" x14ac:dyDescent="0.25">
      <c r="A4" s="80">
        <v>3</v>
      </c>
      <c r="B4" s="8" t="s">
        <v>84</v>
      </c>
      <c r="C4" s="45"/>
      <c r="D4" s="45">
        <v>1815</v>
      </c>
      <c r="E4" s="42">
        <f>SUM(C4:D4)</f>
        <v>1815</v>
      </c>
      <c r="F4" s="9"/>
    </row>
    <row r="5" spans="1:10" ht="15.75" x14ac:dyDescent="0.25">
      <c r="A5" s="7"/>
      <c r="B5" s="83" t="s">
        <v>4</v>
      </c>
      <c r="C5" s="84">
        <f>SUM(C2:C4)</f>
        <v>100000</v>
      </c>
      <c r="D5" s="84">
        <f>SUM(D2:D4)</f>
        <v>639915</v>
      </c>
      <c r="E5" s="84">
        <f>D5+C5</f>
        <v>739915</v>
      </c>
    </row>
    <row r="7" spans="1:10" x14ac:dyDescent="0.25">
      <c r="B7" s="108" t="s">
        <v>88</v>
      </c>
      <c r="C7" s="108"/>
      <c r="D7" s="108"/>
      <c r="E7" s="108"/>
    </row>
  </sheetData>
  <sheetProtection algorithmName="SHA-512" hashValue="XEZc6eJNtcbv37pkht/3z4xJmbIdTP96npznzXVGwgMZfjgvmOsoRdxGwc0mBcdvcRMgomKO+lyfzjXqU+RlwQ==" saltValue="kU9aD8B2SHztB2SL2jW0oQ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sqref="A1:E12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99</v>
      </c>
      <c r="C1" s="85" t="s">
        <v>104</v>
      </c>
      <c r="D1" s="85" t="s">
        <v>100</v>
      </c>
      <c r="E1" s="86" t="s">
        <v>68</v>
      </c>
      <c r="F1" s="34"/>
      <c r="G1" s="34"/>
    </row>
    <row r="2" spans="1:7" x14ac:dyDescent="0.25">
      <c r="A2" s="58">
        <v>1</v>
      </c>
      <c r="B2" s="59">
        <f>'Tabela 9 Ekonomski tok'!C9</f>
        <v>-85157.158666666714</v>
      </c>
      <c r="C2" s="60">
        <v>1</v>
      </c>
      <c r="D2" s="61">
        <f t="shared" ref="D2:D11" si="0">B2*C2</f>
        <v>-85157.158666666714</v>
      </c>
      <c r="E2" s="62"/>
    </row>
    <row r="3" spans="1:7" x14ac:dyDescent="0.25">
      <c r="A3" s="58">
        <v>2</v>
      </c>
      <c r="B3" s="59">
        <f>'Tabela 9 Ekonomski tok'!D9</f>
        <v>222592.84133333332</v>
      </c>
      <c r="C3" s="60">
        <f t="shared" ref="C3:C11" si="1">C2*0.95</f>
        <v>0.95</v>
      </c>
      <c r="D3" s="61">
        <f t="shared" si="0"/>
        <v>211463.19926666663</v>
      </c>
      <c r="E3" s="62"/>
    </row>
    <row r="4" spans="1:7" x14ac:dyDescent="0.25">
      <c r="A4" s="58">
        <v>3</v>
      </c>
      <c r="B4" s="59">
        <f>'Tabela 9 Ekonomski tok'!E9</f>
        <v>235121.47983195481</v>
      </c>
      <c r="C4" s="60">
        <f t="shared" si="1"/>
        <v>0.90249999999999997</v>
      </c>
      <c r="D4" s="61">
        <f t="shared" si="0"/>
        <v>212197.13554833923</v>
      </c>
      <c r="E4" s="62"/>
    </row>
    <row r="5" spans="1:7" x14ac:dyDescent="0.25">
      <c r="A5" s="58">
        <v>4</v>
      </c>
      <c r="B5" s="59">
        <f>'Tabela 9 Ekonomski tok'!F9</f>
        <v>238562.47208575101</v>
      </c>
      <c r="C5" s="60">
        <f t="shared" si="1"/>
        <v>0.85737499999999989</v>
      </c>
      <c r="D5" s="61">
        <f t="shared" si="0"/>
        <v>204537.49950452073</v>
      </c>
      <c r="E5" s="62"/>
    </row>
    <row r="6" spans="1:7" x14ac:dyDescent="0.25">
      <c r="A6" s="58">
        <v>5</v>
      </c>
      <c r="B6" s="59">
        <f>'Tabela 9 Ekonomski tok'!G9</f>
        <v>241744.76437771588</v>
      </c>
      <c r="C6" s="60">
        <f t="shared" si="1"/>
        <v>0.81450624999999988</v>
      </c>
      <c r="D6" s="61">
        <f t="shared" si="0"/>
        <v>196902.62149042691</v>
      </c>
      <c r="E6" s="63">
        <f>SUM(D2:D6)</f>
        <v>739943.29714328691</v>
      </c>
    </row>
    <row r="7" spans="1:7" x14ac:dyDescent="0.25">
      <c r="A7" s="58">
        <v>6</v>
      </c>
      <c r="B7" s="59">
        <f>'Tabela 9 Ekonomski tok'!H9</f>
        <v>246589.92203245894</v>
      </c>
      <c r="C7" s="60">
        <f t="shared" si="1"/>
        <v>0.77378093749999988</v>
      </c>
      <c r="D7" s="61">
        <f t="shared" si="0"/>
        <v>190806.58104832796</v>
      </c>
      <c r="E7" s="62"/>
    </row>
    <row r="8" spans="1:7" x14ac:dyDescent="0.25">
      <c r="A8" s="58">
        <v>7</v>
      </c>
      <c r="B8" s="59">
        <f>'Tabela 9 Ekonomski tok'!I9</f>
        <v>242587.04019704368</v>
      </c>
      <c r="C8" s="60">
        <f t="shared" si="1"/>
        <v>0.7350918906249998</v>
      </c>
      <c r="D8" s="61">
        <f t="shared" si="0"/>
        <v>178323.76601956767</v>
      </c>
      <c r="E8" s="62"/>
    </row>
    <row r="9" spans="1:7" x14ac:dyDescent="0.25">
      <c r="A9" s="58">
        <v>8</v>
      </c>
      <c r="B9" s="59">
        <f>'Tabela 9 Ekonomski tok'!J9</f>
        <v>247604.41172266705</v>
      </c>
      <c r="C9" s="60">
        <f t="shared" si="1"/>
        <v>0.69833729609374973</v>
      </c>
      <c r="D9" s="61">
        <f t="shared" si="0"/>
        <v>172911.39538329086</v>
      </c>
      <c r="E9" s="62"/>
    </row>
    <row r="10" spans="1:7" x14ac:dyDescent="0.25">
      <c r="A10" s="58">
        <v>9</v>
      </c>
      <c r="B10" s="59">
        <f>'Tabela 9 Ekonomski tok'!K9</f>
        <v>242142.86176250709</v>
      </c>
      <c r="C10" s="60">
        <f t="shared" si="1"/>
        <v>0.66342043128906225</v>
      </c>
      <c r="D10" s="61">
        <f t="shared" si="0"/>
        <v>160642.52178405024</v>
      </c>
      <c r="E10" s="62"/>
    </row>
    <row r="11" spans="1:7" x14ac:dyDescent="0.25">
      <c r="A11" s="58">
        <v>10</v>
      </c>
      <c r="B11" s="59">
        <f>'Tabela 9 Ekonomski tok'!L9</f>
        <v>248703.24908775545</v>
      </c>
      <c r="C11" s="60">
        <f t="shared" si="1"/>
        <v>0.63024940972460908</v>
      </c>
      <c r="D11" s="61">
        <f t="shared" si="0"/>
        <v>156745.07593415029</v>
      </c>
      <c r="E11" s="62"/>
    </row>
    <row r="12" spans="1:7" x14ac:dyDescent="0.25">
      <c r="A12" s="90" t="s">
        <v>4</v>
      </c>
      <c r="B12" s="91">
        <f>SUM(B2:B11)</f>
        <v>2080491.8837645203</v>
      </c>
      <c r="C12" s="90"/>
      <c r="D12" s="91">
        <f>SUM(D2:D11)</f>
        <v>1599372.637312674</v>
      </c>
      <c r="E12" s="62"/>
      <c r="G12" s="36"/>
    </row>
  </sheetData>
  <sheetProtection algorithmName="SHA-512" hashValue="xPwxFp5kx5lkWrjrtgGpMuJQVcgcyHTJckmwwJTBHIYTR4XTnGeAyX8QeCbHH9RAD7oTmnpFZoK5mw1UZXz0Dg==" saltValue="mjMUzdWQekTNXvCRcQhSPQ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-85157.158666666714</v>
      </c>
      <c r="C2" s="158">
        <f>IFERROR(IRR(B2:B11),0)</f>
        <v>2.658148126169245</v>
      </c>
    </row>
    <row r="3" spans="1:3" x14ac:dyDescent="0.25">
      <c r="A3" s="37">
        <v>2</v>
      </c>
      <c r="B3" s="35">
        <f>'Tabela 10 - NSV'!B3</f>
        <v>222592.84133333332</v>
      </c>
      <c r="C3" s="159"/>
    </row>
    <row r="4" spans="1:3" x14ac:dyDescent="0.25">
      <c r="A4" s="37">
        <v>3</v>
      </c>
      <c r="B4" s="35">
        <f>'Tabela 10 - NSV'!B4</f>
        <v>235121.47983195481</v>
      </c>
      <c r="C4" s="159"/>
    </row>
    <row r="5" spans="1:3" x14ac:dyDescent="0.25">
      <c r="A5" s="37">
        <v>4</v>
      </c>
      <c r="B5" s="35">
        <f>'Tabela 10 - NSV'!B5</f>
        <v>238562.47208575101</v>
      </c>
      <c r="C5" s="159"/>
    </row>
    <row r="6" spans="1:3" x14ac:dyDescent="0.25">
      <c r="A6" s="37">
        <v>5</v>
      </c>
      <c r="B6" s="35">
        <f>'Tabela 10 - NSV'!B6</f>
        <v>241744.76437771588</v>
      </c>
      <c r="C6" s="159"/>
    </row>
    <row r="7" spans="1:3" x14ac:dyDescent="0.25">
      <c r="A7" s="37">
        <v>6</v>
      </c>
      <c r="B7" s="35">
        <f>'Tabela 10 - NSV'!B7</f>
        <v>246589.92203245894</v>
      </c>
      <c r="C7" s="159"/>
    </row>
    <row r="8" spans="1:3" x14ac:dyDescent="0.25">
      <c r="A8" s="37">
        <v>7</v>
      </c>
      <c r="B8" s="35">
        <f>'Tabela 10 - NSV'!B8</f>
        <v>242587.04019704368</v>
      </c>
      <c r="C8" s="159"/>
    </row>
    <row r="9" spans="1:3" x14ac:dyDescent="0.25">
      <c r="A9" s="37">
        <v>8</v>
      </c>
      <c r="B9" s="35">
        <f>'Tabela 10 - NSV'!B9</f>
        <v>247604.41172266705</v>
      </c>
      <c r="C9" s="159"/>
    </row>
    <row r="10" spans="1:3" x14ac:dyDescent="0.25">
      <c r="A10" s="37">
        <v>9</v>
      </c>
      <c r="B10" s="35">
        <f>'Tabela 10 - NSV'!B10</f>
        <v>242142.86176250709</v>
      </c>
      <c r="C10" s="159"/>
    </row>
    <row r="11" spans="1:3" x14ac:dyDescent="0.25">
      <c r="A11" s="37">
        <v>10</v>
      </c>
      <c r="B11" s="35">
        <f>'Tabela 10 - NSV'!B11</f>
        <v>248703.24908775545</v>
      </c>
      <c r="C11" s="160"/>
    </row>
    <row r="12" spans="1:3" x14ac:dyDescent="0.25">
      <c r="A12" s="38" t="s">
        <v>4</v>
      </c>
      <c r="B12" s="39">
        <f>SUM(B2:B11)</f>
        <v>2080491.8837645203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sqref="A1:F12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61" t="s">
        <v>101</v>
      </c>
      <c r="C1" s="162"/>
      <c r="D1" s="162" t="s">
        <v>48</v>
      </c>
      <c r="E1" s="162"/>
      <c r="F1" s="162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2"/>
    </row>
    <row r="3" spans="1:6" x14ac:dyDescent="0.25">
      <c r="A3" s="37">
        <v>1</v>
      </c>
      <c r="B3" s="40">
        <f>'Tabela 9 Ekonomski tok'!C6</f>
        <v>739915</v>
      </c>
      <c r="C3" s="41">
        <f t="shared" ref="C3:C12" si="0">$B$3</f>
        <v>739915</v>
      </c>
      <c r="D3" s="40">
        <f>'Tabela 10 - NSV'!D2</f>
        <v>-85157.158666666714</v>
      </c>
      <c r="E3" s="40">
        <f>D3</f>
        <v>-85157.158666666714</v>
      </c>
      <c r="F3" s="40">
        <f t="shared" ref="F3:F7" si="1">E3-C3</f>
        <v>-825072.15866666671</v>
      </c>
    </row>
    <row r="4" spans="1:6" x14ac:dyDescent="0.25">
      <c r="A4" s="37">
        <v>2</v>
      </c>
      <c r="B4" s="40"/>
      <c r="C4" s="41">
        <f t="shared" si="0"/>
        <v>739915</v>
      </c>
      <c r="D4" s="40">
        <f>'Tabela 10 - NSV'!D3</f>
        <v>211463.19926666663</v>
      </c>
      <c r="E4" s="40">
        <f t="shared" ref="E4:E7" si="2">D4+E3</f>
        <v>126306.04059999992</v>
      </c>
      <c r="F4" s="40">
        <f t="shared" si="1"/>
        <v>-613608.95940000005</v>
      </c>
    </row>
    <row r="5" spans="1:6" x14ac:dyDescent="0.25">
      <c r="A5" s="37">
        <v>3</v>
      </c>
      <c r="B5" s="40"/>
      <c r="C5" s="41">
        <f t="shared" si="0"/>
        <v>739915</v>
      </c>
      <c r="D5" s="40">
        <f>'Tabela 10 - NSV'!D4</f>
        <v>212197.13554833923</v>
      </c>
      <c r="E5" s="40">
        <f t="shared" si="2"/>
        <v>338503.17614833917</v>
      </c>
      <c r="F5" s="40">
        <f t="shared" si="1"/>
        <v>-401411.82385166083</v>
      </c>
    </row>
    <row r="6" spans="1:6" x14ac:dyDescent="0.25">
      <c r="A6" s="37">
        <v>4</v>
      </c>
      <c r="B6" s="40"/>
      <c r="C6" s="41">
        <f t="shared" si="0"/>
        <v>739915</v>
      </c>
      <c r="D6" s="40">
        <f>'Tabela 10 - NSV'!D5</f>
        <v>204537.49950452073</v>
      </c>
      <c r="E6" s="40">
        <f t="shared" si="2"/>
        <v>543040.67565285997</v>
      </c>
      <c r="F6" s="40">
        <f t="shared" si="1"/>
        <v>-196874.32434714003</v>
      </c>
    </row>
    <row r="7" spans="1:6" x14ac:dyDescent="0.25">
      <c r="A7" s="37">
        <v>5</v>
      </c>
      <c r="B7" s="40"/>
      <c r="C7" s="41">
        <f t="shared" si="0"/>
        <v>739915</v>
      </c>
      <c r="D7" s="40">
        <f>'Tabela 10 - NSV'!D6</f>
        <v>196902.62149042691</v>
      </c>
      <c r="E7" s="40">
        <f t="shared" si="2"/>
        <v>739943.29714328691</v>
      </c>
      <c r="F7" s="40">
        <f t="shared" si="1"/>
        <v>28.297143286908977</v>
      </c>
    </row>
    <row r="8" spans="1:6" x14ac:dyDescent="0.25">
      <c r="A8" s="37">
        <v>6</v>
      </c>
      <c r="B8" s="40"/>
      <c r="C8" s="41">
        <f t="shared" si="0"/>
        <v>739915</v>
      </c>
      <c r="D8" s="40">
        <f>'Tabela 10 - NSV'!D7</f>
        <v>190806.58104832796</v>
      </c>
      <c r="E8" s="40">
        <f t="shared" ref="E8:E12" si="3">D8+E7</f>
        <v>930749.87819161487</v>
      </c>
      <c r="F8" s="40">
        <f t="shared" ref="F8:F12" si="4">E8-C8</f>
        <v>190834.87819161487</v>
      </c>
    </row>
    <row r="9" spans="1:6" x14ac:dyDescent="0.25">
      <c r="A9" s="37">
        <v>7</v>
      </c>
      <c r="B9" s="40"/>
      <c r="C9" s="41">
        <f t="shared" si="0"/>
        <v>739915</v>
      </c>
      <c r="D9" s="40">
        <f>'Tabela 10 - NSV'!D8</f>
        <v>178323.76601956767</v>
      </c>
      <c r="E9" s="40">
        <f t="shared" si="3"/>
        <v>1109073.6442111826</v>
      </c>
      <c r="F9" s="40">
        <f t="shared" si="4"/>
        <v>369158.6442111826</v>
      </c>
    </row>
    <row r="10" spans="1:6" x14ac:dyDescent="0.25">
      <c r="A10" s="37">
        <v>8</v>
      </c>
      <c r="B10" s="40"/>
      <c r="C10" s="41">
        <f t="shared" si="0"/>
        <v>739915</v>
      </c>
      <c r="D10" s="40">
        <f>'Tabela 10 - NSV'!D9</f>
        <v>172911.39538329086</v>
      </c>
      <c r="E10" s="40">
        <f t="shared" si="3"/>
        <v>1281985.0395944736</v>
      </c>
      <c r="F10" s="40">
        <f t="shared" si="4"/>
        <v>542070.03959447355</v>
      </c>
    </row>
    <row r="11" spans="1:6" x14ac:dyDescent="0.25">
      <c r="A11" s="37">
        <v>9</v>
      </c>
      <c r="B11" s="40"/>
      <c r="C11" s="41">
        <f t="shared" si="0"/>
        <v>739915</v>
      </c>
      <c r="D11" s="40">
        <f>'Tabela 10 - NSV'!D10</f>
        <v>160642.52178405024</v>
      </c>
      <c r="E11" s="40">
        <f t="shared" si="3"/>
        <v>1442627.5613785237</v>
      </c>
      <c r="F11" s="40">
        <f t="shared" si="4"/>
        <v>702712.56137852371</v>
      </c>
    </row>
    <row r="12" spans="1:6" x14ac:dyDescent="0.25">
      <c r="A12" s="37">
        <v>10</v>
      </c>
      <c r="B12" s="40"/>
      <c r="C12" s="41">
        <f t="shared" si="0"/>
        <v>739915</v>
      </c>
      <c r="D12" s="40">
        <f>'Tabela 10 - NSV'!D11</f>
        <v>156745.07593415029</v>
      </c>
      <c r="E12" s="40">
        <f t="shared" si="3"/>
        <v>1599372.637312674</v>
      </c>
      <c r="F12" s="40">
        <f t="shared" si="4"/>
        <v>859457.63731267396</v>
      </c>
    </row>
  </sheetData>
  <sheetProtection algorithmName="SHA-512" hashValue="SB6+sSmIUt6B3D/wThmIjCK9vb6ha1/k1VarpYPYsgppzMszH/H7z8kXgdUxG/xic3dDpceHWopRVkNNrzXVKg==" saltValue="AdmLU6lu6OwQyv43GP8IR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sqref="A1:L13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1513380</v>
      </c>
      <c r="D3" s="26">
        <f t="shared" ref="D3:L3" si="0">D4</f>
        <v>338300</v>
      </c>
      <c r="E3" s="26">
        <f t="shared" si="0"/>
        <v>358200</v>
      </c>
      <c r="F3" s="26">
        <f t="shared" si="0"/>
        <v>358200</v>
      </c>
      <c r="G3" s="26">
        <f t="shared" si="0"/>
        <v>368150</v>
      </c>
      <c r="H3" s="26">
        <f t="shared" si="0"/>
        <v>368150</v>
      </c>
      <c r="I3" s="26">
        <f t="shared" si="0"/>
        <v>368150</v>
      </c>
      <c r="J3" s="26">
        <f t="shared" si="0"/>
        <v>368150</v>
      </c>
      <c r="K3" s="26">
        <f t="shared" si="0"/>
        <v>368150</v>
      </c>
      <c r="L3" s="26">
        <f t="shared" si="0"/>
        <v>368150</v>
      </c>
    </row>
    <row r="4" spans="1:12" x14ac:dyDescent="0.25">
      <c r="A4" s="25">
        <v>1</v>
      </c>
      <c r="B4" s="27" t="s">
        <v>37</v>
      </c>
      <c r="C4" s="14">
        <f>'Tabela 9 Ekonomski tok'!C4</f>
        <v>773465</v>
      </c>
      <c r="D4" s="14">
        <f>'Tabela 9 Ekonomski tok'!D4</f>
        <v>338300</v>
      </c>
      <c r="E4" s="14">
        <f>'Tabela 9 Ekonomski tok'!E4</f>
        <v>358200</v>
      </c>
      <c r="F4" s="14">
        <f>'Tabela 9 Ekonomski tok'!F4</f>
        <v>358200</v>
      </c>
      <c r="G4" s="14">
        <f>'Tabela 9 Ekonomski tok'!G4</f>
        <v>368150</v>
      </c>
      <c r="H4" s="14">
        <f>'Tabela 9 Ekonomski tok'!H4</f>
        <v>368150</v>
      </c>
      <c r="I4" s="14">
        <f>'Tabela 9 Ekonomski tok'!I4</f>
        <v>368150</v>
      </c>
      <c r="J4" s="14">
        <f>'Tabela 9 Ekonomski tok'!J4</f>
        <v>368150</v>
      </c>
      <c r="K4" s="14">
        <f>'Tabela 9 Ekonomski tok'!K4</f>
        <v>368150</v>
      </c>
      <c r="L4" s="14">
        <f>'Tabela 9 Ekonomski tok'!L4</f>
        <v>368150</v>
      </c>
    </row>
    <row r="5" spans="1:12" x14ac:dyDescent="0.25">
      <c r="A5" s="25">
        <v>2</v>
      </c>
      <c r="B5" s="27" t="s">
        <v>78</v>
      </c>
      <c r="C5" s="14">
        <f>SUM(C6:C7)</f>
        <v>739915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79</v>
      </c>
      <c r="B6" s="27" t="s">
        <v>80</v>
      </c>
      <c r="C6" s="14">
        <f>'Tabela 1 Struktura ulaganja'!D5</f>
        <v>639915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81</v>
      </c>
      <c r="B7" s="27" t="s">
        <v>82</v>
      </c>
      <c r="C7" s="14">
        <f>'Tabela 1 Struktura ulaganja'!C5</f>
        <v>100000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862622.11866666668</v>
      </c>
      <c r="D8" s="28">
        <f t="shared" ref="D8:L8" si="1">SUM(D9:D12)</f>
        <v>119707.11866666669</v>
      </c>
      <c r="E8" s="28">
        <f t="shared" si="1"/>
        <v>137705.65053081344</v>
      </c>
      <c r="F8" s="28">
        <f t="shared" si="1"/>
        <v>134264.65827701724</v>
      </c>
      <c r="G8" s="28">
        <f t="shared" si="1"/>
        <v>141032.36598505234</v>
      </c>
      <c r="H8" s="28">
        <f t="shared" si="1"/>
        <v>136187.20833030931</v>
      </c>
      <c r="I8" s="28">
        <f t="shared" si="1"/>
        <v>140190.09016572457</v>
      </c>
      <c r="J8" s="28">
        <f t="shared" si="1"/>
        <v>135172.71864010117</v>
      </c>
      <c r="K8" s="28">
        <f t="shared" si="1"/>
        <v>140634.26860026116</v>
      </c>
      <c r="L8" s="28">
        <f t="shared" si="1"/>
        <v>134073.8812750128</v>
      </c>
    </row>
    <row r="9" spans="1:12" x14ac:dyDescent="0.25">
      <c r="A9" s="25">
        <v>3</v>
      </c>
      <c r="B9" s="27" t="s">
        <v>40</v>
      </c>
      <c r="C9" s="29">
        <f>'Tabela 9 Ekonomski tok'!C6</f>
        <v>739915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78441.626666666678</v>
      </c>
      <c r="D10" s="30">
        <f>'Tabela 9 Ekonomski tok'!D7</f>
        <v>75441.626666666678</v>
      </c>
      <c r="E10" s="30">
        <f>'Tabela 9 Ekonomski tok'!E7</f>
        <v>82812.988168045194</v>
      </c>
      <c r="F10" s="30">
        <f>'Tabela 9 Ekonomski tok'!F7</f>
        <v>79371.995914248982</v>
      </c>
      <c r="G10" s="30">
        <f>'Tabela 9 Ekonomski tok'!G7</f>
        <v>86139.703622284098</v>
      </c>
      <c r="H10" s="30">
        <f>'Tabela 9 Ekonomski tok'!H7</f>
        <v>81294.545967541053</v>
      </c>
      <c r="I10" s="30">
        <f>'Tabela 9 Ekonomski tok'!I7</f>
        <v>85297.427802956314</v>
      </c>
      <c r="J10" s="30">
        <f>'Tabela 9 Ekonomski tok'!J7</f>
        <v>80280.056277332929</v>
      </c>
      <c r="K10" s="30">
        <f>'Tabela 9 Ekonomski tok'!K7</f>
        <v>85741.606237492902</v>
      </c>
      <c r="L10" s="30">
        <f>'Tabela 9 Ekonomski tok'!L7</f>
        <v>79181.218912244556</v>
      </c>
    </row>
    <row r="11" spans="1:12" x14ac:dyDescent="0.25">
      <c r="A11" s="25">
        <v>5</v>
      </c>
      <c r="B11" s="27" t="s">
        <v>42</v>
      </c>
      <c r="C11" s="31">
        <f>'Tabela 9 Ekonomski tok'!C8</f>
        <v>40265.532000000007</v>
      </c>
      <c r="D11" s="31">
        <f>'Tabela 9 Ekonomski tok'!D8</f>
        <v>40265.532000000007</v>
      </c>
      <c r="E11" s="31">
        <f>'Tabela 9 Ekonomski tok'!E8</f>
        <v>40265.532000000007</v>
      </c>
      <c r="F11" s="31">
        <f>'Tabela 9 Ekonomski tok'!F8</f>
        <v>40265.532000000007</v>
      </c>
      <c r="G11" s="31">
        <f>'Tabela 9 Ekonomski tok'!G8</f>
        <v>40265.532000000007</v>
      </c>
      <c r="H11" s="31">
        <f>'Tabela 9 Ekonomski tok'!H8</f>
        <v>40265.532000000007</v>
      </c>
      <c r="I11" s="31">
        <f>'Tabela 9 Ekonomski tok'!I8</f>
        <v>40265.532000000007</v>
      </c>
      <c r="J11" s="31">
        <f>'Tabela 9 Ekonomski tok'!J8</f>
        <v>40265.532000000007</v>
      </c>
      <c r="K11" s="31">
        <f>'Tabela 9 Ekonomski tok'!K8</f>
        <v>40265.532000000007</v>
      </c>
      <c r="L11" s="31">
        <f>'Tabela 9 Ekonomski tok'!L8</f>
        <v>40265.532000000007</v>
      </c>
    </row>
    <row r="12" spans="1:12" x14ac:dyDescent="0.25">
      <c r="A12" s="25">
        <v>6</v>
      </c>
      <c r="B12" s="27" t="s">
        <v>83</v>
      </c>
      <c r="C12" s="31">
        <f>'Tabela 6 - Plan otplate kredita'!J5</f>
        <v>3999.9599999999996</v>
      </c>
      <c r="D12" s="31">
        <f>'Tabela 6 - Plan otplate kredita'!K5</f>
        <v>3999.9599999999996</v>
      </c>
      <c r="E12" s="31">
        <f>'Tabela 6 - Plan otplate kredita'!L5</f>
        <v>14627.130362768245</v>
      </c>
      <c r="F12" s="31">
        <f>'Tabela 6 - Plan otplate kredita'!M5</f>
        <v>14627.130362768245</v>
      </c>
      <c r="G12" s="31">
        <f>'Tabela 6 - Plan otplate kredita'!N5</f>
        <v>14627.130362768245</v>
      </c>
      <c r="H12" s="31">
        <f>'Tabela 6 - Plan otplate kredita'!O5</f>
        <v>14627.130362768245</v>
      </c>
      <c r="I12" s="31">
        <f>'Tabela 6 - Plan otplate kredita'!P5</f>
        <v>14627.130362768245</v>
      </c>
      <c r="J12" s="31">
        <f>'Tabela 6 - Plan otplate kredita'!Q5</f>
        <v>14627.130362768245</v>
      </c>
      <c r="K12" s="31">
        <f>'Tabela 6 - Plan otplate kredita'!R5</f>
        <v>14627.130362768245</v>
      </c>
      <c r="L12" s="31">
        <f>'Tabela 6 - Plan otplate kredita'!S5</f>
        <v>14627.130362768245</v>
      </c>
    </row>
    <row r="13" spans="1:12" x14ac:dyDescent="0.25">
      <c r="A13" s="24" t="s">
        <v>43</v>
      </c>
      <c r="B13" s="25" t="s">
        <v>44</v>
      </c>
      <c r="C13" s="32">
        <f>C3-C8</f>
        <v>650757.88133333332</v>
      </c>
      <c r="D13" s="32">
        <f>D3-D8</f>
        <v>218592.88133333332</v>
      </c>
      <c r="E13" s="32">
        <f>E3-E8</f>
        <v>220494.34946918656</v>
      </c>
      <c r="F13" s="32">
        <f>F3-F8</f>
        <v>223935.34172298276</v>
      </c>
      <c r="G13" s="32">
        <f>G3-G8</f>
        <v>227117.63401494766</v>
      </c>
      <c r="H13" s="32">
        <f t="shared" ref="H13:L13" si="2">H3-H8</f>
        <v>231962.79166969069</v>
      </c>
      <c r="I13" s="32">
        <f t="shared" si="2"/>
        <v>227959.90983427543</v>
      </c>
      <c r="J13" s="32">
        <f t="shared" si="2"/>
        <v>232977.28135989883</v>
      </c>
      <c r="K13" s="32">
        <f t="shared" si="2"/>
        <v>227515.73139973884</v>
      </c>
      <c r="L13" s="32">
        <f t="shared" si="2"/>
        <v>234076.1187249872</v>
      </c>
    </row>
  </sheetData>
  <sheetProtection algorithmName="SHA-512" hashValue="OXScHnIDHQTTemvxdIYc+FpE5496oBxf/NCsTPfVaxFgslJ9vWwmzL/8GfjiKmKDENnj5356lay4vCTbSho3lA==" saltValue="pDfVD4uGryx5BVCgKXpzt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sqref="A1:M18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2" t="s">
        <v>65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20" ht="47.25" customHeight="1" x14ac:dyDescent="0.25">
      <c r="A2" s="73" t="s">
        <v>6</v>
      </c>
      <c r="B2" s="73" t="s">
        <v>94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64</v>
      </c>
    </row>
    <row r="3" spans="1:20" x14ac:dyDescent="0.25">
      <c r="A3" s="46" t="s">
        <v>108</v>
      </c>
      <c r="B3" s="46" t="s">
        <v>109</v>
      </c>
      <c r="C3" s="50">
        <v>18</v>
      </c>
      <c r="D3" s="51">
        <v>17000</v>
      </c>
      <c r="E3" s="51">
        <v>17000</v>
      </c>
      <c r="F3" s="51">
        <v>18000</v>
      </c>
      <c r="G3" s="51">
        <v>18000</v>
      </c>
      <c r="H3" s="51">
        <v>18500</v>
      </c>
      <c r="I3" s="51">
        <v>18500</v>
      </c>
      <c r="J3" s="51">
        <v>18500</v>
      </c>
      <c r="K3" s="51">
        <v>18500</v>
      </c>
      <c r="L3" s="51">
        <v>18500</v>
      </c>
      <c r="M3" s="51">
        <v>18500</v>
      </c>
    </row>
    <row r="4" spans="1:20" x14ac:dyDescent="0.25">
      <c r="A4" s="46" t="s">
        <v>110</v>
      </c>
      <c r="B4" s="46" t="s">
        <v>109</v>
      </c>
      <c r="C4" s="50">
        <v>14</v>
      </c>
      <c r="D4" s="51">
        <v>1700</v>
      </c>
      <c r="E4" s="51">
        <v>1700</v>
      </c>
      <c r="F4" s="51">
        <v>1800</v>
      </c>
      <c r="G4" s="51">
        <v>1800</v>
      </c>
      <c r="H4" s="51">
        <v>1850</v>
      </c>
      <c r="I4" s="51">
        <v>1850</v>
      </c>
      <c r="J4" s="51">
        <v>1850</v>
      </c>
      <c r="K4" s="51">
        <v>1850</v>
      </c>
      <c r="L4" s="51">
        <v>1850</v>
      </c>
      <c r="M4" s="51">
        <v>1850</v>
      </c>
    </row>
    <row r="5" spans="1:20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20" x14ac:dyDescent="0.25">
      <c r="A6" s="46"/>
      <c r="B6" s="46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4" t="s">
        <v>89</v>
      </c>
      <c r="B15" s="125"/>
      <c r="C15" s="126"/>
      <c r="D15" s="51">
        <f>('Tabela 1 Struktura ulaganja'!E5-('Tabela 1 Struktura ulaganja'!E5/1.21))</f>
        <v>128415</v>
      </c>
      <c r="E15" s="127"/>
      <c r="F15" s="128"/>
      <c r="G15" s="128"/>
      <c r="H15" s="128"/>
      <c r="I15" s="128"/>
      <c r="J15" s="128"/>
      <c r="K15" s="128"/>
      <c r="L15" s="128"/>
      <c r="M15" s="129"/>
    </row>
    <row r="16" spans="1:20" x14ac:dyDescent="0.25">
      <c r="A16" s="116" t="s">
        <v>90</v>
      </c>
      <c r="B16" s="117"/>
      <c r="C16" s="118"/>
      <c r="D16" s="51">
        <f t="shared" ref="D16:M16" si="0">D3*0.5</f>
        <v>8500</v>
      </c>
      <c r="E16" s="51">
        <f t="shared" si="0"/>
        <v>8500</v>
      </c>
      <c r="F16" s="51">
        <f t="shared" si="0"/>
        <v>9000</v>
      </c>
      <c r="G16" s="51">
        <f t="shared" si="0"/>
        <v>9000</v>
      </c>
      <c r="H16" s="51">
        <f t="shared" si="0"/>
        <v>9250</v>
      </c>
      <c r="I16" s="51">
        <f t="shared" si="0"/>
        <v>9250</v>
      </c>
      <c r="J16" s="51">
        <f t="shared" si="0"/>
        <v>9250</v>
      </c>
      <c r="K16" s="51">
        <f t="shared" si="0"/>
        <v>9250</v>
      </c>
      <c r="L16" s="51">
        <f t="shared" si="0"/>
        <v>9250</v>
      </c>
      <c r="M16" s="51">
        <f t="shared" si="0"/>
        <v>9250</v>
      </c>
    </row>
    <row r="17" spans="1:21" ht="15" customHeight="1" x14ac:dyDescent="0.25">
      <c r="A17" s="116" t="s">
        <v>91</v>
      </c>
      <c r="B17" s="117"/>
      <c r="C17" s="118"/>
      <c r="D17" s="51">
        <f>('Tabela 1 Struktura ulaganja'!E5/1.21)*0.5+10000*0.1</f>
        <v>306750</v>
      </c>
      <c r="E17" s="121"/>
      <c r="F17" s="122"/>
      <c r="G17" s="122"/>
      <c r="H17" s="122"/>
      <c r="I17" s="122"/>
      <c r="J17" s="122"/>
      <c r="K17" s="122"/>
      <c r="L17" s="122"/>
      <c r="M17" s="123"/>
    </row>
    <row r="18" spans="1:21" ht="15.75" thickBot="1" x14ac:dyDescent="0.3">
      <c r="A18" s="113" t="s">
        <v>9</v>
      </c>
      <c r="B18" s="114"/>
      <c r="C18" s="115"/>
      <c r="D18" s="81">
        <f>SUMPRODUCT(D3:D14,$C$3:$C$14)+D15+D16+D17</f>
        <v>773465</v>
      </c>
      <c r="E18" s="81">
        <f t="shared" ref="E18:M18" si="1">SUMPRODUCT(E3:E14,$C$3:$C$14)+E15+E16+E17</f>
        <v>338300</v>
      </c>
      <c r="F18" s="81">
        <f t="shared" si="1"/>
        <v>358200</v>
      </c>
      <c r="G18" s="81">
        <f t="shared" si="1"/>
        <v>358200</v>
      </c>
      <c r="H18" s="81">
        <f t="shared" si="1"/>
        <v>368150</v>
      </c>
      <c r="I18" s="81">
        <f t="shared" si="1"/>
        <v>368150</v>
      </c>
      <c r="J18" s="81">
        <f t="shared" si="1"/>
        <v>368150</v>
      </c>
      <c r="K18" s="81">
        <f t="shared" si="1"/>
        <v>368150</v>
      </c>
      <c r="L18" s="81">
        <f t="shared" si="1"/>
        <v>368150</v>
      </c>
      <c r="M18" s="81">
        <f t="shared" si="1"/>
        <v>368150</v>
      </c>
    </row>
    <row r="19" spans="1:21" ht="15" customHeight="1" x14ac:dyDescent="0.25">
      <c r="A19" s="119" t="s">
        <v>102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9" t="s">
        <v>74</v>
      </c>
      <c r="B29" s="109"/>
      <c r="C29" s="109"/>
      <c r="D29" s="66"/>
      <c r="E29" s="66"/>
      <c r="F29" s="66"/>
      <c r="G29" s="66" t="s">
        <v>64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10" t="s">
        <v>75</v>
      </c>
      <c r="B30" s="111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SWDIhTw4oqwXLvo7tq3tHioxfJIp+N/qeAtcz0U55I7m/bQqrmbkImGbznlTdjcFcPYCBgFFCvbI85kgYr6bWA==" saltValue="ZsKoxzpWrRPrheOI7+w2dw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D14" sqref="D14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2" t="s">
        <v>70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 t="s">
        <v>111</v>
      </c>
      <c r="B3" s="46" t="s">
        <v>112</v>
      </c>
      <c r="C3" s="50">
        <v>1500</v>
      </c>
      <c r="D3" s="51">
        <v>2</v>
      </c>
      <c r="E3" s="51"/>
      <c r="F3" s="51">
        <v>2</v>
      </c>
      <c r="G3" s="51"/>
      <c r="H3" s="51">
        <v>3</v>
      </c>
      <c r="I3" s="51"/>
      <c r="J3" s="51">
        <v>3</v>
      </c>
      <c r="K3" s="51"/>
      <c r="L3" s="51">
        <v>4</v>
      </c>
      <c r="M3" s="51"/>
    </row>
    <row r="4" spans="1:34" x14ac:dyDescent="0.25">
      <c r="A4" s="46" t="s">
        <v>113</v>
      </c>
      <c r="B4" s="46" t="s">
        <v>114</v>
      </c>
      <c r="C4" s="50">
        <v>0.55000000000000004</v>
      </c>
      <c r="D4" s="51">
        <f>17000/0.75</f>
        <v>22666.666666666668</v>
      </c>
      <c r="E4" s="51">
        <f>17000/0.75</f>
        <v>22666.666666666668</v>
      </c>
      <c r="F4" s="51">
        <f>18000/0.75</f>
        <v>24000</v>
      </c>
      <c r="G4" s="51">
        <f>18000/0.75</f>
        <v>24000</v>
      </c>
      <c r="H4" s="51">
        <f>18500/0.75</f>
        <v>24666.666666666668</v>
      </c>
      <c r="I4" s="51">
        <f>18500/0.75</f>
        <v>24666.666666666668</v>
      </c>
      <c r="J4" s="51">
        <f t="shared" ref="J4:M4" si="0">18500/0.75</f>
        <v>24666.666666666668</v>
      </c>
      <c r="K4" s="51">
        <f t="shared" si="0"/>
        <v>24666.666666666668</v>
      </c>
      <c r="L4" s="51">
        <f t="shared" si="0"/>
        <v>24666.666666666668</v>
      </c>
      <c r="M4" s="51">
        <f t="shared" si="0"/>
        <v>24666.666666666668</v>
      </c>
    </row>
    <row r="5" spans="1:34" x14ac:dyDescent="0.25">
      <c r="A5" s="46" t="s">
        <v>115</v>
      </c>
      <c r="B5" s="46" t="s">
        <v>114</v>
      </c>
      <c r="C5" s="50">
        <v>0.55000000000000004</v>
      </c>
      <c r="D5" s="51">
        <v>1700</v>
      </c>
      <c r="E5" s="51">
        <v>1700</v>
      </c>
      <c r="F5" s="51">
        <v>1800</v>
      </c>
      <c r="G5" s="51">
        <v>1800</v>
      </c>
      <c r="H5" s="51">
        <v>1800</v>
      </c>
      <c r="I5" s="51">
        <v>1850</v>
      </c>
      <c r="J5" s="51">
        <v>1850</v>
      </c>
      <c r="K5" s="51">
        <v>1850</v>
      </c>
      <c r="L5" s="51">
        <v>1850</v>
      </c>
      <c r="M5" s="51">
        <v>1850</v>
      </c>
    </row>
    <row r="6" spans="1:34" x14ac:dyDescent="0.25">
      <c r="A6" s="46" t="s">
        <v>116</v>
      </c>
      <c r="B6" s="46" t="s">
        <v>114</v>
      </c>
      <c r="C6" s="50">
        <v>0.7</v>
      </c>
      <c r="D6" s="51">
        <f>17000/0.75</f>
        <v>22666.666666666668</v>
      </c>
      <c r="E6" s="51">
        <f>17000/0.75</f>
        <v>22666.666666666668</v>
      </c>
      <c r="F6" s="51">
        <f>18000/0.75</f>
        <v>24000</v>
      </c>
      <c r="G6" s="51">
        <f>18000/0.75</f>
        <v>24000</v>
      </c>
      <c r="H6" s="51">
        <f>18500/0.75</f>
        <v>24666.666666666668</v>
      </c>
      <c r="I6" s="51">
        <f t="shared" ref="I6:M6" si="1">18500/0.75</f>
        <v>24666.666666666668</v>
      </c>
      <c r="J6" s="51">
        <f t="shared" si="1"/>
        <v>24666.666666666668</v>
      </c>
      <c r="K6" s="51">
        <f t="shared" si="1"/>
        <v>24666.666666666668</v>
      </c>
      <c r="L6" s="51">
        <f t="shared" si="1"/>
        <v>24666.666666666668</v>
      </c>
      <c r="M6" s="51">
        <f t="shared" si="1"/>
        <v>24666.666666666668</v>
      </c>
    </row>
    <row r="7" spans="1:34" x14ac:dyDescent="0.25">
      <c r="A7" s="46" t="s">
        <v>117</v>
      </c>
      <c r="B7" s="46" t="s">
        <v>114</v>
      </c>
      <c r="C7" s="53">
        <v>0.7</v>
      </c>
      <c r="D7" s="51">
        <v>1700</v>
      </c>
      <c r="E7" s="51">
        <v>1700</v>
      </c>
      <c r="F7" s="51">
        <v>1800</v>
      </c>
      <c r="G7" s="51">
        <v>1800</v>
      </c>
      <c r="H7" s="51">
        <v>1800</v>
      </c>
      <c r="I7" s="51">
        <v>1850</v>
      </c>
      <c r="J7" s="51">
        <v>1850</v>
      </c>
      <c r="K7" s="51">
        <v>1850</v>
      </c>
      <c r="L7" s="51">
        <v>1850</v>
      </c>
      <c r="M7" s="51">
        <v>1850</v>
      </c>
    </row>
    <row r="8" spans="1:34" x14ac:dyDescent="0.25">
      <c r="A8" s="46" t="s">
        <v>118</v>
      </c>
      <c r="B8" s="46" t="s">
        <v>119</v>
      </c>
      <c r="C8" s="53">
        <v>140</v>
      </c>
      <c r="D8" s="51">
        <v>6</v>
      </c>
      <c r="E8" s="51">
        <v>6</v>
      </c>
      <c r="F8" s="51">
        <v>8</v>
      </c>
      <c r="G8" s="51">
        <v>8</v>
      </c>
      <c r="H8" s="51">
        <v>10</v>
      </c>
      <c r="I8" s="51">
        <v>10</v>
      </c>
      <c r="J8" s="51">
        <v>10</v>
      </c>
      <c r="K8" s="51">
        <v>10</v>
      </c>
      <c r="L8" s="51">
        <v>10</v>
      </c>
      <c r="M8" s="51">
        <v>10</v>
      </c>
    </row>
    <row r="9" spans="1:34" x14ac:dyDescent="0.25">
      <c r="A9" s="46" t="s">
        <v>120</v>
      </c>
      <c r="B9" s="46" t="s">
        <v>114</v>
      </c>
      <c r="C9" s="53">
        <v>1.1000000000000001</v>
      </c>
      <c r="D9" s="51">
        <f>17000/0.75</f>
        <v>22666.666666666668</v>
      </c>
      <c r="E9" s="51">
        <f>17000/0.75</f>
        <v>22666.666666666668</v>
      </c>
      <c r="F9" s="51">
        <f>18000/0.75</f>
        <v>24000</v>
      </c>
      <c r="G9" s="51">
        <f>18000/0.75</f>
        <v>24000</v>
      </c>
      <c r="H9" s="51">
        <f>18500/0.75</f>
        <v>24666.666666666668</v>
      </c>
      <c r="I9" s="51">
        <f t="shared" ref="I9:M9" si="2">18500/0.75</f>
        <v>24666.666666666668</v>
      </c>
      <c r="J9" s="51">
        <f t="shared" si="2"/>
        <v>24666.666666666668</v>
      </c>
      <c r="K9" s="51">
        <f t="shared" si="2"/>
        <v>24666.666666666668</v>
      </c>
      <c r="L9" s="51">
        <f t="shared" si="2"/>
        <v>24666.666666666668</v>
      </c>
      <c r="M9" s="51">
        <f t="shared" si="2"/>
        <v>24666.666666666668</v>
      </c>
    </row>
    <row r="10" spans="1:34" x14ac:dyDescent="0.25">
      <c r="A10" s="46" t="s">
        <v>121</v>
      </c>
      <c r="B10" s="46" t="s">
        <v>114</v>
      </c>
      <c r="C10" s="53">
        <v>1.4</v>
      </c>
      <c r="D10" s="51">
        <v>1700</v>
      </c>
      <c r="E10" s="51">
        <v>1700</v>
      </c>
      <c r="F10" s="51">
        <v>1800</v>
      </c>
      <c r="G10" s="51">
        <v>1800</v>
      </c>
      <c r="H10" s="51">
        <v>1800</v>
      </c>
      <c r="I10" s="51">
        <v>1850</v>
      </c>
      <c r="J10" s="51">
        <v>1850</v>
      </c>
      <c r="K10" s="51">
        <v>1850</v>
      </c>
      <c r="L10" s="51">
        <v>1850</v>
      </c>
      <c r="M10" s="51">
        <v>1850</v>
      </c>
    </row>
    <row r="11" spans="1:34" x14ac:dyDescent="0.25">
      <c r="A11" s="46" t="s">
        <v>122</v>
      </c>
      <c r="B11" s="46" t="s">
        <v>123</v>
      </c>
      <c r="C11" s="53">
        <v>4</v>
      </c>
      <c r="D11" s="51">
        <v>300</v>
      </c>
      <c r="E11" s="51">
        <v>300</v>
      </c>
      <c r="F11" s="51">
        <v>350</v>
      </c>
      <c r="G11" s="51">
        <v>350</v>
      </c>
      <c r="H11" s="51">
        <v>400</v>
      </c>
      <c r="I11" s="51">
        <v>400</v>
      </c>
      <c r="J11" s="51">
        <v>400</v>
      </c>
      <c r="K11" s="51">
        <v>400</v>
      </c>
      <c r="L11" s="51">
        <v>400</v>
      </c>
      <c r="M11" s="51">
        <v>400</v>
      </c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3" t="s">
        <v>11</v>
      </c>
      <c r="B14" s="114"/>
      <c r="C14" s="115"/>
      <c r="D14" s="65">
        <f>SUMPRODUCT(D3:D13,$C$3:$C$13)</f>
        <v>62811.666666666672</v>
      </c>
      <c r="E14" s="65">
        <f>SUMPRODUCT(E3:E13,$C$3:$C$13)</f>
        <v>59811.666666666672</v>
      </c>
      <c r="F14" s="65">
        <f>SUMPRODUCT(F3:F13,$C$3:$C$13)*(100%+$C$26)</f>
        <v>66690</v>
      </c>
      <c r="G14" s="65">
        <f>SUMPRODUCT(G3:G13,$C$3:$C$13)*(100%+$C$26)^E2</f>
        <v>63690</v>
      </c>
      <c r="H14" s="65">
        <f t="shared" ref="H14:M14" si="3">SUMPRODUCT(H3:H13,$C$3:$C$13)*(100%+$C$26)^F2</f>
        <v>70236.666666666672</v>
      </c>
      <c r="I14" s="65">
        <f t="shared" si="3"/>
        <v>65869.166666666672</v>
      </c>
      <c r="J14" s="65">
        <f t="shared" si="3"/>
        <v>70369.166666666672</v>
      </c>
      <c r="K14" s="65">
        <f t="shared" si="3"/>
        <v>65869.166666666672</v>
      </c>
      <c r="L14" s="65">
        <f t="shared" si="3"/>
        <v>71869.166666666672</v>
      </c>
      <c r="M14" s="65">
        <f t="shared" si="3"/>
        <v>65869.166666666672</v>
      </c>
    </row>
    <row r="15" spans="1:34" ht="15" customHeight="1" x14ac:dyDescent="0.25">
      <c r="A15" s="119" t="s">
        <v>66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9" t="s">
        <v>74</v>
      </c>
      <c r="B25" s="109"/>
      <c r="C25" s="109"/>
      <c r="D25" s="66"/>
      <c r="E25" s="66"/>
      <c r="F25" s="66"/>
      <c r="G25" s="66" t="s">
        <v>64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10" t="s">
        <v>75</v>
      </c>
      <c r="B26" s="111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khD8k1bc9+ceS6Sq4OViZYnJBZRfuPpJCkqNvNH9YfRr2gzUNh7fmylfWs7NU0MAy7S/9TNDqFizZLAz3hWTYw==" saltValue="X9CKMkwo9GhOHpZsZ8TN2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I8" sqref="I8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5" width="10.85546875" style="47" hidden="1" customWidth="1"/>
    <col min="6" max="6" width="13.14062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2" t="s">
        <v>67</v>
      </c>
      <c r="B1" s="133"/>
      <c r="C1" s="133"/>
      <c r="D1" s="133"/>
      <c r="E1" s="133"/>
      <c r="F1" s="133"/>
      <c r="G1" s="134"/>
      <c r="H1" s="112" t="s">
        <v>71</v>
      </c>
      <c r="I1" s="112"/>
      <c r="J1" s="112"/>
      <c r="K1" s="112"/>
      <c r="L1" s="112"/>
      <c r="M1" s="112"/>
      <c r="N1" s="112"/>
      <c r="O1" s="112"/>
      <c r="P1" s="112"/>
      <c r="Q1" s="112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73" t="s">
        <v>105</v>
      </c>
      <c r="E2" s="73" t="s">
        <v>106</v>
      </c>
      <c r="F2" s="107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 t="s">
        <v>124</v>
      </c>
      <c r="C3" s="50">
        <v>750</v>
      </c>
      <c r="D3" s="50">
        <f>IF(C3&lt;=700,C3,IF(AND(C3&gt;700,C3&lt;=1000),C3-63,IF(C3&lt;=1000,C3-63,IF(C3&gt;1000,C3-123,FALSE))))</f>
        <v>687</v>
      </c>
      <c r="E3" s="104">
        <f>IF(C3&lt;=700,1.1834,IF(AND(C3&gt;700,C3&lt;=1000),1.3245,IF(C3&gt;999,1.4388,FALSE)))</f>
        <v>1.3245</v>
      </c>
      <c r="F3" s="105">
        <f>D3*E3</f>
        <v>909.93150000000003</v>
      </c>
      <c r="G3" s="54">
        <v>12</v>
      </c>
      <c r="H3" s="51">
        <v>1</v>
      </c>
      <c r="I3" s="51">
        <v>1</v>
      </c>
      <c r="J3" s="51">
        <v>1</v>
      </c>
      <c r="K3" s="51">
        <v>1</v>
      </c>
      <c r="L3" s="51">
        <v>1</v>
      </c>
      <c r="M3" s="51">
        <v>1</v>
      </c>
      <c r="N3" s="51">
        <v>1</v>
      </c>
      <c r="O3" s="51">
        <v>1</v>
      </c>
      <c r="P3" s="51">
        <v>1</v>
      </c>
      <c r="Q3" s="51">
        <v>1</v>
      </c>
    </row>
    <row r="4" spans="1:28" x14ac:dyDescent="0.25">
      <c r="A4" s="46">
        <v>2</v>
      </c>
      <c r="B4" s="46" t="s">
        <v>125</v>
      </c>
      <c r="C4" s="50">
        <v>730</v>
      </c>
      <c r="D4" s="50">
        <f t="shared" ref="D4:D5" si="0">IF(C4&lt;=700,C4,IF(AND(C4&gt;700,C4&lt;=1000),C4-63,IF(C4&lt;=1000,C4-63,IF(C4&gt;1000,C4-123,FALSE))))</f>
        <v>667</v>
      </c>
      <c r="E4" s="104">
        <f>IF(C4&lt;=700,1.1834,IF(AND(C4&gt;700,C4&lt;=1000),1.3245,IF(C4&gt;999,1.4388,FALSE)))</f>
        <v>1.3245</v>
      </c>
      <c r="F4" s="105">
        <f t="shared" ref="F4:F5" si="1">D4*E4</f>
        <v>883.44150000000002</v>
      </c>
      <c r="G4" s="54">
        <v>12</v>
      </c>
      <c r="H4" s="51">
        <v>1</v>
      </c>
      <c r="I4" s="51">
        <v>1</v>
      </c>
      <c r="J4" s="51">
        <v>1</v>
      </c>
      <c r="K4" s="51">
        <v>1</v>
      </c>
      <c r="L4" s="51">
        <v>1</v>
      </c>
      <c r="M4" s="51">
        <v>1</v>
      </c>
      <c r="N4" s="51">
        <v>1</v>
      </c>
      <c r="O4" s="51">
        <v>1</v>
      </c>
      <c r="P4" s="51">
        <v>1</v>
      </c>
      <c r="Q4" s="51">
        <v>1</v>
      </c>
    </row>
    <row r="5" spans="1:28" x14ac:dyDescent="0.25">
      <c r="A5" s="46">
        <v>3</v>
      </c>
      <c r="B5" s="46" t="s">
        <v>131</v>
      </c>
      <c r="C5" s="50">
        <v>600</v>
      </c>
      <c r="D5" s="50">
        <f t="shared" si="0"/>
        <v>600</v>
      </c>
      <c r="E5" s="104">
        <f t="shared" ref="E5" si="2">IF(C5&lt;=699,1.1834,IF(AND(C5&gt;700,C5&lt;=1000),1.3245,IF(C5&gt;999,1.4388,FALSE)))</f>
        <v>1.1834</v>
      </c>
      <c r="F5" s="105">
        <f t="shared" si="1"/>
        <v>710.04</v>
      </c>
      <c r="G5" s="54">
        <v>12</v>
      </c>
      <c r="H5" s="51">
        <v>1</v>
      </c>
      <c r="I5" s="51">
        <v>1</v>
      </c>
      <c r="J5" s="51">
        <v>1</v>
      </c>
      <c r="K5" s="51">
        <v>1</v>
      </c>
      <c r="L5" s="51">
        <v>1</v>
      </c>
      <c r="M5" s="51">
        <v>1</v>
      </c>
      <c r="N5" s="51">
        <v>1</v>
      </c>
      <c r="O5" s="51">
        <v>1</v>
      </c>
      <c r="P5" s="51">
        <v>1</v>
      </c>
      <c r="Q5" s="51">
        <v>1</v>
      </c>
    </row>
    <row r="6" spans="1:28" x14ac:dyDescent="0.25">
      <c r="A6" s="46">
        <v>4</v>
      </c>
      <c r="B6" s="46" t="s">
        <v>126</v>
      </c>
      <c r="C6" s="50">
        <v>540</v>
      </c>
      <c r="D6" s="50">
        <f t="shared" ref="D6" si="3">IF(C6&lt;=700,C6,IF(AND(C6&gt;700,C6&lt;=1000),C6-63,IF(C6&lt;=1000,C6-63,IF(C6&gt;1000,C6-123,FALSE))))</f>
        <v>540</v>
      </c>
      <c r="E6" s="104">
        <f t="shared" ref="E6" si="4">IF(C6&lt;=699,1.1834,IF(AND(C6&gt;700,C6&lt;=1000),1.3245,IF(C6&gt;999,1.4388,FALSE)))</f>
        <v>1.1834</v>
      </c>
      <c r="F6" s="105">
        <f t="shared" ref="F6" si="5">D6*E6</f>
        <v>639.03600000000006</v>
      </c>
      <c r="G6" s="54">
        <v>8</v>
      </c>
      <c r="H6" s="51">
        <v>2</v>
      </c>
      <c r="I6" s="51">
        <v>2</v>
      </c>
      <c r="J6" s="51">
        <v>2</v>
      </c>
      <c r="K6" s="51">
        <v>2</v>
      </c>
      <c r="L6" s="51">
        <v>2</v>
      </c>
      <c r="M6" s="51">
        <v>2</v>
      </c>
      <c r="N6" s="51">
        <v>2</v>
      </c>
      <c r="O6" s="51">
        <v>2</v>
      </c>
      <c r="P6" s="51">
        <v>2</v>
      </c>
      <c r="Q6" s="51">
        <v>2</v>
      </c>
    </row>
    <row r="7" spans="1:28" x14ac:dyDescent="0.25">
      <c r="A7" s="46">
        <v>5</v>
      </c>
      <c r="B7" s="46"/>
      <c r="C7" s="50"/>
      <c r="D7" s="50">
        <f t="shared" ref="D7:D12" si="6">IF(C7&lt;=700,C7,IF(AND(C7&gt;700,C7&lt;=1000),C7-63,IF(C7&lt;=1000,C7-63,IF(C7&gt;1000,C7-123,FALSE))))</f>
        <v>0</v>
      </c>
      <c r="E7" s="104">
        <f t="shared" ref="E7:E12" si="7">IF(C7&lt;=699,1.1834,IF(AND(C7&gt;700,C7&lt;=1000),1.3245,IF(C7&gt;999,1.4388,FALSE)))</f>
        <v>1.1834</v>
      </c>
      <c r="F7" s="105">
        <f t="shared" ref="F7:F12" si="8">D7*E7</f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6"/>
        <v>0</v>
      </c>
      <c r="E8" s="104">
        <f t="shared" si="7"/>
        <v>1.1834</v>
      </c>
      <c r="F8" s="105">
        <f t="shared" si="8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6"/>
        <v>0</v>
      </c>
      <c r="E9" s="104">
        <f t="shared" si="7"/>
        <v>1.1834</v>
      </c>
      <c r="F9" s="105">
        <f t="shared" si="8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6"/>
        <v>0</v>
      </c>
      <c r="E10" s="104">
        <f t="shared" si="7"/>
        <v>1.1834</v>
      </c>
      <c r="F10" s="105">
        <f t="shared" si="8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6"/>
        <v>0</v>
      </c>
      <c r="E11" s="104">
        <f t="shared" si="7"/>
        <v>1.1834</v>
      </c>
      <c r="F11" s="105">
        <f t="shared" si="8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6"/>
        <v>0</v>
      </c>
      <c r="E12" s="104">
        <f t="shared" si="7"/>
        <v>1.1834</v>
      </c>
      <c r="F12" s="105">
        <f t="shared" si="8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30" t="s">
        <v>3</v>
      </c>
      <c r="B13" s="130"/>
      <c r="C13" s="130"/>
      <c r="D13" s="130"/>
      <c r="E13" s="130"/>
      <c r="F13" s="130"/>
      <c r="G13" s="130"/>
      <c r="H13" s="52">
        <f>SUMPRODUCT($G$3:$G$12,H3:H12,$F$3:$F$12)</f>
        <v>40265.532000000007</v>
      </c>
      <c r="I13" s="52">
        <f t="shared" ref="I13:Q13" si="9">SUMPRODUCT($G$3:$G$12,I3:I12,$F$3:$F$12)</f>
        <v>40265.532000000007</v>
      </c>
      <c r="J13" s="52">
        <f t="shared" si="9"/>
        <v>40265.532000000007</v>
      </c>
      <c r="K13" s="52">
        <f t="shared" si="9"/>
        <v>40265.532000000007</v>
      </c>
      <c r="L13" s="52">
        <f t="shared" si="9"/>
        <v>40265.532000000007</v>
      </c>
      <c r="M13" s="52">
        <f t="shared" si="9"/>
        <v>40265.532000000007</v>
      </c>
      <c r="N13" s="52">
        <f t="shared" si="9"/>
        <v>40265.532000000007</v>
      </c>
      <c r="O13" s="52">
        <f t="shared" si="9"/>
        <v>40265.532000000007</v>
      </c>
      <c r="P13" s="52">
        <f t="shared" si="9"/>
        <v>40265.532000000007</v>
      </c>
      <c r="Q13" s="52">
        <f t="shared" si="9"/>
        <v>40265.532000000007</v>
      </c>
    </row>
    <row r="14" spans="1:28" x14ac:dyDescent="0.25">
      <c r="A14" s="119" t="s">
        <v>72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10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10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5" t="s">
        <v>76</v>
      </c>
      <c r="C20" s="109"/>
      <c r="D20" s="102"/>
      <c r="E20" s="102"/>
      <c r="F20" s="102"/>
      <c r="G20" s="66"/>
      <c r="H20" s="66"/>
      <c r="I20" s="66"/>
      <c r="J20" s="66" t="s">
        <v>64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77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gu1aX4F5FA5PLIGKhRtAFRFPLRefeZ5mYr0l5lMrAjMe/XZfPnIUEV4W16DS8Ms5OMfhtOk1D2XwZ69KCTzP7w==" saltValue="032VK+6eF/LfUfcyIbFNaA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G22" sqref="G22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3.140625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6" t="s">
        <v>23</v>
      </c>
      <c r="G1" s="137"/>
      <c r="H1" s="137"/>
      <c r="I1" s="137"/>
      <c r="J1" s="137"/>
      <c r="K1" s="137"/>
      <c r="L1" s="137"/>
      <c r="M1" s="137"/>
      <c r="N1" s="137"/>
      <c r="O1" s="138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>
        <v>850000</v>
      </c>
      <c r="D3" s="55">
        <v>50</v>
      </c>
      <c r="E3" s="56">
        <f>C3*0.1</f>
        <v>85000</v>
      </c>
      <c r="F3" s="43">
        <f>IF($D$3&gt;=F2,IFERROR(($C$3-$E$3)/$D$3,0),0)</f>
        <v>15300</v>
      </c>
      <c r="G3" s="43">
        <f t="shared" ref="G3:O3" si="0">IF($D$3&gt;=G2,IFERROR(($C$3-$E$3)/$D$3,0),0)</f>
        <v>15300</v>
      </c>
      <c r="H3" s="43">
        <f t="shared" si="0"/>
        <v>15300</v>
      </c>
      <c r="I3" s="43">
        <f t="shared" si="0"/>
        <v>15300</v>
      </c>
      <c r="J3" s="43">
        <f t="shared" si="0"/>
        <v>15300</v>
      </c>
      <c r="K3" s="43">
        <f t="shared" si="0"/>
        <v>15300</v>
      </c>
      <c r="L3" s="43">
        <f t="shared" si="0"/>
        <v>15300</v>
      </c>
      <c r="M3" s="43">
        <f t="shared" si="0"/>
        <v>15300</v>
      </c>
      <c r="N3" s="43">
        <f t="shared" si="0"/>
        <v>15300</v>
      </c>
      <c r="O3" s="43">
        <f t="shared" si="0"/>
        <v>15300</v>
      </c>
    </row>
    <row r="4" spans="1:15" x14ac:dyDescent="0.25">
      <c r="A4" s="1">
        <v>2</v>
      </c>
      <c r="B4" s="46" t="s">
        <v>103</v>
      </c>
      <c r="C4" s="53"/>
      <c r="D4" s="55"/>
      <c r="E4" s="56"/>
      <c r="F4" s="43">
        <f>IF($D$4&gt;=F2,IFERROR(($C$4-$E$4)/$D$4,0),0)</f>
        <v>0</v>
      </c>
      <c r="G4" s="43">
        <f t="shared" ref="G4:O4" si="1">IF($D$4&gt;=G2,IFERROR(($C$4-$E$4)/$D$4,0),0)</f>
        <v>0</v>
      </c>
      <c r="H4" s="43">
        <f t="shared" si="1"/>
        <v>0</v>
      </c>
      <c r="I4" s="43">
        <f t="shared" si="1"/>
        <v>0</v>
      </c>
      <c r="J4" s="43">
        <f t="shared" si="1"/>
        <v>0</v>
      </c>
      <c r="K4" s="43">
        <f t="shared" si="1"/>
        <v>0</v>
      </c>
      <c r="L4" s="43">
        <f t="shared" si="1"/>
        <v>0</v>
      </c>
      <c r="M4" s="43">
        <f t="shared" si="1"/>
        <v>0</v>
      </c>
      <c r="N4" s="43">
        <f t="shared" si="1"/>
        <v>0</v>
      </c>
      <c r="O4" s="43">
        <f t="shared" si="1"/>
        <v>0</v>
      </c>
    </row>
    <row r="5" spans="1:15" x14ac:dyDescent="0.25">
      <c r="A5" s="1">
        <v>3</v>
      </c>
      <c r="B5" s="1" t="s">
        <v>18</v>
      </c>
      <c r="C5" s="140"/>
      <c r="D5" s="141"/>
      <c r="E5" s="142"/>
      <c r="F5" s="143"/>
      <c r="G5" s="144"/>
      <c r="H5" s="144"/>
      <c r="I5" s="144"/>
      <c r="J5" s="144"/>
      <c r="K5" s="144"/>
      <c r="L5" s="144"/>
      <c r="M5" s="144"/>
      <c r="N5" s="144"/>
      <c r="O5" s="145"/>
    </row>
    <row r="6" spans="1:15" x14ac:dyDescent="0.25">
      <c r="A6" s="1" t="s">
        <v>19</v>
      </c>
      <c r="B6" s="46" t="s">
        <v>127</v>
      </c>
      <c r="C6" s="53">
        <v>250000</v>
      </c>
      <c r="D6" s="55">
        <v>15</v>
      </c>
      <c r="E6" s="56">
        <f>C6*0.1</f>
        <v>25000</v>
      </c>
      <c r="F6" s="43">
        <f>IF($D$6&gt;=F2,IFERROR(($C$6-$E$6)/$D$6,0),0)</f>
        <v>15000</v>
      </c>
      <c r="G6" s="43">
        <f t="shared" ref="G6:O6" si="2">IF($D$6&gt;=G2,IFERROR(($C$6-$E$6)/$D$6,0),0)</f>
        <v>15000</v>
      </c>
      <c r="H6" s="43">
        <f t="shared" si="2"/>
        <v>15000</v>
      </c>
      <c r="I6" s="43">
        <f t="shared" si="2"/>
        <v>15000</v>
      </c>
      <c r="J6" s="43">
        <f t="shared" si="2"/>
        <v>15000</v>
      </c>
      <c r="K6" s="43">
        <f t="shared" si="2"/>
        <v>15000</v>
      </c>
      <c r="L6" s="43">
        <f t="shared" si="2"/>
        <v>15000</v>
      </c>
      <c r="M6" s="43">
        <f t="shared" si="2"/>
        <v>15000</v>
      </c>
      <c r="N6" s="43">
        <f t="shared" si="2"/>
        <v>15000</v>
      </c>
      <c r="O6" s="43">
        <f t="shared" si="2"/>
        <v>15000</v>
      </c>
    </row>
    <row r="7" spans="1:15" x14ac:dyDescent="0.25">
      <c r="A7" s="1" t="s">
        <v>20</v>
      </c>
      <c r="B7" s="46" t="s">
        <v>128</v>
      </c>
      <c r="C7" s="53">
        <v>100000</v>
      </c>
      <c r="D7" s="55">
        <v>20</v>
      </c>
      <c r="E7" s="56">
        <f>C7*0.1</f>
        <v>10000</v>
      </c>
      <c r="F7" s="43">
        <f>IF($D$7&gt;=F2,IFERROR(($C$7-$E$7)/$D$7,0),0)</f>
        <v>4500</v>
      </c>
      <c r="G7" s="43">
        <f t="shared" ref="G7:O7" si="3">IF($D$7&gt;=G2,IFERROR(($C$7-$E$7)/$D$7,0),0)</f>
        <v>4500</v>
      </c>
      <c r="H7" s="43">
        <f t="shared" si="3"/>
        <v>4500</v>
      </c>
      <c r="I7" s="43">
        <f t="shared" si="3"/>
        <v>4500</v>
      </c>
      <c r="J7" s="43">
        <f t="shared" si="3"/>
        <v>4500</v>
      </c>
      <c r="K7" s="43">
        <f t="shared" si="3"/>
        <v>4500</v>
      </c>
      <c r="L7" s="43">
        <f t="shared" si="3"/>
        <v>4500</v>
      </c>
      <c r="M7" s="43">
        <f t="shared" si="3"/>
        <v>4500</v>
      </c>
      <c r="N7" s="43">
        <f t="shared" si="3"/>
        <v>4500</v>
      </c>
      <c r="O7" s="43">
        <f t="shared" si="3"/>
        <v>4500</v>
      </c>
    </row>
    <row r="8" spans="1:15" x14ac:dyDescent="0.25">
      <c r="A8" s="1" t="s">
        <v>21</v>
      </c>
      <c r="B8" s="46" t="s">
        <v>133</v>
      </c>
      <c r="C8" s="53">
        <v>10000</v>
      </c>
      <c r="D8" s="55">
        <v>7</v>
      </c>
      <c r="E8" s="56">
        <f>C8*1</f>
        <v>10000</v>
      </c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92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9" t="s">
        <v>24</v>
      </c>
      <c r="B11" s="139"/>
      <c r="C11" s="139"/>
      <c r="D11" s="139"/>
      <c r="E11" s="139"/>
      <c r="F11" s="5">
        <f>SUM(F3:F10)</f>
        <v>34800</v>
      </c>
      <c r="G11" s="5">
        <f t="shared" ref="G11:O11" si="7">SUM(G3:G10)</f>
        <v>34800</v>
      </c>
      <c r="H11" s="5">
        <f t="shared" si="7"/>
        <v>34800</v>
      </c>
      <c r="I11" s="5">
        <f t="shared" si="7"/>
        <v>34800</v>
      </c>
      <c r="J11" s="5">
        <f t="shared" si="7"/>
        <v>34800</v>
      </c>
      <c r="K11" s="5">
        <f t="shared" si="7"/>
        <v>34800</v>
      </c>
      <c r="L11" s="5">
        <f t="shared" si="7"/>
        <v>34800</v>
      </c>
      <c r="M11" s="5">
        <f t="shared" si="7"/>
        <v>34800</v>
      </c>
      <c r="N11" s="5">
        <f t="shared" si="7"/>
        <v>34800</v>
      </c>
      <c r="O11" s="5">
        <f t="shared" si="7"/>
        <v>34800</v>
      </c>
    </row>
    <row r="12" spans="1:15" ht="15" customHeight="1" x14ac:dyDescent="0.25">
      <c r="A12" s="146" t="s">
        <v>95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 x14ac:dyDescent="0.2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pans="1:15" x14ac:dyDescent="0.2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pans="1:15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pans="1:15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</sheetData>
  <sheetProtection algorithmName="SHA-512" hashValue="VrTJAprSJHAapIkNmI3KKsPhMRlSYuEiJ/BrXghS7KBVr/jrkq7RbZTYLnjWp9nvKKkeQVWk5HL/AJ6C6h75vw==" saltValue="yeb5/mesyzw/1gPKqew1x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I1" sqref="I1:S5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93</v>
      </c>
      <c r="B1" s="82">
        <f>'Tabela 1 Struktura ulaganja'!C5</f>
        <v>100000</v>
      </c>
      <c r="F1" s="95">
        <f>PMT(B2/12,B3,-B1)</f>
        <v>1218.9275302306871</v>
      </c>
      <c r="G1" s="96"/>
      <c r="I1" s="149" t="s">
        <v>63</v>
      </c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0" x14ac:dyDescent="0.25">
      <c r="A2" s="46" t="s">
        <v>54</v>
      </c>
      <c r="B2" s="92">
        <v>0.04</v>
      </c>
      <c r="F2" s="97">
        <f>IPMT(B2/12,A9,B3,-B1)</f>
        <v>333.33333333333337</v>
      </c>
      <c r="G2" s="96"/>
      <c r="I2" s="98"/>
      <c r="J2" s="148" t="s">
        <v>60</v>
      </c>
      <c r="K2" s="148"/>
      <c r="L2" s="148"/>
      <c r="M2" s="148"/>
      <c r="N2" s="148"/>
      <c r="O2" s="148"/>
      <c r="P2" s="148"/>
      <c r="Q2" s="148"/>
      <c r="R2" s="148"/>
      <c r="S2" s="148"/>
    </row>
    <row r="3" spans="1:20" x14ac:dyDescent="0.25">
      <c r="A3" s="46" t="s">
        <v>58</v>
      </c>
      <c r="B3" s="64">
        <v>96</v>
      </c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>
        <v>24</v>
      </c>
      <c r="I4" s="98" t="s">
        <v>32</v>
      </c>
      <c r="J4" s="99">
        <f>SUM(D11:D22)</f>
        <v>3999.9599999999996</v>
      </c>
      <c r="K4" s="99">
        <f>SUM(D23:D34)</f>
        <v>3999.9599999999996</v>
      </c>
      <c r="L4" s="99">
        <f>SUM(D35:D46)</f>
        <v>3802.9881680451945</v>
      </c>
      <c r="M4" s="99">
        <f>SUM(D47:D58)</f>
        <v>3361.9959142489802</v>
      </c>
      <c r="N4" s="99">
        <f>SUM(D59:D70)</f>
        <v>2903.0369556174323</v>
      </c>
      <c r="O4" s="99">
        <f>SUM(D71:D82)</f>
        <v>2425.3793008743755</v>
      </c>
      <c r="P4" s="99">
        <f>SUM(D83:D94)</f>
        <v>1928.2611362896375</v>
      </c>
      <c r="Q4" s="99">
        <f>SUM(D95:D106)</f>
        <v>1410.8896106662626</v>
      </c>
      <c r="R4" s="99">
        <f>SUM(D107:D118)</f>
        <v>872.43957082622569</v>
      </c>
      <c r="S4" s="99">
        <f>SUM(D119:D130)</f>
        <v>312.05224557788262</v>
      </c>
      <c r="T4" s="100"/>
    </row>
    <row r="5" spans="1:20" x14ac:dyDescent="0.25">
      <c r="I5" s="98" t="s">
        <v>56</v>
      </c>
      <c r="J5" s="99">
        <f>SUM(B11:B22)</f>
        <v>3999.9599999999996</v>
      </c>
      <c r="K5" s="99">
        <f>SUM(B23:B34)</f>
        <v>3999.9599999999996</v>
      </c>
      <c r="L5" s="99">
        <f>SUM(B35:B46)</f>
        <v>14627.130362768245</v>
      </c>
      <c r="M5" s="99">
        <f>SUM(B47:B58)</f>
        <v>14627.130362768245</v>
      </c>
      <c r="N5" s="99">
        <f>SUM(B59:B70)</f>
        <v>14627.130362768245</v>
      </c>
      <c r="O5" s="99">
        <f>SUM(B71:B82)</f>
        <v>14627.130362768245</v>
      </c>
      <c r="P5" s="99">
        <f>SUM(B83:B94)</f>
        <v>14627.130362768245</v>
      </c>
      <c r="Q5" s="99">
        <f>SUM(B95:B106)</f>
        <v>14627.130362768245</v>
      </c>
      <c r="R5" s="99">
        <f>SUM(B107:B118)</f>
        <v>14627.130362768245</v>
      </c>
      <c r="S5" s="99">
        <f>SUM(B119:B130)</f>
        <v>14627.130362768245</v>
      </c>
    </row>
    <row r="6" spans="1:20" x14ac:dyDescent="0.25">
      <c r="A6" s="151" t="s">
        <v>69</v>
      </c>
      <c r="B6" s="151"/>
      <c r="C6" s="151"/>
      <c r="D6" s="15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51"/>
      <c r="B7" s="151"/>
      <c r="C7" s="151"/>
      <c r="D7" s="151"/>
      <c r="J7" s="150"/>
      <c r="K7" s="150"/>
      <c r="L7" s="150"/>
      <c r="M7" s="150"/>
      <c r="N7" s="150"/>
      <c r="O7" s="150"/>
      <c r="P7" s="150"/>
      <c r="Q7" s="150"/>
      <c r="R7" s="150"/>
    </row>
    <row r="8" spans="1:20" x14ac:dyDescent="0.25">
      <c r="A8" s="151"/>
      <c r="B8" s="151"/>
      <c r="C8" s="151"/>
      <c r="D8" s="151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A11" s="47">
        <v>1</v>
      </c>
      <c r="B11" s="93">
        <v>333.33</v>
      </c>
      <c r="C11" s="93"/>
      <c r="D11" s="93">
        <v>333.33</v>
      </c>
    </row>
    <row r="12" spans="1:20" x14ac:dyDescent="0.25">
      <c r="A12" s="47">
        <v>2</v>
      </c>
      <c r="B12" s="93">
        <v>333.33</v>
      </c>
      <c r="C12" s="93"/>
      <c r="D12" s="93">
        <v>333.33</v>
      </c>
    </row>
    <row r="13" spans="1:20" x14ac:dyDescent="0.25">
      <c r="A13" s="47">
        <v>3</v>
      </c>
      <c r="B13" s="93">
        <v>333.33</v>
      </c>
      <c r="C13" s="93"/>
      <c r="D13" s="93">
        <v>333.33</v>
      </c>
    </row>
    <row r="14" spans="1:20" x14ac:dyDescent="0.25">
      <c r="A14" s="47">
        <v>4</v>
      </c>
      <c r="B14" s="93">
        <v>333.33</v>
      </c>
      <c r="C14" s="93"/>
      <c r="D14" s="93">
        <v>333.33</v>
      </c>
    </row>
    <row r="15" spans="1:20" x14ac:dyDescent="0.25">
      <c r="A15" s="47">
        <v>5</v>
      </c>
      <c r="B15" s="93">
        <v>333.33</v>
      </c>
      <c r="C15" s="93"/>
      <c r="D15" s="93">
        <v>333.33</v>
      </c>
    </row>
    <row r="16" spans="1:20" x14ac:dyDescent="0.25">
      <c r="A16" s="47">
        <v>6</v>
      </c>
      <c r="B16" s="93">
        <v>333.33</v>
      </c>
      <c r="C16" s="93"/>
      <c r="D16" s="93">
        <v>333.33</v>
      </c>
    </row>
    <row r="17" spans="1:4" x14ac:dyDescent="0.25">
      <c r="A17" s="47">
        <v>7</v>
      </c>
      <c r="B17" s="93">
        <v>333.33</v>
      </c>
      <c r="C17" s="93"/>
      <c r="D17" s="93">
        <v>333.33</v>
      </c>
    </row>
    <row r="18" spans="1:4" x14ac:dyDescent="0.25">
      <c r="A18" s="47">
        <v>8</v>
      </c>
      <c r="B18" s="93">
        <v>333.33</v>
      </c>
      <c r="C18" s="93"/>
      <c r="D18" s="93">
        <v>333.33</v>
      </c>
    </row>
    <row r="19" spans="1:4" x14ac:dyDescent="0.25">
      <c r="A19" s="47">
        <v>9</v>
      </c>
      <c r="B19" s="93">
        <v>333.33</v>
      </c>
      <c r="C19" s="93"/>
      <c r="D19" s="93">
        <v>333.33</v>
      </c>
    </row>
    <row r="20" spans="1:4" x14ac:dyDescent="0.25">
      <c r="A20" s="47">
        <v>10</v>
      </c>
      <c r="B20" s="93">
        <v>333.33</v>
      </c>
      <c r="C20" s="93"/>
      <c r="D20" s="93">
        <v>333.33</v>
      </c>
    </row>
    <row r="21" spans="1:4" x14ac:dyDescent="0.25">
      <c r="A21" s="47">
        <v>11</v>
      </c>
      <c r="B21" s="93">
        <v>333.33</v>
      </c>
      <c r="C21" s="93"/>
      <c r="D21" s="93">
        <v>333.33</v>
      </c>
    </row>
    <row r="22" spans="1:4" x14ac:dyDescent="0.25">
      <c r="A22" s="47">
        <v>12</v>
      </c>
      <c r="B22" s="93">
        <v>333.33</v>
      </c>
      <c r="C22" s="93"/>
      <c r="D22" s="93">
        <v>333.33</v>
      </c>
    </row>
    <row r="23" spans="1:4" x14ac:dyDescent="0.25">
      <c r="A23" s="47">
        <v>13</v>
      </c>
      <c r="B23" s="93">
        <v>333.33</v>
      </c>
      <c r="C23" s="93"/>
      <c r="D23" s="93">
        <v>333.33</v>
      </c>
    </row>
    <row r="24" spans="1:4" x14ac:dyDescent="0.25">
      <c r="A24" s="47">
        <v>14</v>
      </c>
      <c r="B24" s="93">
        <v>333.33</v>
      </c>
      <c r="C24" s="93"/>
      <c r="D24" s="93">
        <v>333.33</v>
      </c>
    </row>
    <row r="25" spans="1:4" x14ac:dyDescent="0.25">
      <c r="A25" s="47">
        <v>15</v>
      </c>
      <c r="B25" s="93">
        <v>333.33</v>
      </c>
      <c r="C25" s="93"/>
      <c r="D25" s="93">
        <v>333.33</v>
      </c>
    </row>
    <row r="26" spans="1:4" x14ac:dyDescent="0.25">
      <c r="A26" s="47">
        <v>16</v>
      </c>
      <c r="B26" s="93">
        <v>333.33</v>
      </c>
      <c r="C26" s="93"/>
      <c r="D26" s="93">
        <v>333.33</v>
      </c>
    </row>
    <row r="27" spans="1:4" x14ac:dyDescent="0.25">
      <c r="A27" s="47">
        <v>17</v>
      </c>
      <c r="B27" s="93">
        <v>333.33</v>
      </c>
      <c r="C27" s="93"/>
      <c r="D27" s="93">
        <v>333.33</v>
      </c>
    </row>
    <row r="28" spans="1:4" x14ac:dyDescent="0.25">
      <c r="A28" s="47">
        <v>18</v>
      </c>
      <c r="B28" s="93">
        <v>333.33</v>
      </c>
      <c r="C28" s="93"/>
      <c r="D28" s="93">
        <v>333.33</v>
      </c>
    </row>
    <row r="29" spans="1:4" x14ac:dyDescent="0.25">
      <c r="A29" s="47">
        <v>19</v>
      </c>
      <c r="B29" s="93">
        <v>333.33</v>
      </c>
      <c r="C29" s="93"/>
      <c r="D29" s="93">
        <v>333.33</v>
      </c>
    </row>
    <row r="30" spans="1:4" x14ac:dyDescent="0.25">
      <c r="A30" s="47">
        <v>20</v>
      </c>
      <c r="B30" s="93">
        <v>333.33</v>
      </c>
      <c r="C30" s="93"/>
      <c r="D30" s="93">
        <v>333.33</v>
      </c>
    </row>
    <row r="31" spans="1:4" x14ac:dyDescent="0.25">
      <c r="A31" s="47">
        <v>21</v>
      </c>
      <c r="B31" s="93">
        <v>333.33</v>
      </c>
      <c r="C31" s="93"/>
      <c r="D31" s="93">
        <v>333.33</v>
      </c>
    </row>
    <row r="32" spans="1:4" x14ac:dyDescent="0.25">
      <c r="A32" s="47">
        <v>22</v>
      </c>
      <c r="B32" s="93">
        <v>333.33</v>
      </c>
      <c r="C32" s="93"/>
      <c r="D32" s="93">
        <v>333.33</v>
      </c>
    </row>
    <row r="33" spans="1:4" x14ac:dyDescent="0.25">
      <c r="A33" s="47">
        <v>23</v>
      </c>
      <c r="B33" s="93">
        <v>333.33</v>
      </c>
      <c r="C33" s="93"/>
      <c r="D33" s="93">
        <v>333.33</v>
      </c>
    </row>
    <row r="34" spans="1:4" x14ac:dyDescent="0.25">
      <c r="A34" s="47">
        <v>24</v>
      </c>
      <c r="B34" s="93">
        <v>333.33</v>
      </c>
      <c r="C34" s="93"/>
      <c r="D34" s="93">
        <v>333.33</v>
      </c>
    </row>
    <row r="35" spans="1:4" x14ac:dyDescent="0.25">
      <c r="A35" s="47">
        <v>25</v>
      </c>
      <c r="B35" s="93">
        <v>1218.9275302306871</v>
      </c>
      <c r="C35" s="93"/>
      <c r="D35" s="93">
        <v>333.33333333333337</v>
      </c>
    </row>
    <row r="36" spans="1:4" x14ac:dyDescent="0.25">
      <c r="A36" s="47">
        <v>26</v>
      </c>
      <c r="B36" s="93">
        <v>1218.9275302306871</v>
      </c>
      <c r="C36" s="93"/>
      <c r="D36" s="93">
        <v>330.38135267700886</v>
      </c>
    </row>
    <row r="37" spans="1:4" x14ac:dyDescent="0.25">
      <c r="A37" s="47">
        <v>27</v>
      </c>
      <c r="B37" s="93">
        <v>1218.9275302306871</v>
      </c>
      <c r="C37" s="93"/>
      <c r="D37" s="93">
        <v>327.41953208516321</v>
      </c>
    </row>
    <row r="38" spans="1:4" x14ac:dyDescent="0.25">
      <c r="A38" s="47">
        <v>28</v>
      </c>
      <c r="B38" s="93">
        <v>1218.9275302306871</v>
      </c>
      <c r="C38" s="93"/>
      <c r="D38" s="93">
        <v>324.44783875801159</v>
      </c>
    </row>
    <row r="39" spans="1:4" x14ac:dyDescent="0.25">
      <c r="A39" s="47">
        <v>29</v>
      </c>
      <c r="B39" s="93">
        <v>1218.9275302306871</v>
      </c>
      <c r="C39" s="93"/>
      <c r="D39" s="93">
        <v>321.46623978643595</v>
      </c>
    </row>
    <row r="40" spans="1:4" x14ac:dyDescent="0.25">
      <c r="A40" s="47">
        <v>30</v>
      </c>
      <c r="B40" s="93">
        <v>1218.9275302306871</v>
      </c>
      <c r="C40" s="93"/>
      <c r="D40" s="93">
        <v>318.47470215162178</v>
      </c>
    </row>
    <row r="41" spans="1:4" x14ac:dyDescent="0.25">
      <c r="A41" s="47">
        <v>31</v>
      </c>
      <c r="B41" s="93">
        <v>1218.9275302306871</v>
      </c>
      <c r="C41" s="93"/>
      <c r="D41" s="93">
        <v>315.4731927246915</v>
      </c>
    </row>
    <row r="42" spans="1:4" x14ac:dyDescent="0.25">
      <c r="A42" s="47">
        <v>32</v>
      </c>
      <c r="B42" s="93">
        <v>1218.9275302306871</v>
      </c>
      <c r="C42" s="93"/>
      <c r="D42" s="93">
        <v>312.46167826633825</v>
      </c>
    </row>
    <row r="43" spans="1:4" x14ac:dyDescent="0.25">
      <c r="A43" s="47">
        <v>33</v>
      </c>
      <c r="B43" s="93">
        <v>1218.9275302306871</v>
      </c>
      <c r="C43" s="93"/>
      <c r="D43" s="93">
        <v>309.44012542645709</v>
      </c>
    </row>
    <row r="44" spans="1:4" x14ac:dyDescent="0.25">
      <c r="A44" s="47">
        <v>34</v>
      </c>
      <c r="B44" s="93">
        <v>1218.9275302306871</v>
      </c>
      <c r="C44" s="93"/>
      <c r="D44" s="93">
        <v>306.40850074377636</v>
      </c>
    </row>
    <row r="45" spans="1:4" x14ac:dyDescent="0.25">
      <c r="A45" s="47">
        <v>35</v>
      </c>
      <c r="B45" s="93">
        <v>1218.9275302306871</v>
      </c>
      <c r="C45" s="93"/>
      <c r="D45" s="93">
        <v>303.36677064548678</v>
      </c>
    </row>
    <row r="46" spans="1:4" x14ac:dyDescent="0.25">
      <c r="A46" s="47">
        <v>36</v>
      </c>
      <c r="B46" s="93">
        <v>1218.9275302306871</v>
      </c>
      <c r="C46" s="93"/>
      <c r="D46" s="93">
        <v>300.31490144686927</v>
      </c>
    </row>
    <row r="47" spans="1:4" x14ac:dyDescent="0.25">
      <c r="A47" s="47">
        <v>37</v>
      </c>
      <c r="B47" s="93">
        <v>1218.9275302306871</v>
      </c>
      <c r="C47" s="93"/>
      <c r="D47" s="93">
        <v>297.2528593509233</v>
      </c>
    </row>
    <row r="48" spans="1:4" x14ac:dyDescent="0.25">
      <c r="A48" s="47">
        <v>38</v>
      </c>
      <c r="B48" s="93">
        <v>1218.9275302306871</v>
      </c>
      <c r="C48" s="93"/>
      <c r="D48" s="93">
        <v>294.18061044799072</v>
      </c>
    </row>
    <row r="49" spans="1:4" x14ac:dyDescent="0.25">
      <c r="A49" s="47">
        <v>39</v>
      </c>
      <c r="B49" s="93">
        <v>1218.9275302306871</v>
      </c>
      <c r="C49" s="93"/>
      <c r="D49" s="93">
        <v>291.0981207153817</v>
      </c>
    </row>
    <row r="50" spans="1:4" x14ac:dyDescent="0.25">
      <c r="A50" s="47">
        <v>40</v>
      </c>
      <c r="B50" s="93">
        <v>1218.9275302306871</v>
      </c>
      <c r="C50" s="93"/>
      <c r="D50" s="93">
        <v>288.00535601699744</v>
      </c>
    </row>
    <row r="51" spans="1:4" x14ac:dyDescent="0.25">
      <c r="A51" s="47">
        <v>41</v>
      </c>
      <c r="B51" s="93">
        <v>1218.9275302306871</v>
      </c>
      <c r="C51" s="93"/>
      <c r="D51" s="93">
        <v>284.90228210295186</v>
      </c>
    </row>
    <row r="52" spans="1:4" x14ac:dyDescent="0.25">
      <c r="A52" s="47">
        <v>42</v>
      </c>
      <c r="B52" s="93">
        <v>1218.9275302306871</v>
      </c>
      <c r="C52" s="93"/>
      <c r="D52" s="93">
        <v>281.78886460919261</v>
      </c>
    </row>
    <row r="53" spans="1:4" x14ac:dyDescent="0.25">
      <c r="A53" s="47">
        <v>43</v>
      </c>
      <c r="B53" s="93">
        <v>1218.9275302306871</v>
      </c>
      <c r="C53" s="93"/>
      <c r="D53" s="93">
        <v>278.66506905712106</v>
      </c>
    </row>
    <row r="54" spans="1:4" x14ac:dyDescent="0.25">
      <c r="A54" s="47">
        <v>44</v>
      </c>
      <c r="B54" s="93">
        <v>1218.9275302306871</v>
      </c>
      <c r="C54" s="93"/>
      <c r="D54" s="93">
        <v>275.53086085320922</v>
      </c>
    </row>
    <row r="55" spans="1:4" x14ac:dyDescent="0.25">
      <c r="A55" s="47">
        <v>45</v>
      </c>
      <c r="B55" s="93">
        <v>1218.9275302306871</v>
      </c>
      <c r="C55" s="93"/>
      <c r="D55" s="93">
        <v>272.38620528861765</v>
      </c>
    </row>
    <row r="56" spans="1:4" x14ac:dyDescent="0.25">
      <c r="A56" s="47">
        <v>46</v>
      </c>
      <c r="B56" s="93">
        <v>1218.9275302306871</v>
      </c>
      <c r="C56" s="93"/>
      <c r="D56" s="93">
        <v>269.23106753881069</v>
      </c>
    </row>
    <row r="57" spans="1:4" x14ac:dyDescent="0.25">
      <c r="A57" s="47">
        <v>47</v>
      </c>
      <c r="B57" s="93">
        <v>1218.9275302306871</v>
      </c>
      <c r="C57" s="93"/>
      <c r="D57" s="93">
        <v>266.06541266317112</v>
      </c>
    </row>
    <row r="58" spans="1:4" x14ac:dyDescent="0.25">
      <c r="A58" s="47">
        <v>48</v>
      </c>
      <c r="B58" s="93">
        <v>1218.9275302306871</v>
      </c>
      <c r="C58" s="93"/>
      <c r="D58" s="93">
        <v>262.88920560461275</v>
      </c>
    </row>
    <row r="59" spans="1:4" x14ac:dyDescent="0.25">
      <c r="A59" s="47">
        <v>49</v>
      </c>
      <c r="B59" s="93">
        <v>1218.9275302306871</v>
      </c>
      <c r="C59" s="93"/>
      <c r="D59" s="93">
        <v>259.70241118919256</v>
      </c>
    </row>
    <row r="60" spans="1:4" x14ac:dyDescent="0.25">
      <c r="A60" s="47">
        <v>50</v>
      </c>
      <c r="B60" s="93">
        <v>1218.9275302306871</v>
      </c>
      <c r="C60" s="93"/>
      <c r="D60" s="93">
        <v>256.50499412572083</v>
      </c>
    </row>
    <row r="61" spans="1:4" x14ac:dyDescent="0.25">
      <c r="A61" s="47">
        <v>51</v>
      </c>
      <c r="B61" s="93">
        <v>1218.9275302306871</v>
      </c>
      <c r="C61" s="93"/>
      <c r="D61" s="93">
        <v>253.29691900537088</v>
      </c>
    </row>
    <row r="62" spans="1:4" x14ac:dyDescent="0.25">
      <c r="A62" s="47">
        <v>52</v>
      </c>
      <c r="B62" s="93">
        <v>1218.9275302306871</v>
      </c>
      <c r="C62" s="93"/>
      <c r="D62" s="93">
        <v>250.07815030128657</v>
      </c>
    </row>
    <row r="63" spans="1:4" x14ac:dyDescent="0.25">
      <c r="A63" s="47">
        <v>53</v>
      </c>
      <c r="B63" s="93">
        <v>1218.9275302306871</v>
      </c>
      <c r="C63" s="93"/>
      <c r="D63" s="93">
        <v>246.84865236818854</v>
      </c>
    </row>
    <row r="64" spans="1:4" x14ac:dyDescent="0.25">
      <c r="A64" s="47">
        <v>54</v>
      </c>
      <c r="B64" s="93">
        <v>1218.9275302306871</v>
      </c>
      <c r="C64" s="93"/>
      <c r="D64" s="93">
        <v>243.60838944198028</v>
      </c>
    </row>
    <row r="65" spans="1:4" x14ac:dyDescent="0.25">
      <c r="A65" s="47">
        <v>55</v>
      </c>
      <c r="B65" s="93">
        <v>1218.9275302306871</v>
      </c>
      <c r="C65" s="93"/>
      <c r="D65" s="93">
        <v>240.35732563935116</v>
      </c>
    </row>
    <row r="66" spans="1:4" x14ac:dyDescent="0.25">
      <c r="A66" s="47">
        <v>56</v>
      </c>
      <c r="B66" s="93">
        <v>1218.9275302306871</v>
      </c>
      <c r="C66" s="93"/>
      <c r="D66" s="93">
        <v>237.09542495738012</v>
      </c>
    </row>
    <row r="67" spans="1:4" x14ac:dyDescent="0.25">
      <c r="A67" s="47">
        <v>57</v>
      </c>
      <c r="B67" s="93">
        <v>1218.9275302306871</v>
      </c>
      <c r="C67" s="93"/>
      <c r="D67" s="93">
        <v>233.82265127313573</v>
      </c>
    </row>
    <row r="68" spans="1:4" x14ac:dyDescent="0.25">
      <c r="A68" s="47">
        <v>58</v>
      </c>
      <c r="B68" s="93">
        <v>1218.9275302306871</v>
      </c>
      <c r="C68" s="93"/>
      <c r="D68" s="93">
        <v>230.53896834327733</v>
      </c>
    </row>
    <row r="69" spans="1:4" x14ac:dyDescent="0.25">
      <c r="A69" s="47">
        <v>59</v>
      </c>
      <c r="B69" s="93">
        <v>1218.9275302306871</v>
      </c>
      <c r="C69" s="93"/>
      <c r="D69" s="93">
        <v>227.24433980365245</v>
      </c>
    </row>
    <row r="70" spans="1:4" x14ac:dyDescent="0.25">
      <c r="A70" s="47">
        <v>60</v>
      </c>
      <c r="B70" s="93">
        <v>1218.9275302306871</v>
      </c>
      <c r="C70" s="93"/>
      <c r="D70" s="93">
        <v>223.93872916889586</v>
      </c>
    </row>
    <row r="71" spans="1:4" x14ac:dyDescent="0.25">
      <c r="A71" s="47">
        <v>61</v>
      </c>
      <c r="B71" s="93">
        <v>1218.9275302306871</v>
      </c>
      <c r="C71" s="93"/>
      <c r="D71" s="93">
        <v>220.62209983202314</v>
      </c>
    </row>
    <row r="72" spans="1:4" x14ac:dyDescent="0.25">
      <c r="A72" s="47">
        <v>62</v>
      </c>
      <c r="B72" s="93">
        <v>1218.9275302306871</v>
      </c>
      <c r="C72" s="93"/>
      <c r="D72" s="93">
        <v>217.29441506402756</v>
      </c>
    </row>
    <row r="73" spans="1:4" x14ac:dyDescent="0.25">
      <c r="A73" s="47">
        <v>63</v>
      </c>
      <c r="B73" s="93">
        <v>1218.9275302306871</v>
      </c>
      <c r="C73" s="93"/>
      <c r="D73" s="93">
        <v>213.95563801347208</v>
      </c>
    </row>
    <row r="74" spans="1:4" x14ac:dyDescent="0.25">
      <c r="A74" s="47">
        <v>64</v>
      </c>
      <c r="B74" s="93">
        <v>1218.9275302306871</v>
      </c>
      <c r="C74" s="93"/>
      <c r="D74" s="93">
        <v>210.6057317060814</v>
      </c>
    </row>
    <row r="75" spans="1:4" x14ac:dyDescent="0.25">
      <c r="A75" s="47">
        <v>65</v>
      </c>
      <c r="B75" s="93">
        <v>1218.9275302306871</v>
      </c>
      <c r="C75" s="93"/>
      <c r="D75" s="93">
        <v>207.24465904433274</v>
      </c>
    </row>
    <row r="76" spans="1:4" x14ac:dyDescent="0.25">
      <c r="A76" s="47">
        <v>66</v>
      </c>
      <c r="B76" s="93">
        <v>1218.9275302306871</v>
      </c>
      <c r="C76" s="93"/>
      <c r="D76" s="93">
        <v>203.8723828070448</v>
      </c>
    </row>
    <row r="77" spans="1:4" x14ac:dyDescent="0.25">
      <c r="A77" s="47">
        <v>67</v>
      </c>
      <c r="B77" s="93">
        <v>1218.9275302306871</v>
      </c>
      <c r="C77" s="93"/>
      <c r="D77" s="93">
        <v>200.488865648966</v>
      </c>
    </row>
    <row r="78" spans="1:4" x14ac:dyDescent="0.25">
      <c r="A78" s="47">
        <v>68</v>
      </c>
      <c r="B78" s="93">
        <v>1218.9275302306871</v>
      </c>
      <c r="C78" s="93"/>
      <c r="D78" s="93">
        <v>197.09407010036031</v>
      </c>
    </row>
    <row r="79" spans="1:4" x14ac:dyDescent="0.25">
      <c r="A79" s="47">
        <v>69</v>
      </c>
      <c r="B79" s="93">
        <v>1218.9275302306871</v>
      </c>
      <c r="C79" s="93"/>
      <c r="D79" s="93">
        <v>193.68795856659256</v>
      </c>
    </row>
    <row r="80" spans="1:4" x14ac:dyDescent="0.25">
      <c r="A80" s="47">
        <v>70</v>
      </c>
      <c r="B80" s="93">
        <v>1218.9275302306871</v>
      </c>
      <c r="C80" s="93"/>
      <c r="D80" s="93">
        <v>190.2704933277123</v>
      </c>
    </row>
    <row r="81" spans="1:4" x14ac:dyDescent="0.25">
      <c r="A81" s="47">
        <v>71</v>
      </c>
      <c r="B81" s="93">
        <v>1218.9275302306871</v>
      </c>
      <c r="C81" s="93"/>
      <c r="D81" s="93">
        <v>186.8416365380356</v>
      </c>
    </row>
    <row r="82" spans="1:4" x14ac:dyDescent="0.25">
      <c r="A82" s="47">
        <v>72</v>
      </c>
      <c r="B82" s="93">
        <v>1218.9275302306871</v>
      </c>
      <c r="C82" s="93"/>
      <c r="D82" s="93">
        <v>183.40135022572679</v>
      </c>
    </row>
    <row r="83" spans="1:4" x14ac:dyDescent="0.25">
      <c r="A83" s="47">
        <v>73</v>
      </c>
      <c r="B83" s="93">
        <v>1218.9275302306871</v>
      </c>
      <c r="C83" s="93"/>
      <c r="D83" s="93">
        <v>179.94959629237698</v>
      </c>
    </row>
    <row r="84" spans="1:4" x14ac:dyDescent="0.25">
      <c r="A84" s="47">
        <v>74</v>
      </c>
      <c r="B84" s="93">
        <v>1218.9275302306871</v>
      </c>
      <c r="C84" s="93"/>
      <c r="D84" s="93">
        <v>176.4863365125826</v>
      </c>
    </row>
    <row r="85" spans="1:4" x14ac:dyDescent="0.25">
      <c r="A85" s="47">
        <v>75</v>
      </c>
      <c r="B85" s="93">
        <v>1218.9275302306871</v>
      </c>
      <c r="C85" s="93"/>
      <c r="D85" s="93">
        <v>173.01153253352226</v>
      </c>
    </row>
    <row r="86" spans="1:4" x14ac:dyDescent="0.25">
      <c r="A86" s="47">
        <v>76</v>
      </c>
      <c r="B86" s="93">
        <v>1218.9275302306871</v>
      </c>
      <c r="C86" s="93"/>
      <c r="D86" s="93">
        <v>169.52514587453174</v>
      </c>
    </row>
    <row r="87" spans="1:4" x14ac:dyDescent="0.25">
      <c r="A87" s="47">
        <v>77</v>
      </c>
      <c r="B87" s="93">
        <v>1218.9275302306871</v>
      </c>
      <c r="C87" s="93"/>
      <c r="D87" s="93">
        <v>166.02713792667782</v>
      </c>
    </row>
    <row r="88" spans="1:4" x14ac:dyDescent="0.25">
      <c r="A88" s="47">
        <v>78</v>
      </c>
      <c r="B88" s="93">
        <v>1218.9275302306871</v>
      </c>
      <c r="C88" s="93"/>
      <c r="D88" s="93">
        <v>162.51746995233117</v>
      </c>
    </row>
    <row r="89" spans="1:4" x14ac:dyDescent="0.25">
      <c r="A89" s="47">
        <v>79</v>
      </c>
      <c r="B89" s="93">
        <v>1218.9275302306871</v>
      </c>
      <c r="C89" s="93"/>
      <c r="D89" s="93">
        <v>158.99610308473652</v>
      </c>
    </row>
    <row r="90" spans="1:4" x14ac:dyDescent="0.25">
      <c r="A90" s="47">
        <v>80</v>
      </c>
      <c r="B90" s="93">
        <v>1218.9275302306871</v>
      </c>
      <c r="C90" s="93"/>
      <c r="D90" s="93">
        <v>155.46299832758351</v>
      </c>
    </row>
    <row r="91" spans="1:4" x14ac:dyDescent="0.25">
      <c r="A91" s="47">
        <v>81</v>
      </c>
      <c r="B91" s="93">
        <v>1218.9275302306871</v>
      </c>
      <c r="C91" s="93"/>
      <c r="D91" s="93">
        <v>151.91811655457303</v>
      </c>
    </row>
    <row r="92" spans="1:4" x14ac:dyDescent="0.25">
      <c r="A92" s="47">
        <v>82</v>
      </c>
      <c r="B92" s="93">
        <v>1218.9275302306871</v>
      </c>
      <c r="C92" s="93"/>
      <c r="D92" s="93">
        <v>148.36141850898605</v>
      </c>
    </row>
    <row r="93" spans="1:4" x14ac:dyDescent="0.25">
      <c r="A93" s="47">
        <v>83</v>
      </c>
      <c r="B93" s="93">
        <v>1218.9275302306871</v>
      </c>
      <c r="C93" s="93"/>
      <c r="D93" s="93">
        <v>144.79286480324697</v>
      </c>
    </row>
    <row r="94" spans="1:4" x14ac:dyDescent="0.25">
      <c r="A94" s="47">
        <v>84</v>
      </c>
      <c r="B94" s="93">
        <v>1218.9275302306871</v>
      </c>
      <c r="C94" s="93"/>
      <c r="D94" s="93">
        <v>141.21241591848883</v>
      </c>
    </row>
    <row r="95" spans="1:4" x14ac:dyDescent="0.25">
      <c r="A95" s="47">
        <v>85</v>
      </c>
      <c r="B95" s="93">
        <v>1218.9275302306871</v>
      </c>
      <c r="C95" s="93"/>
      <c r="D95" s="93">
        <v>137.62003220411495</v>
      </c>
    </row>
    <row r="96" spans="1:4" x14ac:dyDescent="0.25">
      <c r="A96" s="47">
        <v>86</v>
      </c>
      <c r="B96" s="93">
        <v>1218.9275302306871</v>
      </c>
      <c r="C96" s="93"/>
      <c r="D96" s="93">
        <v>134.01567387735963</v>
      </c>
    </row>
    <row r="97" spans="1:4" x14ac:dyDescent="0.25">
      <c r="A97" s="47">
        <v>87</v>
      </c>
      <c r="B97" s="93">
        <v>1218.9275302306871</v>
      </c>
      <c r="C97" s="93"/>
      <c r="D97" s="93">
        <v>130.39930102284859</v>
      </c>
    </row>
    <row r="98" spans="1:4" x14ac:dyDescent="0.25">
      <c r="A98" s="47">
        <v>88</v>
      </c>
      <c r="B98" s="93">
        <v>1218.9275302306871</v>
      </c>
      <c r="C98" s="93"/>
      <c r="D98" s="93">
        <v>126.77087359215575</v>
      </c>
    </row>
    <row r="99" spans="1:4" x14ac:dyDescent="0.25">
      <c r="A99" s="47">
        <v>89</v>
      </c>
      <c r="B99" s="93">
        <v>1218.9275302306871</v>
      </c>
      <c r="C99" s="93"/>
      <c r="D99" s="93">
        <v>123.13035140336072</v>
      </c>
    </row>
    <row r="100" spans="1:4" x14ac:dyDescent="0.25">
      <c r="A100" s="47">
        <v>90</v>
      </c>
      <c r="B100" s="93">
        <v>1218.9275302306871</v>
      </c>
      <c r="C100" s="93"/>
      <c r="D100" s="93">
        <v>119.47769414060276</v>
      </c>
    </row>
    <row r="101" spans="1:4" x14ac:dyDescent="0.25">
      <c r="A101" s="47">
        <v>91</v>
      </c>
      <c r="B101" s="93">
        <v>1218.9275302306871</v>
      </c>
      <c r="C101" s="93"/>
      <c r="D101" s="93">
        <v>115.81286135363585</v>
      </c>
    </row>
    <row r="102" spans="1:4" x14ac:dyDescent="0.25">
      <c r="A102" s="47">
        <v>92</v>
      </c>
      <c r="B102" s="93">
        <v>1218.9275302306871</v>
      </c>
      <c r="C102" s="93"/>
      <c r="D102" s="93">
        <v>112.13581245737905</v>
      </c>
    </row>
    <row r="103" spans="1:4" x14ac:dyDescent="0.25">
      <c r="A103" s="47">
        <v>93</v>
      </c>
      <c r="B103" s="93">
        <v>1218.9275302306871</v>
      </c>
      <c r="C103" s="93"/>
      <c r="D103" s="93">
        <v>108.44650673146805</v>
      </c>
    </row>
    <row r="104" spans="1:4" x14ac:dyDescent="0.25">
      <c r="A104" s="47">
        <v>94</v>
      </c>
      <c r="B104" s="93">
        <v>1218.9275302306871</v>
      </c>
      <c r="C104" s="93"/>
      <c r="D104" s="93">
        <v>104.74490331980387</v>
      </c>
    </row>
    <row r="105" spans="1:4" x14ac:dyDescent="0.25">
      <c r="A105" s="47">
        <v>95</v>
      </c>
      <c r="B105" s="93">
        <v>1218.9275302306871</v>
      </c>
      <c r="C105" s="93"/>
      <c r="D105" s="93">
        <v>101.03096123010094</v>
      </c>
    </row>
    <row r="106" spans="1:4" x14ac:dyDescent="0.25">
      <c r="A106" s="47">
        <v>96</v>
      </c>
      <c r="B106" s="93">
        <v>1218.9275302306871</v>
      </c>
      <c r="C106" s="93"/>
      <c r="D106" s="93">
        <v>97.304639333432291</v>
      </c>
    </row>
    <row r="107" spans="1:4" x14ac:dyDescent="0.25">
      <c r="A107" s="47">
        <v>97</v>
      </c>
      <c r="B107" s="93">
        <v>1218.9275302306871</v>
      </c>
      <c r="C107" s="93"/>
      <c r="D107" s="93">
        <v>93.565896363774954</v>
      </c>
    </row>
    <row r="108" spans="1:4" x14ac:dyDescent="0.25">
      <c r="A108" s="47">
        <v>98</v>
      </c>
      <c r="B108" s="93">
        <v>1218.9275302306871</v>
      </c>
      <c r="C108" s="93"/>
      <c r="D108" s="93">
        <v>89.8146909175519</v>
      </c>
    </row>
    <row r="109" spans="1:4" x14ac:dyDescent="0.25">
      <c r="A109" s="47">
        <v>99</v>
      </c>
      <c r="B109" s="93">
        <v>1218.9275302306871</v>
      </c>
      <c r="C109" s="93"/>
      <c r="D109" s="93">
        <v>86.050981453174742</v>
      </c>
    </row>
    <row r="110" spans="1:4" x14ac:dyDescent="0.25">
      <c r="A110" s="47">
        <v>100</v>
      </c>
      <c r="B110" s="93">
        <v>1218.9275302306871</v>
      </c>
      <c r="C110" s="93"/>
      <c r="D110" s="93">
        <v>82.274726290582933</v>
      </c>
    </row>
    <row r="111" spans="1:4" x14ac:dyDescent="0.25">
      <c r="A111" s="47">
        <v>101</v>
      </c>
      <c r="B111" s="93">
        <v>1218.9275302306871</v>
      </c>
      <c r="C111" s="93"/>
      <c r="D111" s="93">
        <v>78.485883610782693</v>
      </c>
    </row>
    <row r="112" spans="1:4" x14ac:dyDescent="0.25">
      <c r="A112" s="47">
        <v>102</v>
      </c>
      <c r="B112" s="93">
        <v>1218.9275302306871</v>
      </c>
      <c r="C112" s="93"/>
      <c r="D112" s="93">
        <v>74.684411455382914</v>
      </c>
    </row>
    <row r="113" spans="1:4" x14ac:dyDescent="0.25">
      <c r="A113" s="47">
        <v>103</v>
      </c>
      <c r="B113" s="93">
        <v>1218.9275302306871</v>
      </c>
      <c r="C113" s="93"/>
      <c r="D113" s="93">
        <v>70.870267726131829</v>
      </c>
    </row>
    <row r="114" spans="1:4" x14ac:dyDescent="0.25">
      <c r="A114" s="47">
        <v>104</v>
      </c>
      <c r="B114" s="93">
        <v>1218.9275302306871</v>
      </c>
      <c r="C114" s="93"/>
      <c r="D114" s="93">
        <v>67.04341018445011</v>
      </c>
    </row>
    <row r="115" spans="1:4" x14ac:dyDescent="0.25">
      <c r="A115" s="47">
        <v>105</v>
      </c>
      <c r="B115" s="93">
        <v>1218.9275302306871</v>
      </c>
      <c r="C115" s="93"/>
      <c r="D115" s="93">
        <v>63.2037964509625</v>
      </c>
    </row>
    <row r="116" spans="1:4" x14ac:dyDescent="0.25">
      <c r="A116" s="47">
        <v>106</v>
      </c>
      <c r="B116" s="93">
        <v>1218.9275302306871</v>
      </c>
      <c r="C116" s="93"/>
      <c r="D116" s="93">
        <v>59.351384005030177</v>
      </c>
    </row>
    <row r="117" spans="1:4" x14ac:dyDescent="0.25">
      <c r="A117" s="47">
        <v>107</v>
      </c>
      <c r="B117" s="93">
        <v>1218.9275302306871</v>
      </c>
      <c r="C117" s="93"/>
      <c r="D117" s="93">
        <v>55.486130184277854</v>
      </c>
    </row>
    <row r="118" spans="1:4" x14ac:dyDescent="0.25">
      <c r="A118" s="47">
        <v>108</v>
      </c>
      <c r="B118" s="93">
        <v>1218.9275302306871</v>
      </c>
      <c r="C118" s="93"/>
      <c r="D118" s="93">
        <v>51.607992184123184</v>
      </c>
    </row>
    <row r="119" spans="1:4" x14ac:dyDescent="0.25">
      <c r="A119" s="47">
        <v>109</v>
      </c>
      <c r="B119" s="93">
        <v>1218.9275302306871</v>
      </c>
      <c r="C119" s="93"/>
      <c r="D119" s="93">
        <v>47.716927057301341</v>
      </c>
    </row>
    <row r="120" spans="1:4" x14ac:dyDescent="0.25">
      <c r="A120" s="47">
        <v>110</v>
      </c>
      <c r="B120" s="93">
        <v>1218.9275302306871</v>
      </c>
      <c r="C120" s="93"/>
      <c r="D120" s="93">
        <v>43.812891713390037</v>
      </c>
    </row>
    <row r="121" spans="1:4" x14ac:dyDescent="0.25">
      <c r="A121" s="47">
        <v>111</v>
      </c>
      <c r="B121" s="93">
        <v>1218.9275302306871</v>
      </c>
      <c r="C121" s="93"/>
      <c r="D121" s="93">
        <v>39.895842918332406</v>
      </c>
    </row>
    <row r="122" spans="1:4" x14ac:dyDescent="0.25">
      <c r="A122" s="47">
        <v>112</v>
      </c>
      <c r="B122" s="93">
        <v>1218.9275302306871</v>
      </c>
      <c r="C122" s="93"/>
      <c r="D122" s="93">
        <v>35.965737293957794</v>
      </c>
    </row>
    <row r="123" spans="1:4" x14ac:dyDescent="0.25">
      <c r="A123" s="47">
        <v>113</v>
      </c>
      <c r="B123" s="93">
        <v>1218.9275302306871</v>
      </c>
      <c r="C123" s="93"/>
      <c r="D123" s="93">
        <v>32.022531317502008</v>
      </c>
    </row>
    <row r="124" spans="1:4" x14ac:dyDescent="0.25">
      <c r="A124" s="47">
        <v>114</v>
      </c>
      <c r="B124" s="93">
        <v>1218.9275302306871</v>
      </c>
      <c r="C124" s="93"/>
      <c r="D124" s="93">
        <v>28.066181321124677</v>
      </c>
    </row>
    <row r="125" spans="1:4" x14ac:dyDescent="0.25">
      <c r="A125" s="47">
        <v>115</v>
      </c>
      <c r="B125" s="93">
        <v>1218.9275302306871</v>
      </c>
      <c r="C125" s="93"/>
      <c r="D125" s="93">
        <v>24.096643491426192</v>
      </c>
    </row>
    <row r="126" spans="1:4" x14ac:dyDescent="0.25">
      <c r="A126" s="47">
        <v>116</v>
      </c>
      <c r="B126" s="93">
        <v>1218.9275302306871</v>
      </c>
      <c r="C126" s="93"/>
      <c r="D126" s="93">
        <v>20.113873868961914</v>
      </c>
    </row>
    <row r="127" spans="1:4" x14ac:dyDescent="0.25">
      <c r="A127" s="47">
        <v>117</v>
      </c>
      <c r="B127" s="93">
        <v>1218.9275302306871</v>
      </c>
      <c r="C127" s="93"/>
      <c r="D127" s="93">
        <v>16.117828347756337</v>
      </c>
    </row>
    <row r="128" spans="1:4" x14ac:dyDescent="0.25">
      <c r="A128" s="47">
        <v>118</v>
      </c>
      <c r="B128" s="93">
        <v>1218.9275302306871</v>
      </c>
      <c r="C128" s="93"/>
      <c r="D128" s="93">
        <v>12.108462674813033</v>
      </c>
    </row>
    <row r="129" spans="1:4" x14ac:dyDescent="0.25">
      <c r="A129" s="47">
        <v>119</v>
      </c>
      <c r="B129" s="93">
        <v>1218.9275302306871</v>
      </c>
      <c r="C129" s="93"/>
      <c r="D129" s="93">
        <v>8.0857324496267857</v>
      </c>
    </row>
    <row r="130" spans="1:4" x14ac:dyDescent="0.25">
      <c r="A130" s="47">
        <v>120</v>
      </c>
      <c r="B130" s="93">
        <v>1218.9275302306871</v>
      </c>
      <c r="C130" s="93"/>
      <c r="D130" s="93">
        <v>4.0495931236900189</v>
      </c>
    </row>
  </sheetData>
  <sheetProtection algorithmName="SHA-512" hashValue="mtqI81A683stRPJ7JmUI3YQNhR95DTVKVmZd0EnE1iaAd1yl6YaKrG1YxU30xH1bAKXnyxxD9HpSvGN5EeCD7g==" saltValue="RpuHs+DGDlfEKw1WBOhBx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activeCell="G28" sqref="G28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2" t="s">
        <v>73</v>
      </c>
      <c r="D1" s="152"/>
      <c r="E1" s="152"/>
      <c r="F1" s="152"/>
      <c r="G1" s="152"/>
      <c r="H1" s="152"/>
      <c r="I1" s="152"/>
      <c r="J1" s="152"/>
      <c r="K1" s="152"/>
      <c r="L1" s="152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>
        <v>1850</v>
      </c>
      <c r="D3" s="57">
        <v>1850</v>
      </c>
      <c r="E3" s="57">
        <v>1950</v>
      </c>
      <c r="F3" s="57">
        <v>1950</v>
      </c>
      <c r="G3" s="57">
        <v>2050</v>
      </c>
      <c r="H3" s="57">
        <v>2050</v>
      </c>
      <c r="I3" s="57">
        <v>2050</v>
      </c>
      <c r="J3" s="57">
        <v>2050</v>
      </c>
      <c r="K3" s="57">
        <v>2050</v>
      </c>
      <c r="L3" s="57">
        <v>2050</v>
      </c>
    </row>
    <row r="4" spans="1:12" x14ac:dyDescent="0.25">
      <c r="A4" s="46">
        <v>2</v>
      </c>
      <c r="B4" s="46" t="s">
        <v>13</v>
      </c>
      <c r="C4" s="57">
        <v>500</v>
      </c>
      <c r="D4" s="57">
        <v>500</v>
      </c>
      <c r="E4" s="57">
        <v>550</v>
      </c>
      <c r="F4" s="57">
        <v>550</v>
      </c>
      <c r="G4" s="57">
        <v>600</v>
      </c>
      <c r="H4" s="57">
        <v>600</v>
      </c>
      <c r="I4" s="57">
        <v>600</v>
      </c>
      <c r="J4" s="57">
        <v>600</v>
      </c>
      <c r="K4" s="57">
        <v>600</v>
      </c>
      <c r="L4" s="57">
        <v>600</v>
      </c>
    </row>
    <row r="5" spans="1:12" x14ac:dyDescent="0.25">
      <c r="A5" s="46">
        <v>3</v>
      </c>
      <c r="B5" s="46" t="s">
        <v>14</v>
      </c>
      <c r="C5" s="57">
        <v>320</v>
      </c>
      <c r="D5" s="57">
        <v>320</v>
      </c>
      <c r="E5" s="57">
        <v>360</v>
      </c>
      <c r="F5" s="57">
        <v>360</v>
      </c>
      <c r="G5" s="57">
        <v>420</v>
      </c>
      <c r="H5" s="57">
        <v>420</v>
      </c>
      <c r="I5" s="57">
        <v>420</v>
      </c>
      <c r="J5" s="57">
        <v>420</v>
      </c>
      <c r="K5" s="57">
        <v>420</v>
      </c>
      <c r="L5" s="57">
        <v>420</v>
      </c>
    </row>
    <row r="6" spans="1:12" x14ac:dyDescent="0.25">
      <c r="A6" s="46">
        <v>4</v>
      </c>
      <c r="B6" s="46" t="s">
        <v>15</v>
      </c>
      <c r="C6" s="57">
        <v>3600</v>
      </c>
      <c r="D6" s="57">
        <v>3600</v>
      </c>
      <c r="E6" s="57">
        <v>3800</v>
      </c>
      <c r="F6" s="57">
        <v>3800</v>
      </c>
      <c r="G6" s="57">
        <v>4000</v>
      </c>
      <c r="H6" s="57">
        <v>4000</v>
      </c>
      <c r="I6" s="57">
        <v>4000</v>
      </c>
      <c r="J6" s="57">
        <v>4000</v>
      </c>
      <c r="K6" s="57">
        <v>4000</v>
      </c>
      <c r="L6" s="57">
        <v>4000</v>
      </c>
    </row>
    <row r="7" spans="1:12" x14ac:dyDescent="0.25">
      <c r="A7" s="46">
        <v>5</v>
      </c>
      <c r="B7" s="46" t="s">
        <v>16</v>
      </c>
      <c r="C7" s="57">
        <v>1100</v>
      </c>
      <c r="D7" s="57">
        <v>1100</v>
      </c>
      <c r="E7" s="57">
        <v>1100</v>
      </c>
      <c r="F7" s="57">
        <v>1100</v>
      </c>
      <c r="G7" s="57">
        <v>1100</v>
      </c>
      <c r="H7" s="57">
        <v>1100</v>
      </c>
      <c r="I7" s="57">
        <v>1100</v>
      </c>
      <c r="J7" s="57">
        <v>1100</v>
      </c>
      <c r="K7" s="57">
        <v>1100</v>
      </c>
      <c r="L7" s="57">
        <v>1100</v>
      </c>
    </row>
    <row r="8" spans="1:12" x14ac:dyDescent="0.25">
      <c r="A8" s="46">
        <v>6</v>
      </c>
      <c r="B8" s="46" t="s">
        <v>31</v>
      </c>
      <c r="C8" s="57">
        <v>2000</v>
      </c>
      <c r="D8" s="57">
        <v>2000</v>
      </c>
      <c r="E8" s="57">
        <v>2200</v>
      </c>
      <c r="F8" s="57">
        <v>2200</v>
      </c>
      <c r="G8" s="57">
        <v>2400</v>
      </c>
      <c r="H8" s="57">
        <v>2400</v>
      </c>
      <c r="I8" s="57">
        <v>2400</v>
      </c>
      <c r="J8" s="57">
        <v>2400</v>
      </c>
      <c r="K8" s="57">
        <v>2400</v>
      </c>
      <c r="L8" s="57">
        <v>2400</v>
      </c>
    </row>
    <row r="9" spans="1:12" x14ac:dyDescent="0.25">
      <c r="A9" s="46">
        <v>7</v>
      </c>
      <c r="B9" s="46" t="s">
        <v>17</v>
      </c>
      <c r="C9" s="154"/>
      <c r="D9" s="155"/>
      <c r="E9" s="155"/>
      <c r="F9" s="155"/>
      <c r="G9" s="155"/>
      <c r="H9" s="155"/>
      <c r="I9" s="155"/>
      <c r="J9" s="155"/>
      <c r="K9" s="155"/>
      <c r="L9" s="156"/>
    </row>
    <row r="10" spans="1:12" x14ac:dyDescent="0.25">
      <c r="A10" s="46">
        <v>7.1</v>
      </c>
      <c r="B10" s="46" t="s">
        <v>129</v>
      </c>
      <c r="C10" s="57">
        <v>700</v>
      </c>
      <c r="D10" s="57">
        <v>700</v>
      </c>
      <c r="E10" s="57">
        <v>750</v>
      </c>
      <c r="F10" s="57">
        <v>750</v>
      </c>
      <c r="G10" s="57">
        <v>800</v>
      </c>
      <c r="H10" s="57">
        <v>800</v>
      </c>
      <c r="I10" s="57">
        <v>800</v>
      </c>
      <c r="J10" s="57">
        <v>800</v>
      </c>
      <c r="K10" s="57">
        <v>800</v>
      </c>
      <c r="L10" s="57">
        <v>800</v>
      </c>
    </row>
    <row r="11" spans="1:12" x14ac:dyDescent="0.25">
      <c r="A11" s="46">
        <v>7.2</v>
      </c>
      <c r="B11" s="46" t="s">
        <v>130</v>
      </c>
      <c r="C11" s="57">
        <v>1060</v>
      </c>
      <c r="D11" s="57">
        <v>1060</v>
      </c>
      <c r="E11" s="57">
        <v>1110</v>
      </c>
      <c r="F11" s="57">
        <v>1110</v>
      </c>
      <c r="G11" s="57">
        <v>1130</v>
      </c>
      <c r="H11" s="57">
        <v>1130</v>
      </c>
      <c r="I11" s="57">
        <v>1130</v>
      </c>
      <c r="J11" s="57">
        <v>1130</v>
      </c>
      <c r="K11" s="57">
        <v>1130</v>
      </c>
      <c r="L11" s="57">
        <v>1130</v>
      </c>
    </row>
    <row r="12" spans="1:12" x14ac:dyDescent="0.25">
      <c r="A12" s="46">
        <v>7.3</v>
      </c>
      <c r="B12" s="46" t="s">
        <v>132</v>
      </c>
      <c r="C12" s="57">
        <v>500</v>
      </c>
      <c r="D12" s="57">
        <v>500</v>
      </c>
      <c r="E12" s="57">
        <v>500</v>
      </c>
      <c r="F12" s="57">
        <v>500</v>
      </c>
      <c r="G12" s="57">
        <v>500</v>
      </c>
      <c r="H12" s="57">
        <v>500</v>
      </c>
      <c r="I12" s="57">
        <v>500</v>
      </c>
      <c r="J12" s="57">
        <v>500</v>
      </c>
      <c r="K12" s="57">
        <v>500</v>
      </c>
      <c r="L12" s="57">
        <v>500</v>
      </c>
    </row>
    <row r="13" spans="1:12" x14ac:dyDescent="0.25">
      <c r="A13" s="153" t="s">
        <v>53</v>
      </c>
      <c r="B13" s="153"/>
      <c r="C13" s="52">
        <f>SUM(C3:C12)</f>
        <v>11630</v>
      </c>
      <c r="D13" s="52">
        <f t="shared" ref="D13:L13" si="0">SUM(D3:D12)</f>
        <v>11630</v>
      </c>
      <c r="E13" s="52">
        <f t="shared" si="0"/>
        <v>12320</v>
      </c>
      <c r="F13" s="52">
        <f t="shared" si="0"/>
        <v>12320</v>
      </c>
      <c r="G13" s="52">
        <f t="shared" si="0"/>
        <v>13000</v>
      </c>
      <c r="H13" s="52">
        <f t="shared" si="0"/>
        <v>13000</v>
      </c>
      <c r="I13" s="52">
        <f t="shared" si="0"/>
        <v>13000</v>
      </c>
      <c r="J13" s="52">
        <f t="shared" si="0"/>
        <v>13000</v>
      </c>
      <c r="K13" s="52">
        <f t="shared" si="0"/>
        <v>13000</v>
      </c>
      <c r="L13" s="52">
        <f t="shared" si="0"/>
        <v>13000</v>
      </c>
    </row>
  </sheetData>
  <sheetProtection algorithmName="SHA-512" hashValue="aoS/J/NfbZ7MKkXrZODvrzMd5wkQwrUzB5N7qR6BOpM65zeL9UoN+irGNQye5SKGS4ASrcNWEu1pnrC6uA0InQ==" saltValue="C0AxG+dPhQbtRXDVV3ihkg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sqref="A1:K13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7" t="s">
        <v>23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773465</v>
      </c>
      <c r="C3" s="12">
        <f>'Tabela 2 Prihodi'!E18</f>
        <v>338300</v>
      </c>
      <c r="D3" s="12">
        <f>'Tabela 2 Prihodi'!F18</f>
        <v>358200</v>
      </c>
      <c r="E3" s="12">
        <f>'Tabela 2 Prihodi'!G18</f>
        <v>358200</v>
      </c>
      <c r="F3" s="12">
        <f>'Tabela 2 Prihodi'!H18</f>
        <v>368150</v>
      </c>
      <c r="G3" s="12">
        <f>'Tabela 2 Prihodi'!I18</f>
        <v>368150</v>
      </c>
      <c r="H3" s="12">
        <f>'Tabela 2 Prihodi'!J18</f>
        <v>368150</v>
      </c>
      <c r="I3" s="12">
        <f>'Tabela 2 Prihodi'!K18</f>
        <v>368150</v>
      </c>
      <c r="J3" s="12">
        <f>'Tabela 2 Prihodi'!L18</f>
        <v>368150</v>
      </c>
      <c r="K3" s="12">
        <f>'Tabela 2 Prihodi'!M18</f>
        <v>368150</v>
      </c>
    </row>
    <row r="4" spans="1:11" x14ac:dyDescent="0.25">
      <c r="A4" s="11" t="s">
        <v>96</v>
      </c>
      <c r="B4" s="12">
        <f>SUM(B5:B9)</f>
        <v>153507.15866666668</v>
      </c>
      <c r="C4" s="12">
        <f t="shared" ref="C4:K4" si="0">SUM(C5:C9)</f>
        <v>150507.15866666668</v>
      </c>
      <c r="D4" s="12">
        <f t="shared" si="0"/>
        <v>157878.52016804519</v>
      </c>
      <c r="E4" s="12">
        <f t="shared" si="0"/>
        <v>154437.52791424899</v>
      </c>
      <c r="F4" s="12">
        <f t="shared" si="0"/>
        <v>161205.23562228412</v>
      </c>
      <c r="G4" s="12">
        <f t="shared" si="0"/>
        <v>156360.07796754106</v>
      </c>
      <c r="H4" s="12">
        <f t="shared" si="0"/>
        <v>160362.95980295632</v>
      </c>
      <c r="I4" s="12">
        <f t="shared" si="0"/>
        <v>155345.58827733295</v>
      </c>
      <c r="J4" s="12">
        <f t="shared" si="0"/>
        <v>160807.13823749291</v>
      </c>
      <c r="K4" s="12">
        <f t="shared" si="0"/>
        <v>154246.75091224458</v>
      </c>
    </row>
    <row r="5" spans="1:11" x14ac:dyDescent="0.25">
      <c r="A5" s="10" t="s">
        <v>30</v>
      </c>
      <c r="B5" s="13">
        <f>'Tabela  3 - Mat. troškovi'!D14</f>
        <v>62811.666666666672</v>
      </c>
      <c r="C5" s="13">
        <f>'Tabela  3 - Mat. troškovi'!E14</f>
        <v>59811.666666666672</v>
      </c>
      <c r="D5" s="13">
        <f>'Tabela  3 - Mat. troškovi'!F14</f>
        <v>66690</v>
      </c>
      <c r="E5" s="13">
        <f>'Tabela  3 - Mat. troškovi'!G14</f>
        <v>63690</v>
      </c>
      <c r="F5" s="13">
        <f>'Tabela  3 - Mat. troškovi'!H14</f>
        <v>70236.666666666672</v>
      </c>
      <c r="G5" s="13">
        <f>'Tabela  3 - Mat. troškovi'!I14</f>
        <v>65869.166666666672</v>
      </c>
      <c r="H5" s="13">
        <f>'Tabela  3 - Mat. troškovi'!J14</f>
        <v>70369.166666666672</v>
      </c>
      <c r="I5" s="13">
        <f>'Tabela  3 - Mat. troškovi'!K14</f>
        <v>65869.166666666672</v>
      </c>
      <c r="J5" s="13">
        <f>'Tabela  3 - Mat. troškovi'!L14</f>
        <v>71869.166666666672</v>
      </c>
      <c r="K5" s="13">
        <f>'Tabela  3 - Mat. troškovi'!M14</f>
        <v>65869.166666666672</v>
      </c>
    </row>
    <row r="6" spans="1:11" x14ac:dyDescent="0.25">
      <c r="A6" s="10" t="s">
        <v>42</v>
      </c>
      <c r="B6" s="13">
        <f>'Tabela 4 - Bruto zarade'!H13</f>
        <v>40265.532000000007</v>
      </c>
      <c r="C6" s="13">
        <f>'Tabela 4 - Bruto zarade'!I13</f>
        <v>40265.532000000007</v>
      </c>
      <c r="D6" s="13">
        <f>'Tabela 4 - Bruto zarade'!J13</f>
        <v>40265.532000000007</v>
      </c>
      <c r="E6" s="13">
        <f>'Tabela 4 - Bruto zarade'!K13</f>
        <v>40265.532000000007</v>
      </c>
      <c r="F6" s="13">
        <f>'Tabela 4 - Bruto zarade'!L13</f>
        <v>40265.532000000007</v>
      </c>
      <c r="G6" s="13">
        <f>'Tabela 4 - Bruto zarade'!M13</f>
        <v>40265.532000000007</v>
      </c>
      <c r="H6" s="13">
        <f>'Tabela 4 - Bruto zarade'!N13</f>
        <v>40265.532000000007</v>
      </c>
      <c r="I6" s="13">
        <f>'Tabela 4 - Bruto zarade'!O13</f>
        <v>40265.532000000007</v>
      </c>
      <c r="J6" s="13">
        <f>'Tabela 4 - Bruto zarade'!P13</f>
        <v>40265.532000000007</v>
      </c>
      <c r="K6" s="13">
        <f>'Tabela 4 - Bruto zarade'!Q13</f>
        <v>40265.532000000007</v>
      </c>
    </row>
    <row r="7" spans="1:11" x14ac:dyDescent="0.25">
      <c r="A7" s="10" t="s">
        <v>27</v>
      </c>
      <c r="B7" s="13">
        <f>'Tabela 5 - Amortizacija'!F11</f>
        <v>34800</v>
      </c>
      <c r="C7" s="13">
        <f>'Tabela 5 - Amortizacija'!G11</f>
        <v>34800</v>
      </c>
      <c r="D7" s="13">
        <f>'Tabela 5 - Amortizacija'!H11</f>
        <v>34800</v>
      </c>
      <c r="E7" s="13">
        <f>'Tabela 5 - Amortizacija'!I11</f>
        <v>34800</v>
      </c>
      <c r="F7" s="13">
        <f>'Tabela 5 - Amortizacija'!J11</f>
        <v>34800</v>
      </c>
      <c r="G7" s="13">
        <f>'Tabela 5 - Amortizacija'!K11</f>
        <v>34800</v>
      </c>
      <c r="H7" s="13">
        <f>'Tabela 5 - Amortizacija'!L11</f>
        <v>34800</v>
      </c>
      <c r="I7" s="13">
        <f>'Tabela 5 - Amortizacija'!M11</f>
        <v>34800</v>
      </c>
      <c r="J7" s="13">
        <f>'Tabela 5 - Amortizacija'!N11</f>
        <v>34800</v>
      </c>
      <c r="K7" s="13">
        <f>'Tabela 5 - Amortizacija'!O11</f>
        <v>34800</v>
      </c>
    </row>
    <row r="8" spans="1:11" x14ac:dyDescent="0.25">
      <c r="A8" s="10" t="s">
        <v>32</v>
      </c>
      <c r="B8" s="13">
        <f>'Tabela 6 - Plan otplate kredita'!J4</f>
        <v>3999.9599999999996</v>
      </c>
      <c r="C8" s="13">
        <f>'Tabela 6 - Plan otplate kredita'!K4</f>
        <v>3999.9599999999996</v>
      </c>
      <c r="D8" s="13">
        <f>'Tabela 6 - Plan otplate kredita'!L4</f>
        <v>3802.9881680451945</v>
      </c>
      <c r="E8" s="13">
        <f>'Tabela 6 - Plan otplate kredita'!M4</f>
        <v>3361.9959142489802</v>
      </c>
      <c r="F8" s="13">
        <f>'Tabela 6 - Plan otplate kredita'!N4</f>
        <v>2903.0369556174323</v>
      </c>
      <c r="G8" s="13">
        <f>'Tabela 6 - Plan otplate kredita'!O4</f>
        <v>2425.3793008743755</v>
      </c>
      <c r="H8" s="13">
        <f>'Tabela 6 - Plan otplate kredita'!P4</f>
        <v>1928.2611362896375</v>
      </c>
      <c r="I8" s="13">
        <f>'Tabela 6 - Plan otplate kredita'!Q4</f>
        <v>1410.8896106662626</v>
      </c>
      <c r="J8" s="13">
        <f>'Tabela 6 - Plan otplate kredita'!R4</f>
        <v>872.43957082622569</v>
      </c>
      <c r="K8" s="13">
        <f>'Tabela 6 - Plan otplate kredita'!S4</f>
        <v>312.05224557788262</v>
      </c>
    </row>
    <row r="9" spans="1:11" x14ac:dyDescent="0.25">
      <c r="A9" s="10" t="s">
        <v>33</v>
      </c>
      <c r="B9" s="13">
        <f>'Tabela 7 - Ostali troškovi'!C13</f>
        <v>11630</v>
      </c>
      <c r="C9" s="13">
        <f>'Tabela 7 - Ostali troškovi'!D13</f>
        <v>11630</v>
      </c>
      <c r="D9" s="13">
        <f>'Tabela 7 - Ostali troškovi'!E13</f>
        <v>12320</v>
      </c>
      <c r="E9" s="13">
        <f>'Tabela 7 - Ostali troškovi'!F13</f>
        <v>12320</v>
      </c>
      <c r="F9" s="13">
        <f>'Tabela 7 - Ostali troškovi'!G13</f>
        <v>13000</v>
      </c>
      <c r="G9" s="13">
        <f>'Tabela 7 - Ostali troškovi'!H13</f>
        <v>13000</v>
      </c>
      <c r="H9" s="13">
        <f>'Tabela 7 - Ostali troškovi'!I13</f>
        <v>13000</v>
      </c>
      <c r="I9" s="13">
        <f>'Tabela 7 - Ostali troškovi'!J13</f>
        <v>13000</v>
      </c>
      <c r="J9" s="13">
        <f>'Tabela 7 - Ostali troškovi'!K13</f>
        <v>13000</v>
      </c>
      <c r="K9" s="13">
        <f>'Tabela 7 - Ostali troškovi'!L13</f>
        <v>13000</v>
      </c>
    </row>
    <row r="10" spans="1:11" x14ac:dyDescent="0.25">
      <c r="A10" s="15" t="s">
        <v>97</v>
      </c>
      <c r="B10" s="12">
        <f>B3-B4</f>
        <v>619957.84133333329</v>
      </c>
      <c r="C10" s="12">
        <f t="shared" ref="C10:K10" si="1">C3-C4</f>
        <v>187792.84133333332</v>
      </c>
      <c r="D10" s="12">
        <f t="shared" si="1"/>
        <v>200321.47983195481</v>
      </c>
      <c r="E10" s="12">
        <f t="shared" si="1"/>
        <v>203762.47208575101</v>
      </c>
      <c r="F10" s="12">
        <f t="shared" si="1"/>
        <v>206944.76437771588</v>
      </c>
      <c r="G10" s="12">
        <f t="shared" si="1"/>
        <v>211789.92203245894</v>
      </c>
      <c r="H10" s="12">
        <f t="shared" si="1"/>
        <v>207787.04019704368</v>
      </c>
      <c r="I10" s="12">
        <f t="shared" si="1"/>
        <v>212804.41172266705</v>
      </c>
      <c r="J10" s="12">
        <f t="shared" si="1"/>
        <v>207342.86176250709</v>
      </c>
      <c r="K10" s="12">
        <f t="shared" si="1"/>
        <v>213903.24908775542</v>
      </c>
    </row>
    <row r="11" spans="1:11" x14ac:dyDescent="0.25">
      <c r="A11" s="10" t="s">
        <v>28</v>
      </c>
      <c r="B11" s="16">
        <f>IF(B10&gt;0,9*B10/100,0)</f>
        <v>55796.205719999998</v>
      </c>
      <c r="C11" s="16">
        <f t="shared" ref="C11:K11" si="2">IF(C10&gt;0,9*C10/100,0)</f>
        <v>16901.35572</v>
      </c>
      <c r="D11" s="16">
        <f t="shared" si="2"/>
        <v>18028.933184875936</v>
      </c>
      <c r="E11" s="16">
        <f t="shared" si="2"/>
        <v>18338.622487717592</v>
      </c>
      <c r="F11" s="16">
        <f t="shared" si="2"/>
        <v>18625.028793994432</v>
      </c>
      <c r="G11" s="16">
        <f t="shared" si="2"/>
        <v>19061.092982921306</v>
      </c>
      <c r="H11" s="16">
        <f t="shared" si="2"/>
        <v>18700.83361773393</v>
      </c>
      <c r="I11" s="16">
        <f t="shared" si="2"/>
        <v>19152.397055040034</v>
      </c>
      <c r="J11" s="16">
        <f t="shared" si="2"/>
        <v>18660.857558625637</v>
      </c>
      <c r="K11" s="16">
        <f t="shared" si="2"/>
        <v>19251.292417897988</v>
      </c>
    </row>
    <row r="12" spans="1:11" x14ac:dyDescent="0.25">
      <c r="A12" s="11" t="s">
        <v>29</v>
      </c>
      <c r="B12" s="17">
        <f t="shared" ref="B12:K12" si="3">B10-B11</f>
        <v>564161.63561333332</v>
      </c>
      <c r="C12" s="17">
        <f t="shared" si="3"/>
        <v>170891.48561333332</v>
      </c>
      <c r="D12" s="17">
        <f t="shared" si="3"/>
        <v>182292.54664707888</v>
      </c>
      <c r="E12" s="17">
        <f t="shared" si="3"/>
        <v>185423.84959803341</v>
      </c>
      <c r="F12" s="17">
        <f t="shared" si="3"/>
        <v>188319.73558372146</v>
      </c>
      <c r="G12" s="17">
        <f t="shared" si="3"/>
        <v>192728.82904953763</v>
      </c>
      <c r="H12" s="17">
        <f t="shared" si="3"/>
        <v>189086.20657930974</v>
      </c>
      <c r="I12" s="17">
        <f t="shared" si="3"/>
        <v>193652.01466762702</v>
      </c>
      <c r="J12" s="17">
        <f t="shared" si="3"/>
        <v>188682.00420388146</v>
      </c>
      <c r="K12" s="17">
        <f t="shared" si="3"/>
        <v>194651.95666985743</v>
      </c>
    </row>
    <row r="13" spans="1:11" x14ac:dyDescent="0.25">
      <c r="A13" s="10" t="s">
        <v>98</v>
      </c>
      <c r="B13" s="22">
        <f>IFERROR((B12/B3),0)</f>
        <v>0.72939517058087089</v>
      </c>
      <c r="C13" s="22">
        <f t="shared" ref="C13:K13" si="4">IFERROR((C12/C3),0)</f>
        <v>0.50514775528623512</v>
      </c>
      <c r="D13" s="22">
        <f t="shared" si="4"/>
        <v>0.50891274887515048</v>
      </c>
      <c r="E13" s="22">
        <f t="shared" si="4"/>
        <v>0.51765452149088054</v>
      </c>
      <c r="F13" s="22">
        <f t="shared" si="4"/>
        <v>0.51152990787375108</v>
      </c>
      <c r="G13" s="22">
        <f t="shared" si="4"/>
        <v>0.52350625845317844</v>
      </c>
      <c r="H13" s="22">
        <f t="shared" si="4"/>
        <v>0.51361186087005228</v>
      </c>
      <c r="I13" s="22">
        <f t="shared" si="4"/>
        <v>0.52601389289047129</v>
      </c>
      <c r="J13" s="22">
        <f t="shared" si="4"/>
        <v>0.51251393237506848</v>
      </c>
      <c r="K13" s="22">
        <f t="shared" si="4"/>
        <v>0.52873001947536991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fG0Z9pgk5vHBzfoRkGzN+GhQMNu0+H6rs4Qy8ivChi+tNjpJaKD7xhp5G1rvhTkxPOBg4R74zi2fZozjqLBl+A==" saltValue="Swx6SMypQMh6JRbclQOhvA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sqref="A1:L9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773465</v>
      </c>
      <c r="D3" s="26">
        <f t="shared" ref="D3:L3" si="0">D4</f>
        <v>338300</v>
      </c>
      <c r="E3" s="26">
        <f t="shared" si="0"/>
        <v>358200</v>
      </c>
      <c r="F3" s="26">
        <f t="shared" si="0"/>
        <v>358200</v>
      </c>
      <c r="G3" s="26">
        <f t="shared" si="0"/>
        <v>368150</v>
      </c>
      <c r="H3" s="26">
        <f t="shared" si="0"/>
        <v>368150</v>
      </c>
      <c r="I3" s="26">
        <f t="shared" si="0"/>
        <v>368150</v>
      </c>
      <c r="J3" s="26">
        <f t="shared" si="0"/>
        <v>368150</v>
      </c>
      <c r="K3" s="26">
        <f t="shared" si="0"/>
        <v>368150</v>
      </c>
      <c r="L3" s="26">
        <f t="shared" si="0"/>
        <v>368150</v>
      </c>
    </row>
    <row r="4" spans="1:12" x14ac:dyDescent="0.25">
      <c r="A4" s="25">
        <v>1</v>
      </c>
      <c r="B4" s="27" t="s">
        <v>37</v>
      </c>
      <c r="C4" s="14">
        <f>'Tabela 8 -Projekcija bilansa '!B3</f>
        <v>773465</v>
      </c>
      <c r="D4" s="14">
        <f>'Tabela 8 -Projekcija bilansa '!C3</f>
        <v>338300</v>
      </c>
      <c r="E4" s="14">
        <f>'Tabela 8 -Projekcija bilansa '!D3</f>
        <v>358200</v>
      </c>
      <c r="F4" s="14">
        <f>'Tabela 8 -Projekcija bilansa '!E3</f>
        <v>358200</v>
      </c>
      <c r="G4" s="14">
        <f>'Tabela 8 -Projekcija bilansa '!F3</f>
        <v>368150</v>
      </c>
      <c r="H4" s="14">
        <f>'Tabela 8 -Projekcija bilansa '!G3</f>
        <v>368150</v>
      </c>
      <c r="I4" s="14">
        <f>'Tabela 8 -Projekcija bilansa '!H3</f>
        <v>368150</v>
      </c>
      <c r="J4" s="14">
        <f>'Tabela 8 -Projekcija bilansa '!I3</f>
        <v>368150</v>
      </c>
      <c r="K4" s="14">
        <f>'Tabela 8 -Projekcija bilansa '!J3</f>
        <v>368150</v>
      </c>
      <c r="L4" s="14">
        <f>'Tabela 8 -Projekcija bilansa '!K3</f>
        <v>368150</v>
      </c>
    </row>
    <row r="5" spans="1:12" x14ac:dyDescent="0.25">
      <c r="A5" s="24" t="s">
        <v>38</v>
      </c>
      <c r="B5" s="25" t="s">
        <v>39</v>
      </c>
      <c r="C5" s="28">
        <f>SUM(C6:C8)</f>
        <v>858622.15866666671</v>
      </c>
      <c r="D5" s="28">
        <f>SUM(D6:D8)</f>
        <v>115707.15866666668</v>
      </c>
      <c r="E5" s="28">
        <f>SUM(E6:E8)</f>
        <v>123078.5201680452</v>
      </c>
      <c r="F5" s="28">
        <f>SUM(F6:F8)</f>
        <v>119637.52791424899</v>
      </c>
      <c r="G5" s="28">
        <f>SUM(G6:G8)</f>
        <v>126405.2356222841</v>
      </c>
      <c r="H5" s="28">
        <f t="shared" ref="H5:L5" si="1">SUM(H6:H8)</f>
        <v>121560.07796754106</v>
      </c>
      <c r="I5" s="28">
        <f t="shared" si="1"/>
        <v>125562.95980295632</v>
      </c>
      <c r="J5" s="28">
        <f t="shared" si="1"/>
        <v>120545.58827733294</v>
      </c>
      <c r="K5" s="28">
        <f t="shared" si="1"/>
        <v>126007.13823749291</v>
      </c>
      <c r="L5" s="28">
        <f t="shared" si="1"/>
        <v>119446.75091224456</v>
      </c>
    </row>
    <row r="6" spans="1:12" x14ac:dyDescent="0.25">
      <c r="A6" s="25">
        <v>3</v>
      </c>
      <c r="B6" s="27" t="s">
        <v>40</v>
      </c>
      <c r="C6" s="29">
        <f>'Tabela 1 Struktura ulaganja'!E5</f>
        <v>739915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78441.626666666678</v>
      </c>
      <c r="D7" s="30">
        <f>'Tabela 8 -Projekcija bilansa '!C5+'Tabela 8 -Projekcija bilansa '!C8+'Tabela 8 -Projekcija bilansa '!C9</f>
        <v>75441.626666666678</v>
      </c>
      <c r="E7" s="30">
        <f>'Tabela 8 -Projekcija bilansa '!D5+'Tabela 8 -Projekcija bilansa '!D8+'Tabela 8 -Projekcija bilansa '!D9</f>
        <v>82812.988168045194</v>
      </c>
      <c r="F7" s="30">
        <f>'Tabela 8 -Projekcija bilansa '!E5+'Tabela 8 -Projekcija bilansa '!E8+'Tabela 8 -Projekcija bilansa '!E9</f>
        <v>79371.995914248982</v>
      </c>
      <c r="G7" s="30">
        <f>'Tabela 8 -Projekcija bilansa '!F5+'Tabela 8 -Projekcija bilansa '!F8+'Tabela 8 -Projekcija bilansa '!F9</f>
        <v>86139.703622284098</v>
      </c>
      <c r="H7" s="30">
        <f>'Tabela 8 -Projekcija bilansa '!G5+'Tabela 8 -Projekcija bilansa '!G8+'Tabela 8 -Projekcija bilansa '!G9</f>
        <v>81294.545967541053</v>
      </c>
      <c r="I7" s="30">
        <f>'Tabela 8 -Projekcija bilansa '!H5+'Tabela 8 -Projekcija bilansa '!H8+'Tabela 8 -Projekcija bilansa '!H9</f>
        <v>85297.427802956314</v>
      </c>
      <c r="J7" s="30">
        <f>'Tabela 8 -Projekcija bilansa '!I5+'Tabela 8 -Projekcija bilansa '!I8+'Tabela 8 -Projekcija bilansa '!I9</f>
        <v>80280.056277332929</v>
      </c>
      <c r="K7" s="30">
        <f>'Tabela 8 -Projekcija bilansa '!J5+'Tabela 8 -Projekcija bilansa '!J8+'Tabela 8 -Projekcija bilansa '!J9</f>
        <v>85741.606237492902</v>
      </c>
      <c r="L7" s="30">
        <f>'Tabela 8 -Projekcija bilansa '!K5+'Tabela 8 -Projekcija bilansa '!K8+'Tabela 8 -Projekcija bilansa '!K9</f>
        <v>79181.218912244556</v>
      </c>
    </row>
    <row r="8" spans="1:12" x14ac:dyDescent="0.25">
      <c r="A8" s="25">
        <v>5</v>
      </c>
      <c r="B8" s="27" t="s">
        <v>42</v>
      </c>
      <c r="C8" s="31">
        <f>'Tabela 8 -Projekcija bilansa '!B6</f>
        <v>40265.532000000007</v>
      </c>
      <c r="D8" s="31">
        <f>'Tabela 8 -Projekcija bilansa '!C6</f>
        <v>40265.532000000007</v>
      </c>
      <c r="E8" s="31">
        <f>'Tabela 8 -Projekcija bilansa '!D6</f>
        <v>40265.532000000007</v>
      </c>
      <c r="F8" s="31">
        <f>'Tabela 8 -Projekcija bilansa '!E6</f>
        <v>40265.532000000007</v>
      </c>
      <c r="G8" s="31">
        <f>'Tabela 8 -Projekcija bilansa '!F6</f>
        <v>40265.532000000007</v>
      </c>
      <c r="H8" s="31">
        <f>'Tabela 8 -Projekcija bilansa '!G6</f>
        <v>40265.532000000007</v>
      </c>
      <c r="I8" s="31">
        <f>'Tabela 8 -Projekcija bilansa '!H6</f>
        <v>40265.532000000007</v>
      </c>
      <c r="J8" s="31">
        <f>'Tabela 8 -Projekcija bilansa '!I6</f>
        <v>40265.532000000007</v>
      </c>
      <c r="K8" s="31">
        <f>'Tabela 8 -Projekcija bilansa '!J6</f>
        <v>40265.532000000007</v>
      </c>
      <c r="L8" s="31">
        <f>'Tabela 8 -Projekcija bilansa '!K6</f>
        <v>40265.532000000007</v>
      </c>
    </row>
    <row r="9" spans="1:12" x14ac:dyDescent="0.25">
      <c r="A9" s="24" t="s">
        <v>43</v>
      </c>
      <c r="B9" s="25" t="s">
        <v>44</v>
      </c>
      <c r="C9" s="32">
        <f>C3-C5</f>
        <v>-85157.158666666714</v>
      </c>
      <c r="D9" s="32">
        <f>D3-D5</f>
        <v>222592.84133333332</v>
      </c>
      <c r="E9" s="32">
        <f>E3-E5</f>
        <v>235121.47983195481</v>
      </c>
      <c r="F9" s="32">
        <f>F3-F5</f>
        <v>238562.47208575101</v>
      </c>
      <c r="G9" s="32">
        <f>G3-G5</f>
        <v>241744.76437771588</v>
      </c>
      <c r="H9" s="32">
        <f t="shared" ref="H9:L9" si="2">H3-H5</f>
        <v>246589.92203245894</v>
      </c>
      <c r="I9" s="32">
        <f t="shared" si="2"/>
        <v>242587.04019704368</v>
      </c>
      <c r="J9" s="32">
        <f t="shared" si="2"/>
        <v>247604.41172266705</v>
      </c>
      <c r="K9" s="32">
        <f t="shared" si="2"/>
        <v>242142.86176250709</v>
      </c>
      <c r="L9" s="32">
        <f t="shared" si="2"/>
        <v>248703.24908775545</v>
      </c>
    </row>
  </sheetData>
  <sheetProtection algorithmName="SHA-512" hashValue="0gMHFlmVV5G7XVjskuKd8vZQQVhPC4PNm7Av68OHPNj/4mztfunIXx4mEbbPsIg/m/mghgeGwN13s+oGqIsDlA==" saltValue="CtnWepvToNi6BN9faox9JQ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2024-07-02T07:51:57Z</dcterms:modified>
</cp:coreProperties>
</file>