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ena.milovic\Desktop\Izvjestavanje\GDDS 2022\11 Novembar\za objavu\"/>
    </mc:Choice>
  </mc:AlternateContent>
  <workbookProtection workbookAlgorithmName="SHA-512" workbookHashValue="3txzvqvF2BS5XPuaIhKKE+9X03z7VU/eU+zegBfK3TKqGKReht3D2Jbn+92GivoZs59PqAbV2Kx8aHOIQAxDSQ==" workbookSaltValue="kYA7Jl1jHOi/Ober6mApZg==" workbookSpinCount="100000" lockStructure="1"/>
  <bookViews>
    <workbookView xWindow="0" yWindow="0" windowWidth="28800" windowHeight="11730" tabRatio="587" firstSheet="1" activeTab="1"/>
  </bookViews>
  <sheets>
    <sheet name="Analitika - 2014" sheetId="3" state="hidden" r:id="rId1"/>
    <sheet name="Pregled" sheetId="1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1" l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J19" i="25" l="1"/>
  <c r="J11" i="25"/>
  <c r="J10" i="25" s="1"/>
  <c r="S138" i="25" l="1"/>
  <c r="R138" i="25"/>
  <c r="Q138" i="25"/>
  <c r="P138" i="25"/>
  <c r="O138" i="25"/>
  <c r="N138" i="25"/>
  <c r="M138" i="25"/>
  <c r="L138" i="25"/>
  <c r="K138" i="25"/>
  <c r="J138" i="25"/>
  <c r="I138" i="25"/>
  <c r="H138" i="25"/>
  <c r="G138" i="25"/>
  <c r="S86" i="22" l="1"/>
  <c r="Q17" i="11" l="1"/>
  <c r="S11" i="20" l="1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10" i="20"/>
  <c r="E5" i="20" l="1"/>
  <c r="L19" i="25" l="1"/>
  <c r="L11" i="25"/>
  <c r="S121" i="25" l="1"/>
  <c r="A138" i="25" l="1"/>
  <c r="S137" i="25"/>
  <c r="A137" i="25"/>
  <c r="S136" i="25"/>
  <c r="A136" i="25"/>
  <c r="S135" i="25"/>
  <c r="A135" i="25"/>
  <c r="A134" i="25"/>
  <c r="A133" i="25"/>
  <c r="S132" i="25"/>
  <c r="T132" i="25" s="1"/>
  <c r="A132" i="25"/>
  <c r="S131" i="25"/>
  <c r="T131" i="25" s="1"/>
  <c r="A131" i="25"/>
  <c r="S130" i="25"/>
  <c r="T130" i="25" s="1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A129" i="25"/>
  <c r="A128" i="25"/>
  <c r="A127" i="25"/>
  <c r="S126" i="25"/>
  <c r="T126" i="25" s="1"/>
  <c r="A126" i="25"/>
  <c r="S125" i="25"/>
  <c r="T125" i="25" s="1"/>
  <c r="A125" i="25"/>
  <c r="S124" i="25"/>
  <c r="A124" i="25"/>
  <c r="S123" i="25"/>
  <c r="T123" i="25" s="1"/>
  <c r="A123" i="25"/>
  <c r="S122" i="25"/>
  <c r="T122" i="25" s="1"/>
  <c r="A122" i="25"/>
  <c r="T121" i="25"/>
  <c r="A121" i="25"/>
  <c r="A120" i="25"/>
  <c r="S119" i="25"/>
  <c r="T119" i="25" s="1"/>
  <c r="A119" i="25"/>
  <c r="S118" i="25"/>
  <c r="A118" i="25"/>
  <c r="S117" i="25"/>
  <c r="A117" i="25"/>
  <c r="S116" i="25"/>
  <c r="T116" i="25" s="1"/>
  <c r="A116" i="25"/>
  <c r="S115" i="25"/>
  <c r="T115" i="25" s="1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A114" i="25"/>
  <c r="S113" i="25"/>
  <c r="A113" i="25"/>
  <c r="S112" i="25"/>
  <c r="T112" i="25" s="1"/>
  <c r="A112" i="25"/>
  <c r="S111" i="25"/>
  <c r="A111" i="25"/>
  <c r="S110" i="25"/>
  <c r="T110" i="25" s="1"/>
  <c r="A110" i="25"/>
  <c r="S109" i="25"/>
  <c r="T109" i="25" s="1"/>
  <c r="A109" i="25"/>
  <c r="S108" i="25"/>
  <c r="A108" i="25"/>
  <c r="S107" i="25"/>
  <c r="A107" i="25"/>
  <c r="S106" i="25"/>
  <c r="A106" i="25"/>
  <c r="S105" i="25"/>
  <c r="T105" i="25" s="1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A104" i="25"/>
  <c r="A103" i="25"/>
  <c r="S102" i="25"/>
  <c r="T102" i="25" s="1"/>
  <c r="A102" i="25"/>
  <c r="S101" i="25"/>
  <c r="A101" i="25"/>
  <c r="S100" i="25"/>
  <c r="A100" i="25"/>
  <c r="S99" i="25"/>
  <c r="T99" i="25" s="1"/>
  <c r="A99" i="25"/>
  <c r="S98" i="25"/>
  <c r="T98" i="25" s="1"/>
  <c r="A98" i="25"/>
  <c r="S97" i="25"/>
  <c r="T97" i="25" s="1"/>
  <c r="A97" i="25"/>
  <c r="S96" i="25"/>
  <c r="A96" i="25"/>
  <c r="S95" i="25"/>
  <c r="T95" i="25" s="1"/>
  <c r="A95" i="25"/>
  <c r="S94" i="25"/>
  <c r="A94" i="25"/>
  <c r="R93" i="25"/>
  <c r="Q93" i="25"/>
  <c r="P93" i="25"/>
  <c r="O93" i="25"/>
  <c r="N93" i="25"/>
  <c r="M93" i="25"/>
  <c r="L93" i="25"/>
  <c r="L84" i="25" s="1"/>
  <c r="K93" i="25"/>
  <c r="J93" i="25"/>
  <c r="I93" i="25"/>
  <c r="H93" i="25"/>
  <c r="G93" i="25"/>
  <c r="A93" i="25"/>
  <c r="S92" i="25"/>
  <c r="T92" i="25" s="1"/>
  <c r="A92" i="25"/>
  <c r="S91" i="25"/>
  <c r="T91" i="25" s="1"/>
  <c r="A91" i="25"/>
  <c r="S90" i="25"/>
  <c r="A90" i="25"/>
  <c r="S89" i="25"/>
  <c r="T89" i="25" s="1"/>
  <c r="A89" i="25"/>
  <c r="S88" i="25"/>
  <c r="A88" i="25"/>
  <c r="S87" i="25"/>
  <c r="T87" i="25" s="1"/>
  <c r="A87" i="25"/>
  <c r="S86" i="25"/>
  <c r="T86" i="25" s="1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A85" i="25"/>
  <c r="A84" i="25"/>
  <c r="T82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S63" i="25"/>
  <c r="S62" i="25"/>
  <c r="S61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R40" i="25"/>
  <c r="Q40" i="25"/>
  <c r="N40" i="11" s="1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G32" i="11" s="1"/>
  <c r="S31" i="25"/>
  <c r="R30" i="25"/>
  <c r="Q30" i="25"/>
  <c r="N30" i="11" s="1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R10" i="25" s="1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G10" i="25" l="1"/>
  <c r="N10" i="25"/>
  <c r="T58" i="25"/>
  <c r="G58" i="11"/>
  <c r="Q29" i="25"/>
  <c r="N29" i="11" s="1"/>
  <c r="T101" i="25"/>
  <c r="T94" i="25"/>
  <c r="T88" i="25"/>
  <c r="T90" i="25"/>
  <c r="T96" i="25"/>
  <c r="T100" i="25"/>
  <c r="T137" i="25"/>
  <c r="T136" i="25"/>
  <c r="T135" i="25"/>
  <c r="T124" i="25"/>
  <c r="T118" i="25"/>
  <c r="T117" i="25"/>
  <c r="T113" i="25"/>
  <c r="T111" i="25"/>
  <c r="T108" i="25"/>
  <c r="T107" i="25"/>
  <c r="T106" i="25"/>
  <c r="H84" i="25"/>
  <c r="R84" i="25"/>
  <c r="P84" i="25"/>
  <c r="N84" i="25"/>
  <c r="J84" i="25"/>
  <c r="O29" i="25"/>
  <c r="M29" i="25"/>
  <c r="K29" i="25"/>
  <c r="T61" i="25"/>
  <c r="G61" i="11"/>
  <c r="T52" i="25"/>
  <c r="G52" i="11"/>
  <c r="T50" i="25"/>
  <c r="G50" i="11"/>
  <c r="I29" i="25"/>
  <c r="T62" i="25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H103" i="25"/>
  <c r="J103" i="25"/>
  <c r="L103" i="25"/>
  <c r="N103" i="25"/>
  <c r="S85" i="25"/>
  <c r="S114" i="25"/>
  <c r="T114" i="25" s="1"/>
  <c r="K103" i="25"/>
  <c r="O103" i="25"/>
  <c r="S30" i="25"/>
  <c r="I10" i="25"/>
  <c r="I53" i="25" s="1"/>
  <c r="K10" i="25"/>
  <c r="M10" i="25"/>
  <c r="O10" i="25"/>
  <c r="Q10" i="25"/>
  <c r="N10" i="11" s="1"/>
  <c r="L10" i="25"/>
  <c r="P10" i="25"/>
  <c r="H10" i="25"/>
  <c r="G84" i="25"/>
  <c r="I84" i="25"/>
  <c r="K84" i="25"/>
  <c r="M84" i="25"/>
  <c r="O84" i="25"/>
  <c r="Q84" i="25"/>
  <c r="G103" i="25"/>
  <c r="H29" i="25"/>
  <c r="J29" i="25"/>
  <c r="J53" i="25" s="1"/>
  <c r="L29" i="25"/>
  <c r="N29" i="25"/>
  <c r="N53" i="25" s="1"/>
  <c r="P29" i="25"/>
  <c r="R29" i="25"/>
  <c r="R53" i="25" s="1"/>
  <c r="S40" i="25"/>
  <c r="G29" i="25"/>
  <c r="S19" i="25"/>
  <c r="S11" i="25"/>
  <c r="S55" i="25"/>
  <c r="S93" i="25"/>
  <c r="S104" i="25"/>
  <c r="T104" i="25" s="1"/>
  <c r="S129" i="25"/>
  <c r="T129" i="25" s="1"/>
  <c r="O53" i="25" l="1"/>
  <c r="O59" i="25" s="1"/>
  <c r="O64" i="25" s="1"/>
  <c r="O60" i="25" s="1"/>
  <c r="Q53" i="25"/>
  <c r="T85" i="25"/>
  <c r="T93" i="25"/>
  <c r="I127" i="25"/>
  <c r="I133" i="25" s="1"/>
  <c r="P53" i="25"/>
  <c r="M53" i="25"/>
  <c r="M54" i="25" s="1"/>
  <c r="K53" i="25"/>
  <c r="K59" i="25" s="1"/>
  <c r="K64" i="25" s="1"/>
  <c r="K60" i="25" s="1"/>
  <c r="I54" i="25"/>
  <c r="T55" i="25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4" i="25" s="1"/>
  <c r="L127" i="25"/>
  <c r="L133" i="25" s="1"/>
  <c r="L134" i="25" s="1"/>
  <c r="J127" i="25"/>
  <c r="J128" i="25" s="1"/>
  <c r="H127" i="25"/>
  <c r="H133" i="25" s="1"/>
  <c r="H134" i="25" s="1"/>
  <c r="G53" i="25"/>
  <c r="G59" i="25" s="1"/>
  <c r="G127" i="25"/>
  <c r="I59" i="25"/>
  <c r="L53" i="25"/>
  <c r="L54" i="25" s="1"/>
  <c r="O54" i="25"/>
  <c r="S10" i="25"/>
  <c r="H53" i="25"/>
  <c r="S84" i="25"/>
  <c r="T84" i="25" s="1"/>
  <c r="S29" i="25"/>
  <c r="N54" i="25"/>
  <c r="N59" i="25"/>
  <c r="R54" i="25"/>
  <c r="R59" i="25"/>
  <c r="J54" i="25"/>
  <c r="J59" i="25"/>
  <c r="J64" i="25" s="1"/>
  <c r="J60" i="25" s="1"/>
  <c r="S53" i="20"/>
  <c r="Q54" i="25" l="1"/>
  <c r="N54" i="11" s="1"/>
  <c r="N53" i="11"/>
  <c r="R64" i="25"/>
  <c r="R60" i="25" s="1"/>
  <c r="Q59" i="25"/>
  <c r="N64" i="25"/>
  <c r="N60" i="25" s="1"/>
  <c r="P54" i="25"/>
  <c r="P59" i="25"/>
  <c r="P64" i="25" s="1"/>
  <c r="I128" i="25"/>
  <c r="M133" i="25"/>
  <c r="M134" i="25" s="1"/>
  <c r="M59" i="25"/>
  <c r="K54" i="25"/>
  <c r="I64" i="25"/>
  <c r="T29" i="25"/>
  <c r="G29" i="11"/>
  <c r="G16" i="1" s="1"/>
  <c r="H16" i="1" s="1"/>
  <c r="H54" i="25"/>
  <c r="T10" i="25"/>
  <c r="G10" i="11"/>
  <c r="G12" i="1" s="1"/>
  <c r="H12" i="1" s="1"/>
  <c r="O133" i="25"/>
  <c r="O134" i="25" s="1"/>
  <c r="G54" i="25"/>
  <c r="G128" i="25"/>
  <c r="L128" i="25"/>
  <c r="K128" i="25"/>
  <c r="N133" i="25"/>
  <c r="N134" i="25" s="1"/>
  <c r="J133" i="25"/>
  <c r="J134" i="25" s="1"/>
  <c r="H128" i="25"/>
  <c r="G133" i="25"/>
  <c r="L59" i="25"/>
  <c r="L64" i="25" s="1"/>
  <c r="L60" i="25" s="1"/>
  <c r="H59" i="25"/>
  <c r="S53" i="25"/>
  <c r="G64" i="25"/>
  <c r="G5" i="22"/>
  <c r="H5" i="22"/>
  <c r="I5" i="22"/>
  <c r="J5" i="22"/>
  <c r="K5" i="22"/>
  <c r="L5" i="22"/>
  <c r="M5" i="22"/>
  <c r="N5" i="22"/>
  <c r="O5" i="22"/>
  <c r="Q64" i="25" l="1"/>
  <c r="N59" i="11"/>
  <c r="M64" i="25"/>
  <c r="M60" i="25" s="1"/>
  <c r="P60" i="25"/>
  <c r="I134" i="25"/>
  <c r="I60" i="25"/>
  <c r="H64" i="25"/>
  <c r="S64" i="25" s="1"/>
  <c r="T53" i="25"/>
  <c r="G53" i="11"/>
  <c r="G20" i="1" s="1"/>
  <c r="H20" i="1" s="1"/>
  <c r="S54" i="25"/>
  <c r="S59" i="25"/>
  <c r="G60" i="25"/>
  <c r="P19" i="22"/>
  <c r="Q60" i="25" l="1"/>
  <c r="N60" i="11" s="1"/>
  <c r="N64" i="11"/>
  <c r="T54" i="25"/>
  <c r="G54" i="11"/>
  <c r="T64" i="25"/>
  <c r="G64" i="11"/>
  <c r="T59" i="25"/>
  <c r="G59" i="11"/>
  <c r="H60" i="25"/>
  <c r="G134" i="25"/>
  <c r="S121" i="22"/>
  <c r="S60" i="25" l="1"/>
  <c r="T60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2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K10" i="22" s="1"/>
  <c r="I11" i="22"/>
  <c r="G11" i="22"/>
  <c r="R5" i="22"/>
  <c r="Q5" i="22"/>
  <c r="P5" i="22"/>
  <c r="T31" i="22" l="1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T10" i="20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B81" i="25" s="1"/>
  <c r="G251" i="2"/>
  <c r="G248" i="2"/>
  <c r="S7" i="25" s="1"/>
  <c r="S81" i="25" s="1"/>
  <c r="G242" i="2"/>
  <c r="G241" i="2"/>
  <c r="G240" i="2"/>
  <c r="P8" i="25" s="1"/>
  <c r="P82" i="25" s="1"/>
  <c r="G239" i="2"/>
  <c r="G238" i="2"/>
  <c r="G237" i="2"/>
  <c r="G236" i="2"/>
  <c r="L8" i="25" s="1"/>
  <c r="L82" i="25" s="1"/>
  <c r="G235" i="2"/>
  <c r="G234" i="2"/>
  <c r="G233" i="2"/>
  <c r="G232" i="2"/>
  <c r="G231" i="2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G7" i="2"/>
  <c r="G6" i="2"/>
  <c r="E2" i="25" s="1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B24" i="25" l="1"/>
  <c r="B98" i="25"/>
  <c r="B41" i="25"/>
  <c r="B115" i="25"/>
  <c r="N8" i="22"/>
  <c r="N82" i="22" s="1"/>
  <c r="N8" i="25"/>
  <c r="N82" i="25" s="1"/>
  <c r="B10" i="25"/>
  <c r="B84" i="25"/>
  <c r="B13" i="25"/>
  <c r="B87" i="25"/>
  <c r="B17" i="25"/>
  <c r="B91" i="25"/>
  <c r="B95" i="25"/>
  <c r="B21" i="25"/>
  <c r="B26" i="25"/>
  <c r="B100" i="25"/>
  <c r="B28" i="25"/>
  <c r="B102" i="25"/>
  <c r="B106" i="25"/>
  <c r="B32" i="25"/>
  <c r="B107" i="25"/>
  <c r="B33" i="25"/>
  <c r="B111" i="25"/>
  <c r="B37" i="25"/>
  <c r="B38" i="25"/>
  <c r="B112" i="25"/>
  <c r="B113" i="25"/>
  <c r="B39" i="25"/>
  <c r="B122" i="25"/>
  <c r="B48" i="25"/>
  <c r="B130" i="25"/>
  <c r="B56" i="25"/>
  <c r="B138" i="25"/>
  <c r="B64" i="25"/>
  <c r="G8" i="22"/>
  <c r="G82" i="22" s="1"/>
  <c r="G8" i="25"/>
  <c r="G82" i="25" s="1"/>
  <c r="K8" i="22"/>
  <c r="K82" i="22" s="1"/>
  <c r="K8" i="25"/>
  <c r="K82" i="25" s="1"/>
  <c r="O8" i="22"/>
  <c r="O82" i="22" s="1"/>
  <c r="O8" i="25"/>
  <c r="O82" i="25" s="1"/>
  <c r="B12" i="25"/>
  <c r="B86" i="25"/>
  <c r="B20" i="25"/>
  <c r="B94" i="25"/>
  <c r="B103" i="25"/>
  <c r="B29" i="25"/>
  <c r="B116" i="25"/>
  <c r="B42" i="25"/>
  <c r="B120" i="25"/>
  <c r="B46" i="25"/>
  <c r="B128" i="25"/>
  <c r="B54" i="25"/>
  <c r="R8" i="22"/>
  <c r="R82" i="22" s="1"/>
  <c r="R8" i="25"/>
  <c r="R82" i="25" s="1"/>
  <c r="B88" i="25"/>
  <c r="B14" i="25"/>
  <c r="B92" i="25"/>
  <c r="B18" i="25"/>
  <c r="B22" i="25"/>
  <c r="B96" i="25"/>
  <c r="B27" i="25"/>
  <c r="B101" i="25"/>
  <c r="B135" i="25"/>
  <c r="B61" i="25"/>
  <c r="B30" i="25"/>
  <c r="B104" i="25"/>
  <c r="B109" i="25"/>
  <c r="B35" i="25"/>
  <c r="B110" i="25"/>
  <c r="B36" i="25"/>
  <c r="B43" i="25"/>
  <c r="B117" i="25"/>
  <c r="B44" i="25"/>
  <c r="B118" i="25"/>
  <c r="B47" i="25"/>
  <c r="B121" i="25"/>
  <c r="B132" i="25"/>
  <c r="B58" i="25"/>
  <c r="B131" i="25"/>
  <c r="B57" i="25"/>
  <c r="B51" i="25"/>
  <c r="B125" i="25"/>
  <c r="B133" i="25"/>
  <c r="B59" i="25"/>
  <c r="B126" i="25"/>
  <c r="B52" i="25"/>
  <c r="H8" i="22"/>
  <c r="H82" i="22" s="1"/>
  <c r="H8" i="25"/>
  <c r="H82" i="25" s="1"/>
  <c r="B7" i="22"/>
  <c r="B7" i="25"/>
  <c r="B16" i="25"/>
  <c r="B90" i="25"/>
  <c r="B34" i="25"/>
  <c r="B108" i="25"/>
  <c r="B45" i="25"/>
  <c r="B119" i="25"/>
  <c r="J8" i="22"/>
  <c r="J82" i="22" s="1"/>
  <c r="J8" i="25"/>
  <c r="J82" i="25" s="1"/>
  <c r="E4" i="11"/>
  <c r="E4" i="25"/>
  <c r="B85" i="25"/>
  <c r="B11" i="25"/>
  <c r="B15" i="25"/>
  <c r="B89" i="25"/>
  <c r="B19" i="25"/>
  <c r="B93" i="25"/>
  <c r="B23" i="25"/>
  <c r="B97" i="25"/>
  <c r="B99" i="25"/>
  <c r="B25" i="25"/>
  <c r="B63" i="25"/>
  <c r="B137" i="25"/>
  <c r="B136" i="25"/>
  <c r="B62" i="25"/>
  <c r="B105" i="25"/>
  <c r="B31" i="25"/>
  <c r="B114" i="25"/>
  <c r="B40" i="25"/>
  <c r="B129" i="25"/>
  <c r="B55" i="25"/>
  <c r="B124" i="25"/>
  <c r="B50" i="25"/>
  <c r="B49" i="25"/>
  <c r="B123" i="25"/>
  <c r="B53" i="25"/>
  <c r="B127" i="25"/>
  <c r="B134" i="25"/>
  <c r="B60" i="25"/>
  <c r="I8" i="22"/>
  <c r="I82" i="22" s="1"/>
  <c r="I8" i="25"/>
  <c r="I82" i="25" s="1"/>
  <c r="M8" i="22"/>
  <c r="M82" i="22" s="1"/>
  <c r="M8" i="25"/>
  <c r="M82" i="25" s="1"/>
  <c r="Q8" i="22"/>
  <c r="Q82" i="22" s="1"/>
  <c r="Q8" i="25"/>
  <c r="Q82" i="25" s="1"/>
  <c r="E3" i="22"/>
  <c r="E3" i="25"/>
  <c r="CR385" i="6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S82" i="25" l="1"/>
  <c r="S8" i="25"/>
  <c r="T9" i="22"/>
  <c r="T83" i="22" s="1"/>
  <c r="T9" i="25"/>
  <c r="T83" i="25" s="1"/>
  <c r="E253" i="2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CL192" i="6" l="1"/>
  <c r="S54" i="11" l="1"/>
  <c r="P46" i="11"/>
  <c r="I46" i="11"/>
  <c r="J46" i="11"/>
  <c r="Q103" i="25"/>
  <c r="Q127" i="25" s="1"/>
  <c r="R103" i="25"/>
  <c r="R127" i="25" s="1"/>
  <c r="S120" i="25"/>
  <c r="T120" i="25" s="1"/>
  <c r="P103" i="25"/>
  <c r="S103" i="25" s="1"/>
  <c r="T103" i="25" s="1"/>
  <c r="R133" i="25" l="1"/>
  <c r="R128" i="25"/>
  <c r="Q133" i="25"/>
  <c r="Q128" i="25"/>
  <c r="Q46" i="11"/>
  <c r="P127" i="25"/>
  <c r="Q134" i="25" l="1"/>
  <c r="R134" i="25"/>
  <c r="Q29" i="11"/>
  <c r="P29" i="11"/>
  <c r="J29" i="11"/>
  <c r="I29" i="11"/>
  <c r="P133" i="25"/>
  <c r="S127" i="25"/>
  <c r="T127" i="25" s="1"/>
  <c r="P128" i="25"/>
  <c r="S133" i="25" l="1"/>
  <c r="T133" i="25" s="1"/>
  <c r="Q53" i="11"/>
  <c r="P53" i="11"/>
  <c r="S128" i="25"/>
  <c r="T128" i="25" s="1"/>
  <c r="I53" i="11"/>
  <c r="J53" i="11"/>
  <c r="P54" i="11" l="1"/>
  <c r="Q54" i="11"/>
  <c r="P134" i="25"/>
  <c r="I54" i="11"/>
  <c r="J54" i="11"/>
  <c r="Q59" i="11"/>
  <c r="P59" i="11"/>
  <c r="J59" i="11"/>
  <c r="I59" i="11"/>
  <c r="T138" i="25" l="1"/>
  <c r="J64" i="11"/>
  <c r="I64" i="11"/>
  <c r="S134" i="25"/>
  <c r="T134" i="25" s="1"/>
  <c r="Q64" i="11"/>
  <c r="P64" i="11"/>
  <c r="P60" i="11" l="1"/>
  <c r="Q60" i="11"/>
  <c r="J60" i="11"/>
  <c r="I60" i="1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<sst xmlns="http://schemas.openxmlformats.org/spreadsheetml/2006/main" count="1771" uniqueCount="840">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</sst>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  <numFmt numFmtId="180" formatCode="0.00,,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3" fillId="3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0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7" fontId="27" fillId="3" borderId="80" xfId="1" applyNumberFormat="1" applyFont="1" applyFill="1" applyBorder="1" applyAlignment="1" applyProtection="1">
      <alignment horizontal="center" vertical="center"/>
      <protection hidden="1"/>
    </xf>
    <xf numFmtId="167" fontId="27" fillId="3" borderId="5" xfId="1" applyNumberFormat="1" applyFont="1" applyFill="1" applyBorder="1" applyAlignment="1" applyProtection="1">
      <alignment horizontal="center" vertical="center"/>
      <protection hidden="1"/>
    </xf>
    <xf numFmtId="167" fontId="27" fillId="3" borderId="10" xfId="1" applyNumberFormat="1" applyFont="1" applyFill="1" applyBorder="1" applyAlignment="1" applyProtection="1">
      <alignment horizontal="center" vertical="center"/>
      <protection hidden="1"/>
    </xf>
    <xf numFmtId="167" fontId="27" fillId="3" borderId="15" xfId="1" applyNumberFormat="1" applyFont="1" applyFill="1" applyBorder="1" applyAlignment="1" applyProtection="1">
      <alignment horizontal="center" vertical="center"/>
      <protection hidden="1"/>
    </xf>
    <xf numFmtId="167" fontId="27" fillId="41" borderId="31" xfId="1" applyNumberFormat="1" applyFont="1" applyFill="1" applyBorder="1" applyAlignment="1" applyProtection="1">
      <alignment horizontal="center" vertical="center"/>
      <protection hidden="1"/>
    </xf>
    <xf numFmtId="167" fontId="27" fillId="9" borderId="81" xfId="1" applyNumberFormat="1" applyFont="1" applyFill="1" applyBorder="1" applyAlignment="1" applyProtection="1">
      <alignment horizontal="center" vertical="center"/>
      <protection hidden="1"/>
    </xf>
    <xf numFmtId="167" fontId="27" fillId="9" borderId="29" xfId="1" applyNumberFormat="1" applyFont="1" applyFill="1" applyBorder="1" applyAlignment="1" applyProtection="1">
      <alignment horizontal="center" vertical="center"/>
      <protection hidden="1"/>
    </xf>
    <xf numFmtId="167" fontId="65" fillId="9" borderId="15" xfId="1" applyNumberFormat="1" applyFont="1" applyFill="1" applyBorder="1" applyAlignment="1" applyProtection="1">
      <alignment horizontal="center" vertical="center"/>
      <protection hidden="1"/>
    </xf>
    <xf numFmtId="167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novembar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2022. godine iznosili su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1.790,0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u odnosu na planirane za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55,0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3,2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U odnosu na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uporedni period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prethodn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godin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prihodi su veći za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127,0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7,6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novembar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2022. godine iznosili su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1.884,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33,1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 odnosu na planirane rashodi su manji za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188,4 mil. € ili 9,1% dok su udnosu na isti period 2021. godine veći za 148,2 mil. € ili 8,5%.</a:t>
          </a: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periodu januar -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novembar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2022. godine zabilježen je deficit budžeta u iznosu od 94,4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mil. € ili</a:t>
          </a:r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1,7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% procijenjenog BDP-a, što je za 243,4 mil. € ili 72,1% niže od planiranog. U poređenju sa istim periodom prethodne godine, ostvareni deficit budžeta veći je za 21,2 mil. € ili 28,9%.</a:t>
          </a: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21</xdr:col>
      <xdr:colOff>400051</xdr:colOff>
      <xdr:row>22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6" y="1323976"/>
          <a:ext cx="3124200" cy="293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izmjenama i dopunama Zakona o budžetu za 2022.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2022-11</v>
      </c>
      <c r="O6" s="143" t="str">
        <f>+CONCATENATE(N6,"p")</f>
        <v>2022-11p</v>
      </c>
      <c r="P6" s="130"/>
      <c r="Q6" s="130"/>
      <c r="R6" s="143" t="str">
        <f>+IF(Master!B3-10&gt;=0,CONCATENATE(Master!B4-1,"-",Master!B3),CONCATENATE(Master!B4-1,"-0",Master!B3))</f>
        <v>2021-11</v>
      </c>
      <c r="S6" s="130"/>
      <c r="T6" s="130"/>
    </row>
    <row r="7" spans="1:20">
      <c r="A7" s="144"/>
      <c r="B7" s="547" t="s">
        <v>692</v>
      </c>
      <c r="C7" s="548"/>
      <c r="D7" s="548"/>
      <c r="E7" s="548"/>
      <c r="F7" s="548"/>
      <c r="G7" s="556" t="s">
        <v>691</v>
      </c>
      <c r="H7" s="557"/>
      <c r="I7" s="557"/>
      <c r="J7" s="557"/>
      <c r="K7" s="557"/>
      <c r="L7" s="557"/>
      <c r="M7" s="558"/>
      <c r="N7" s="559" t="str">
        <f>+Master!G242</f>
        <v>Decembar</v>
      </c>
      <c r="O7" s="557"/>
      <c r="P7" s="557"/>
      <c r="Q7" s="557"/>
      <c r="R7" s="557"/>
      <c r="S7" s="557"/>
      <c r="T7" s="560"/>
    </row>
    <row r="8" spans="1:20">
      <c r="A8" s="144"/>
      <c r="B8" s="549"/>
      <c r="C8" s="550"/>
      <c r="D8" s="550"/>
      <c r="E8" s="550"/>
      <c r="F8" s="551"/>
      <c r="G8" s="145" t="str">
        <f>+Master!G25</f>
        <v>Ostvarenje</v>
      </c>
      <c r="H8" s="145" t="str">
        <f>+Master!G24</f>
        <v>Plan</v>
      </c>
      <c r="I8" s="545" t="str">
        <f>+Master!G260</f>
        <v>Odstupanje</v>
      </c>
      <c r="J8" s="545"/>
      <c r="K8" s="145" t="str">
        <f>+CONCATENATE(Master!G245," ",Master!B4-1)</f>
        <v>Jan - Nov 2021</v>
      </c>
      <c r="L8" s="545" t="str">
        <f>+I8</f>
        <v>Odstupanje</v>
      </c>
      <c r="M8" s="555"/>
      <c r="N8" s="146" t="str">
        <f>+G8</f>
        <v>Ostvarenje</v>
      </c>
      <c r="O8" s="145" t="str">
        <f>+H8</f>
        <v>Plan</v>
      </c>
      <c r="P8" s="545" t="str">
        <f>+I8</f>
        <v>Odstupanje</v>
      </c>
      <c r="Q8" s="545"/>
      <c r="R8" s="145" t="str">
        <f>+CONCATENATE(Master!G244," ",Master!B4-1)</f>
        <v>Novembar 2021</v>
      </c>
      <c r="S8" s="545" t="str">
        <f>+P8</f>
        <v>Odstupanje</v>
      </c>
      <c r="T8" s="546"/>
    </row>
    <row r="9" spans="1:20" ht="15.75" thickBot="1">
      <c r="A9" s="144"/>
      <c r="B9" s="552"/>
      <c r="C9" s="553"/>
      <c r="D9" s="553"/>
      <c r="E9" s="553"/>
      <c r="F9" s="554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15" t="str">
        <f>+VLOOKUP($A10,Master!$D$29:$G$225,4,FALSE)</f>
        <v>Prihodi budžeta</v>
      </c>
      <c r="C10" s="516"/>
      <c r="D10" s="516"/>
      <c r="E10" s="516"/>
      <c r="F10" s="516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17" t="str">
        <f>+VLOOKUP($A11,Master!$D$29:$G$225,4,FALSE)</f>
        <v>Porezi</v>
      </c>
      <c r="C11" s="518"/>
      <c r="D11" s="518"/>
      <c r="E11" s="518"/>
      <c r="F11" s="518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19" t="e">
        <f>+VLOOKUP($A18,Master!$D$29:$G$225,4,FALSE)</f>
        <v>#N/A</v>
      </c>
      <c r="C18" s="520"/>
      <c r="D18" s="520"/>
      <c r="E18" s="520"/>
      <c r="F18" s="520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19" t="str">
        <f>+VLOOKUP($A19,Master!$D$29:$G$225,4,FALSE)</f>
        <v>Ostali državni porezi</v>
      </c>
      <c r="C19" s="520"/>
      <c r="D19" s="520"/>
      <c r="E19" s="520"/>
      <c r="F19" s="520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23" t="str">
        <f>+VLOOKUP($A20,Master!$D$29:$G$225,4,FALSE)</f>
        <v>Doprinosi</v>
      </c>
      <c r="C20" s="524"/>
      <c r="D20" s="524"/>
      <c r="E20" s="524"/>
      <c r="F20" s="524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19" t="str">
        <f>+VLOOKUP($A21,Master!$D$29:$G$225,4,FALSE)</f>
        <v>Doprinosi za penzijsko i invalidsko osiguranje</v>
      </c>
      <c r="C21" s="520"/>
      <c r="D21" s="520"/>
      <c r="E21" s="520"/>
      <c r="F21" s="520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19" t="str">
        <f>+VLOOKUP($A22,Master!$D$29:$G$225,4,FALSE)</f>
        <v>Doprinosi za zdravstveno osiguranje</v>
      </c>
      <c r="C22" s="520"/>
      <c r="D22" s="520"/>
      <c r="E22" s="520"/>
      <c r="F22" s="520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19" t="str">
        <f>+VLOOKUP($A23,Master!$D$29:$G$225,4,FALSE)</f>
        <v>Doprinosi za osiguranje od nezaposlenosti</v>
      </c>
      <c r="C23" s="520"/>
      <c r="D23" s="520"/>
      <c r="E23" s="520"/>
      <c r="F23" s="520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19" t="str">
        <f>+VLOOKUP($A24,Master!$D$29:$G$225,4,FALSE)</f>
        <v>Ostali doprinosi</v>
      </c>
      <c r="C24" s="520"/>
      <c r="D24" s="520"/>
      <c r="E24" s="520"/>
      <c r="F24" s="520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21" t="str">
        <f>+VLOOKUP($A25,Master!$D$29:$G$225,4,FALSE)</f>
        <v>Takse</v>
      </c>
      <c r="C25" s="522"/>
      <c r="D25" s="522"/>
      <c r="E25" s="522"/>
      <c r="F25" s="522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21" t="str">
        <f>+VLOOKUP($A26,Master!$D$29:$G$225,4,FALSE)</f>
        <v>Naknade</v>
      </c>
      <c r="C26" s="522"/>
      <c r="D26" s="522"/>
      <c r="E26" s="522"/>
      <c r="F26" s="522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21" t="str">
        <f>+VLOOKUP($A27,Master!$D$29:$G$225,4,FALSE)</f>
        <v>Ostali prihodi</v>
      </c>
      <c r="C27" s="522"/>
      <c r="D27" s="522"/>
      <c r="E27" s="522"/>
      <c r="F27" s="522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21" t="str">
        <f>+VLOOKUP($A28,Master!$D$29:$G$225,4,FALSE)</f>
        <v>Primici od otplate kredita i sredstva prenesena iz prethodne godine</v>
      </c>
      <c r="C28" s="522"/>
      <c r="D28" s="522"/>
      <c r="E28" s="522"/>
      <c r="F28" s="522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25" t="str">
        <f>+VLOOKUP($A29,Master!$D$29:$G$225,4,FALSE)</f>
        <v>Donacije i transferi</v>
      </c>
      <c r="C29" s="526"/>
      <c r="D29" s="526"/>
      <c r="E29" s="526"/>
      <c r="F29" s="526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7" t="str">
        <f>+VLOOKUP($A30,Master!$D$29:$G$225,4,FALSE)</f>
        <v>Izdaci budžeta</v>
      </c>
      <c r="C30" s="528"/>
      <c r="D30" s="528"/>
      <c r="E30" s="528"/>
      <c r="F30" s="528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29" t="str">
        <f>+VLOOKUP($A31,Master!$D$29:$G$225,4,FALSE)</f>
        <v>Tekući izdaci</v>
      </c>
      <c r="C31" s="530"/>
      <c r="D31" s="530"/>
      <c r="E31" s="530"/>
      <c r="F31" s="530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31" t="str">
        <f>+VLOOKUP($A32,Master!$D$29:$G$225,4,FALSE)</f>
        <v>Tekuća budžetska potrošnja</v>
      </c>
      <c r="C32" s="532"/>
      <c r="D32" s="532"/>
      <c r="E32" s="532"/>
      <c r="F32" s="532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19" t="str">
        <f>+VLOOKUP($A33,Master!$D$29:$G$225,4,FALSE)</f>
        <v>Bruto zarade i doprinosi na teret poslodavca</v>
      </c>
      <c r="C33" s="520"/>
      <c r="D33" s="520"/>
      <c r="E33" s="520"/>
      <c r="F33" s="520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19" t="str">
        <f>+VLOOKUP($A34,Master!$D$29:$G$225,4,FALSE)</f>
        <v>Ostala lična primanja</v>
      </c>
      <c r="C34" s="520"/>
      <c r="D34" s="520"/>
      <c r="E34" s="520"/>
      <c r="F34" s="520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19" t="str">
        <f>+VLOOKUP($A35,Master!$D$29:$G$225,4,FALSE)</f>
        <v>Rashodi za materijal</v>
      </c>
      <c r="C35" s="520"/>
      <c r="D35" s="520"/>
      <c r="E35" s="520"/>
      <c r="F35" s="520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19" t="str">
        <f>+VLOOKUP($A36,Master!$D$29:$G$225,4,FALSE)</f>
        <v>Rashodi za usluge</v>
      </c>
      <c r="C36" s="520"/>
      <c r="D36" s="520"/>
      <c r="E36" s="520"/>
      <c r="F36" s="520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19" t="str">
        <f>+VLOOKUP($A37,Master!$D$29:$G$225,4,FALSE)</f>
        <v>Rashodi za tekuće održavanje</v>
      </c>
      <c r="C37" s="520"/>
      <c r="D37" s="520"/>
      <c r="E37" s="520"/>
      <c r="F37" s="520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19" t="str">
        <f>+VLOOKUP($A38,Master!$D$29:$G$225,4,FALSE)</f>
        <v>Kamate</v>
      </c>
      <c r="C38" s="520"/>
      <c r="D38" s="520"/>
      <c r="E38" s="520"/>
      <c r="F38" s="520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19" t="str">
        <f>+VLOOKUP($A39,Master!$D$29:$G$225,4,FALSE)</f>
        <v>Renta</v>
      </c>
      <c r="C39" s="520"/>
      <c r="D39" s="520"/>
      <c r="E39" s="520"/>
      <c r="F39" s="520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19" t="str">
        <f>+VLOOKUP($A40,Master!$D$29:$G$225,4,FALSE)</f>
        <v>Subvencije</v>
      </c>
      <c r="C40" s="520"/>
      <c r="D40" s="520"/>
      <c r="E40" s="520"/>
      <c r="F40" s="520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19" t="str">
        <f>+VLOOKUP($A41,Master!$D$29:$G$225,4,FALSE)</f>
        <v>Ostali izdaci</v>
      </c>
      <c r="C41" s="520"/>
      <c r="D41" s="520"/>
      <c r="E41" s="520"/>
      <c r="F41" s="520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19" t="e">
        <f>+VLOOKUP($A42,Master!$D$29:$G$225,4,FALSE)</f>
        <v>#N/A</v>
      </c>
      <c r="C42" s="520"/>
      <c r="D42" s="520"/>
      <c r="E42" s="520"/>
      <c r="F42" s="520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5" t="str">
        <f>+VLOOKUP($A43,Master!$D$29:$G$225,4,FALSE)</f>
        <v>Transferi za socijalnu zaštitu</v>
      </c>
      <c r="C43" s="536"/>
      <c r="D43" s="536"/>
      <c r="E43" s="536"/>
      <c r="F43" s="536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19" t="str">
        <f>+VLOOKUP($A44,Master!$D$29:$G$225,4,FALSE)</f>
        <v>Prava iz oblasti socijalne zaštite</v>
      </c>
      <c r="C44" s="520"/>
      <c r="D44" s="520"/>
      <c r="E44" s="520"/>
      <c r="F44" s="520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19" t="str">
        <f>+VLOOKUP($A45,Master!$D$29:$G$225,4,FALSE)</f>
        <v>Sredstva za tehnološke viškove</v>
      </c>
      <c r="C45" s="520"/>
      <c r="D45" s="520"/>
      <c r="E45" s="520"/>
      <c r="F45" s="520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19" t="str">
        <f>+VLOOKUP($A46,Master!$D$29:$G$225,4,FALSE)</f>
        <v>Prava iz oblasti penzijskog i invalidskog osiguranja</v>
      </c>
      <c r="C46" s="520"/>
      <c r="D46" s="520"/>
      <c r="E46" s="520"/>
      <c r="F46" s="520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19" t="str">
        <f>+VLOOKUP($A47,Master!$D$29:$G$225,4,FALSE)</f>
        <v>Ostala prava iz oblasti zdravstvene zaštite</v>
      </c>
      <c r="C47" s="520"/>
      <c r="D47" s="520"/>
      <c r="E47" s="520"/>
      <c r="F47" s="520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19" t="str">
        <f>+VLOOKUP($A48,Master!$D$29:$G$225,4,FALSE)</f>
        <v>Ostala prava iz zdravstvenog osiguranja</v>
      </c>
      <c r="C48" s="520"/>
      <c r="D48" s="520"/>
      <c r="E48" s="520"/>
      <c r="F48" s="520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3" t="str">
        <f>+VLOOKUP($A49,Master!$D$29:$G$225,4,FALSE)</f>
        <v xml:space="preserve">Transferi institucijama, pojedincima, nevladinom i javnom sektoru </v>
      </c>
      <c r="C49" s="534"/>
      <c r="D49" s="534"/>
      <c r="E49" s="534"/>
      <c r="F49" s="534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3" t="str">
        <f>+VLOOKUP($A50,Master!$D$29:$G$225,4,FALSE)</f>
        <v>Kapitalni izdaci</v>
      </c>
      <c r="C50" s="534"/>
      <c r="D50" s="534"/>
      <c r="E50" s="534"/>
      <c r="F50" s="534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37" t="str">
        <f>+VLOOKUP($A51,Master!$D$29:$G$225,4,FALSE)</f>
        <v>Pozajmice i krediti</v>
      </c>
      <c r="C51" s="538"/>
      <c r="D51" s="538"/>
      <c r="E51" s="538"/>
      <c r="F51" s="538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37" t="str">
        <f>+VLOOKUP($A52,Master!$D$29:$G$225,4,FALSE)</f>
        <v>Rezerve</v>
      </c>
      <c r="C52" s="538"/>
      <c r="D52" s="538"/>
      <c r="E52" s="538"/>
      <c r="F52" s="538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39" t="str">
        <f>+VLOOKUP($A53,Master!$D$29:$G$225,4,FALSE)</f>
        <v>Otplata garancija</v>
      </c>
      <c r="C53" s="540"/>
      <c r="D53" s="540"/>
      <c r="E53" s="540"/>
      <c r="F53" s="540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39" t="str">
        <f>+VLOOKUP($A54,Master!$D$29:$G$225,4,FALSE)</f>
        <v>Otplata obaveza iz prethodnog perioda</v>
      </c>
      <c r="C54" s="540"/>
      <c r="D54" s="540"/>
      <c r="E54" s="540"/>
      <c r="F54" s="540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39" t="str">
        <f>+VLOOKUP($A55,Master!$D$29:$G$227,4,FALSE)</f>
        <v>Neto povećanje obaveza</v>
      </c>
      <c r="C55" s="540"/>
      <c r="D55" s="540"/>
      <c r="E55" s="540"/>
      <c r="F55" s="540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41" t="str">
        <f>+VLOOKUP($A56,Master!$D$29:$G$225,4,FALSE)</f>
        <v>Suficit / deficit</v>
      </c>
      <c r="C56" s="542"/>
      <c r="D56" s="542"/>
      <c r="E56" s="542"/>
      <c r="F56" s="542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43" t="str">
        <f>+VLOOKUP($A57,Master!$D$29:$G$225,4,FALSE)</f>
        <v>Primarni suficit/deficit</v>
      </c>
      <c r="C57" s="544"/>
      <c r="D57" s="544"/>
      <c r="E57" s="544"/>
      <c r="F57" s="544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5" t="str">
        <f>+VLOOKUP($A58,Master!$D$29:$G$225,4,FALSE)</f>
        <v>Otplata dugova</v>
      </c>
      <c r="C58" s="536"/>
      <c r="D58" s="536"/>
      <c r="E58" s="536"/>
      <c r="F58" s="536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61" t="str">
        <f>+VLOOKUP($A59,Master!$D$29:$G$225,4,FALSE)</f>
        <v>Otplata hartija od vrijednosti i kredita rezidentima</v>
      </c>
      <c r="C59" s="562"/>
      <c r="D59" s="562"/>
      <c r="E59" s="562"/>
      <c r="F59" s="562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37" t="str">
        <f>+VLOOKUP($A60,Master!$D$29:$G$225,4,FALSE)</f>
        <v>Otplata hartija od vrijednosti i kredita nerezidentima</v>
      </c>
      <c r="C60" s="538"/>
      <c r="D60" s="538"/>
      <c r="E60" s="538"/>
      <c r="F60" s="538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63" t="str">
        <f>+VLOOKUP($A62,Master!$D$29:$G$225,4,FALSE)</f>
        <v>Nedostajuća sredstva</v>
      </c>
      <c r="C62" s="564"/>
      <c r="D62" s="564"/>
      <c r="E62" s="564"/>
      <c r="F62" s="564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7" t="str">
        <f>+VLOOKUP($A63,Master!$D$29:$G$225,4,FALSE)</f>
        <v>Finansiranje</v>
      </c>
      <c r="C63" s="528"/>
      <c r="D63" s="528"/>
      <c r="E63" s="528"/>
      <c r="F63" s="528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61" t="str">
        <f>+VLOOKUP($A64,Master!$D$29:$G$225,4,FALSE)</f>
        <v>Pozajmice i krediti od domaćih izvora</v>
      </c>
      <c r="C64" s="562"/>
      <c r="D64" s="562"/>
      <c r="E64" s="562"/>
      <c r="F64" s="562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37" t="str">
        <f>+VLOOKUP($A65,Master!$D$29:$G$225,4,FALSE)</f>
        <v>Pozajmice i krediti od inostranih izvora</v>
      </c>
      <c r="C65" s="538"/>
      <c r="D65" s="538"/>
      <c r="E65" s="538"/>
      <c r="F65" s="538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37" t="str">
        <f>+VLOOKUP($A66,Master!$D$29:$G$225,4,FALSE)</f>
        <v>Primici od prodaje imovine</v>
      </c>
      <c r="C66" s="538"/>
      <c r="D66" s="538"/>
      <c r="E66" s="538"/>
      <c r="F66" s="538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11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838</v>
      </c>
      <c r="G7" s="52" t="str">
        <f t="shared" si="0"/>
        <v>Ministarstvo finansija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824</v>
      </c>
      <c r="F11" s="12" t="s">
        <v>825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Novembar</v>
      </c>
    </row>
    <row r="245" spans="4:7">
      <c r="D245" s="49"/>
      <c r="E245" s="9"/>
      <c r="F245" s="10"/>
      <c r="G245" s="52" t="str">
        <f>+CONCATENATE("Jan - ",LEFT(G244,3))</f>
        <v>Jan - Nov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Nov</v>
      </c>
      <c r="F253" s="10" t="str">
        <f>+CONCATENATE("Analytics for period ",G245)</f>
        <v>Analytics for period Jan - Nov</v>
      </c>
      <c r="G253" s="52" t="str">
        <f>+IF(ISBLANK(IF($B$2=1,E253,F253)),"",IF($B$2=1,E253,F253))</f>
        <v>Analitika za period Jan - Nov</v>
      </c>
    </row>
    <row r="254" spans="4:7">
      <c r="D254" s="46"/>
      <c r="E254" s="9" t="str">
        <f>+CONCATENATE("Analitika za period ",G244)</f>
        <v>Analitika za period Novembar</v>
      </c>
      <c r="F254" s="10" t="str">
        <f>+CONCATENATE("Analytics for period ",G244)</f>
        <v>Analytics for period Novembar</v>
      </c>
      <c r="G254" s="52" t="str">
        <f>+IF(ISBLANK(IF($B$2=1,E254,F254)),"",IF($B$2=1,E254,F254))</f>
        <v>Analitika za period Novembar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Novembar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Novembar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Novembar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Novembar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Novembar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Novembar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tabSelected="1" zoomScaleNormal="100" workbookViewId="0">
      <pane ySplit="5" topLeftCell="A6" activePane="bottomLeft" state="frozen"/>
      <selection activeCell="DK219" sqref="DK219"/>
      <selection pane="bottomLeft" activeCell="F27" sqref="F27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513" t="str">
        <f>+Master!G6</f>
        <v>Crna Gora</v>
      </c>
      <c r="F2" s="513"/>
      <c r="G2" s="513"/>
      <c r="I2" s="129"/>
    </row>
    <row r="3" spans="3:11" s="126" customFormat="1">
      <c r="E3" s="514" t="str">
        <f>+Master!G7</f>
        <v>Ministarstvo finansija</v>
      </c>
      <c r="F3" s="513"/>
      <c r="G3" s="513"/>
    </row>
    <row r="4" spans="3:11" s="126" customFormat="1">
      <c r="E4" s="514" t="str">
        <f>+Master!G8</f>
        <v>Direktorat za državni budžet</v>
      </c>
      <c r="F4" s="513"/>
      <c r="G4" s="513"/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Prihodi za mjesec Novembar</v>
      </c>
      <c r="E11" s="135"/>
      <c r="F11" s="135"/>
      <c r="G11" s="137" t="str">
        <f>+Master!G273</f>
        <v>Prihodi za period Januar - Novembar</v>
      </c>
      <c r="H11" s="135"/>
      <c r="I11" s="135"/>
      <c r="J11" s="135"/>
      <c r="K11" s="136"/>
    </row>
    <row r="12" spans="3:11">
      <c r="C12" s="134"/>
      <c r="D12" s="138">
        <f>+'Analitika 2022'!N10</f>
        <v>162390085.88</v>
      </c>
      <c r="E12" s="455">
        <f>+D12/'2022'!T7</f>
        <v>2.8487489628797977E-2</v>
      </c>
      <c r="F12" s="135"/>
      <c r="G12" s="138">
        <f>+'Analitika 2022'!G10</f>
        <v>1789955743.4500003</v>
      </c>
      <c r="H12" s="455">
        <f>+G12/'2022'!T7</f>
        <v>0.31400528795347699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BDP</v>
      </c>
      <c r="F13" s="135"/>
      <c r="G13" s="139" t="s">
        <v>417</v>
      </c>
      <c r="H13" s="139" t="s">
        <v>808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Rashodi za mjesec Novembar</v>
      </c>
      <c r="E15" s="135"/>
      <c r="F15" s="135"/>
      <c r="G15" s="137" t="str">
        <f>+Master!G274</f>
        <v>Rashodi za period Januar - Novembar</v>
      </c>
      <c r="H15" s="135"/>
      <c r="I15" s="135"/>
      <c r="J15" s="135"/>
      <c r="K15" s="136"/>
    </row>
    <row r="16" spans="3:11">
      <c r="C16" s="134"/>
      <c r="D16" s="138">
        <f>+'Analitika 2022'!N29</f>
        <v>201125332.90000001</v>
      </c>
      <c r="E16" s="455">
        <f>+D16/'2022'!T7</f>
        <v>3.5282670145954674E-2</v>
      </c>
      <c r="F16" s="135"/>
      <c r="G16" s="138">
        <f>+'Analitika 2022'!G29</f>
        <v>1884359345.1400003</v>
      </c>
      <c r="H16" s="455">
        <f>+G16/'2022'!T7</f>
        <v>0.33056616117114596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BDP</v>
      </c>
      <c r="F17" s="135"/>
      <c r="G17" s="139" t="s">
        <v>417</v>
      </c>
      <c r="H17" s="139" t="s">
        <v>808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Suficit/Deficit za mjesec Novembar</v>
      </c>
      <c r="E19" s="135"/>
      <c r="F19" s="135"/>
      <c r="G19" s="137" t="str">
        <f>+Master!G275</f>
        <v>Suficit/Deficit za period Januar - Novembar</v>
      </c>
      <c r="H19" s="135"/>
      <c r="I19" s="135"/>
      <c r="J19" s="135"/>
      <c r="K19" s="136"/>
    </row>
    <row r="20" spans="3:12">
      <c r="C20" s="134"/>
      <c r="D20" s="138">
        <f>+'Analitika 2022'!N53</f>
        <v>-38735247.020000011</v>
      </c>
      <c r="E20" s="455">
        <f>+D20/'2022'!T7</f>
        <v>-6.795180517156693E-3</v>
      </c>
      <c r="F20" s="135"/>
      <c r="G20" s="138">
        <f>+'Analitika 2022'!G53</f>
        <v>-94403601.689999983</v>
      </c>
      <c r="H20" s="455">
        <f>+G20/'2022'!T7</f>
        <v>-1.6560873217668932E-2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BDP</v>
      </c>
      <c r="F21" s="135"/>
      <c r="G21" s="139" t="s">
        <v>417</v>
      </c>
      <c r="H21" s="139" t="s">
        <v>808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Va8ONbyi/lIqSc7wR3GGc619Af4r8NnxJUMPTbw13T+JZPfalTF58qfQrmc5AimLv1r5vrhy+ZY1QnVY+XShGA==" saltValue="rvI8h3gfkztlWSIz4Fmi6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zoomScaleNormal="100" workbookViewId="0">
      <pane ySplit="5" topLeftCell="A6" activePane="bottomLeft" state="frozen"/>
      <selection activeCell="DK219" sqref="DK219"/>
      <selection pane="bottomLeft" activeCell="B24" sqref="B24:F2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2"/>
      <c r="P4" s="482"/>
      <c r="Q4" s="482"/>
    </row>
    <row r="5" spans="1:20" s="1" customFormat="1">
      <c r="B5" s="482"/>
      <c r="G5" s="163"/>
      <c r="H5" s="163"/>
      <c r="N5" s="482"/>
      <c r="P5" s="482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2022-11</v>
      </c>
      <c r="O6" s="143" t="str">
        <f>+CONCATENATE(N6,"p")</f>
        <v>2022-11p</v>
      </c>
      <c r="P6" s="130"/>
      <c r="Q6" s="130"/>
      <c r="R6" s="143" t="str">
        <f>+IF(Master!B3-10&gt;=0,CONCATENATE(Master!B4-1,"-",Master!B3),CONCATENATE(Master!B4-1,"-0",Master!B3))</f>
        <v>2021-11</v>
      </c>
      <c r="S6" s="130"/>
      <c r="T6" s="130"/>
    </row>
    <row r="7" spans="1:20" ht="14.25" customHeight="1">
      <c r="A7" s="144"/>
      <c r="B7" s="547" t="str">
        <f>+Master!G253</f>
        <v>Analitika za period Jan - Nov</v>
      </c>
      <c r="C7" s="548"/>
      <c r="D7" s="548"/>
      <c r="E7" s="548"/>
      <c r="F7" s="548"/>
      <c r="G7" s="556" t="str">
        <f>+Master!G245</f>
        <v>Jan - Nov</v>
      </c>
      <c r="H7" s="557"/>
      <c r="I7" s="557"/>
      <c r="J7" s="557"/>
      <c r="K7" s="557"/>
      <c r="L7" s="557"/>
      <c r="M7" s="558"/>
      <c r="N7" s="559" t="str">
        <f>+Master!G244</f>
        <v>Novembar</v>
      </c>
      <c r="O7" s="557"/>
      <c r="P7" s="557"/>
      <c r="Q7" s="557"/>
      <c r="R7" s="557"/>
      <c r="S7" s="557"/>
      <c r="T7" s="560"/>
    </row>
    <row r="8" spans="1:20">
      <c r="A8" s="144"/>
      <c r="B8" s="549"/>
      <c r="C8" s="550"/>
      <c r="D8" s="550"/>
      <c r="E8" s="550"/>
      <c r="F8" s="551"/>
      <c r="G8" s="357" t="str">
        <f>+Master!G25</f>
        <v>Ostvarenje</v>
      </c>
      <c r="H8" s="357" t="str">
        <f>+Master!G24</f>
        <v>Plan</v>
      </c>
      <c r="I8" s="545" t="str">
        <f>+Master!G260</f>
        <v>Odstupanje</v>
      </c>
      <c r="J8" s="545"/>
      <c r="K8" s="145" t="str">
        <f>+CONCATENATE(Master!G245," ",Master!B4-1)</f>
        <v>Jan - Nov 2021</v>
      </c>
      <c r="L8" s="545" t="str">
        <f>+I8</f>
        <v>Odstupanje</v>
      </c>
      <c r="M8" s="555"/>
      <c r="N8" s="146" t="str">
        <f>+G8</f>
        <v>Ostvarenje</v>
      </c>
      <c r="O8" s="145" t="str">
        <f>+H8</f>
        <v>Plan</v>
      </c>
      <c r="P8" s="545" t="str">
        <f>+I8</f>
        <v>Odstupanje</v>
      </c>
      <c r="Q8" s="545"/>
      <c r="R8" s="145" t="str">
        <f>+CONCATENATE(Master!G244," ",Master!B4-1)</f>
        <v>Novembar 2021</v>
      </c>
      <c r="S8" s="545" t="str">
        <f>+P8</f>
        <v>Odstupanje</v>
      </c>
      <c r="T8" s="546"/>
    </row>
    <row r="9" spans="1:20" ht="15.75" thickBot="1">
      <c r="A9" s="144"/>
      <c r="B9" s="552"/>
      <c r="C9" s="553"/>
      <c r="D9" s="553"/>
      <c r="E9" s="553"/>
      <c r="F9" s="554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7" t="str">
        <f>+VLOOKUP($A10,Master!$D$29:$G$225,4,FALSE)</f>
        <v>Prihodi budžeta</v>
      </c>
      <c r="C10" s="528"/>
      <c r="D10" s="528"/>
      <c r="E10" s="528"/>
      <c r="F10" s="528"/>
      <c r="G10" s="151">
        <f>'2022'!S10</f>
        <v>1789955743.4500003</v>
      </c>
      <c r="H10" s="151">
        <f>SUM('2022'!G84:Q84)</f>
        <v>1734918407.97</v>
      </c>
      <c r="I10" s="152">
        <f>+G10-H10</f>
        <v>55037335.480000257</v>
      </c>
      <c r="J10" s="154">
        <f>IF(+IF(ISERROR(G10/H10),"…",G10/H10-1)&gt;200%,"...",IF(ISERROR(G10/H10),"…",G10/H10-1))</f>
        <v>3.1723299048050713E-2</v>
      </c>
      <c r="K10" s="151">
        <f>SUM('2021'!G10:Q10)</f>
        <v>1662974684.8300002</v>
      </c>
      <c r="L10" s="152">
        <f>+G10-K10</f>
        <v>126981058.62000012</v>
      </c>
      <c r="M10" s="154">
        <f>IF(+IF(ISERROR(G10/K10),"…",G10/K10-1)&gt;200%,"...",IF(ISERROR(G10/K10),"…",G10/K10-1))</f>
        <v>7.6357782098758209E-2</v>
      </c>
      <c r="N10" s="151">
        <f>'2022'!Q10</f>
        <v>162390085.88</v>
      </c>
      <c r="O10" s="151">
        <f>'2022'!Q84</f>
        <v>136281404.65000004</v>
      </c>
      <c r="P10" s="152">
        <f>+N10-O10</f>
        <v>26108681.229999959</v>
      </c>
      <c r="Q10" s="154">
        <f>IF(+IF(ISERROR(N10/O10),"…",N10/O10-1)&gt;200%,"...",IF(ISERROR(N10/O10),"…",N10/O10-1))</f>
        <v>0.19157919084450792</v>
      </c>
      <c r="R10" s="151">
        <f>'2021'!Q10</f>
        <v>158602978.81999999</v>
      </c>
      <c r="S10" s="152">
        <f>+N10-R10</f>
        <v>3787107.0600000024</v>
      </c>
      <c r="T10" s="156">
        <f>IF(+IF(ISERROR(N10/R10),"…",N10/R10-1)&gt;200%,"...",IF(ISERROR(N10/R10),"…",N10/R10-1))</f>
        <v>2.3877906254825332E-2</v>
      </c>
    </row>
    <row r="11" spans="1:20">
      <c r="A11" s="150">
        <v>711</v>
      </c>
      <c r="B11" s="517" t="str">
        <f>+VLOOKUP($A11,Master!$D$29:$G$225,4,FALSE)</f>
        <v>Porezi</v>
      </c>
      <c r="C11" s="518"/>
      <c r="D11" s="518"/>
      <c r="E11" s="518"/>
      <c r="F11" s="518"/>
      <c r="G11" s="277">
        <f>'2022'!S11</f>
        <v>1262036791.3900001</v>
      </c>
      <c r="H11" s="277">
        <f>SUM('2022'!G85:Q85)</f>
        <v>1199430118.3033335</v>
      </c>
      <c r="I11" s="158">
        <f t="shared" ref="I11:I57" si="0">+G11-H11</f>
        <v>62606673.086666584</v>
      </c>
      <c r="J11" s="160">
        <f t="shared" ref="J11:J64" si="1">IF(+IF(ISERROR(G11/H11-1),"…",G11/H11-1)&gt;200%,"...",IF(ISERROR(G11/H11-1),"…",G11/H11-1))</f>
        <v>5.2197016008925567E-2</v>
      </c>
      <c r="K11" s="277">
        <f>SUM('2021'!G11:Q11)</f>
        <v>1066122095.95</v>
      </c>
      <c r="L11" s="158">
        <f>+G11-K11</f>
        <v>195914695.44000006</v>
      </c>
      <c r="M11" s="160">
        <f t="shared" ref="M11:M64" si="2">IF(+IF(ISERROR(G11/K11),"…",G11/K11-1)&gt;200%,"...",IF(ISERROR(G11/K11),"…",G11/K11-1))</f>
        <v>0.18376384485814867</v>
      </c>
      <c r="N11" s="277">
        <f>'2022'!Q11</f>
        <v>102838730.77</v>
      </c>
      <c r="O11" s="277">
        <f>'2022'!Q85</f>
        <v>76569750.026666671</v>
      </c>
      <c r="P11" s="158">
        <f>+N11-O11</f>
        <v>26268980.743333325</v>
      </c>
      <c r="Q11" s="160">
        <f t="shared" ref="Q11:Q64" si="3">IF(+IF(ISERROR(N11/O11),"…",N11/O11-1)&gt;200%,"...",IF(ISERROR(N11/O11),"…",N11/O11-1))</f>
        <v>0.34307256761560168</v>
      </c>
      <c r="R11" s="277">
        <f>'2021'!Q11</f>
        <v>100241778.90000001</v>
      </c>
      <c r="S11" s="158">
        <f t="shared" ref="S11:S57" si="4">+N11-R11</f>
        <v>2596951.8699999899</v>
      </c>
      <c r="T11" s="162">
        <f t="shared" ref="T11:T64" si="5">IF(+IF(ISERROR(N11/R11),"…",N11/R11-1)&gt;200%,"...",IF(ISERROR(N11/R11),"…",N11/R11-1))</f>
        <v>2.5906881327302456E-2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f>'2022'!S12</f>
        <v>74989910.840000004</v>
      </c>
      <c r="H12" s="163">
        <f>SUM('2022'!G86:Q86)</f>
        <v>79112993.620000005</v>
      </c>
      <c r="I12" s="164">
        <f t="shared" si="0"/>
        <v>-4123082.7800000012</v>
      </c>
      <c r="J12" s="166">
        <f t="shared" si="1"/>
        <v>-5.2116379261341383E-2</v>
      </c>
      <c r="K12" s="163">
        <f>SUM('2021'!G12:Q12)</f>
        <v>107686595.3</v>
      </c>
      <c r="L12" s="164">
        <f>+G12-K12</f>
        <v>-32696684.459999993</v>
      </c>
      <c r="M12" s="166">
        <f t="shared" si="2"/>
        <v>-0.30362817553021837</v>
      </c>
      <c r="N12" s="163">
        <f>'2022'!Q12</f>
        <v>4566627.0199999996</v>
      </c>
      <c r="O12" s="163">
        <f>'2022'!Q86</f>
        <v>6576898.6899999995</v>
      </c>
      <c r="P12" s="164">
        <f t="shared" ref="P12:P57" si="6">+N12-O12</f>
        <v>-2010271.67</v>
      </c>
      <c r="Q12" s="166">
        <f t="shared" si="3"/>
        <v>-0.3056564749973365</v>
      </c>
      <c r="R12" s="163">
        <f>'2021'!Q12</f>
        <v>11130007.369999999</v>
      </c>
      <c r="S12" s="164">
        <f t="shared" si="4"/>
        <v>-6563380.3499999996</v>
      </c>
      <c r="T12" s="168">
        <f t="shared" si="5"/>
        <v>-0.58970134805939489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f>'2022'!S13</f>
        <v>85412995.549999997</v>
      </c>
      <c r="H13" s="163">
        <f>SUM('2022'!G87:Q87)</f>
        <v>82835967.076666668</v>
      </c>
      <c r="I13" s="164">
        <f t="shared" si="0"/>
        <v>2577028.473333329</v>
      </c>
      <c r="J13" s="166">
        <f t="shared" si="1"/>
        <v>3.1110018561722352E-2</v>
      </c>
      <c r="K13" s="163">
        <f>SUM('2021'!G13:Q13)</f>
        <v>71318011.269999996</v>
      </c>
      <c r="L13" s="164">
        <f t="shared" ref="L13:L57" si="7">+G13-K13</f>
        <v>14094984.280000001</v>
      </c>
      <c r="M13" s="166">
        <f t="shared" si="2"/>
        <v>0.19763568878327753</v>
      </c>
      <c r="N13" s="163">
        <f>'2022'!Q13</f>
        <v>2140171.25</v>
      </c>
      <c r="O13" s="163">
        <f>'2022'!Q87</f>
        <v>348381.46333333803</v>
      </c>
      <c r="P13" s="164">
        <f t="shared" si="6"/>
        <v>1791789.786666662</v>
      </c>
      <c r="Q13" s="166" t="str">
        <f t="shared" si="3"/>
        <v>...</v>
      </c>
      <c r="R13" s="163">
        <f>'2021'!Q13</f>
        <v>572934.72</v>
      </c>
      <c r="S13" s="164">
        <f t="shared" si="4"/>
        <v>1567236.53</v>
      </c>
      <c r="T13" s="168" t="str">
        <f t="shared" si="5"/>
        <v>...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f>'2022'!S14</f>
        <v>1481541.77</v>
      </c>
      <c r="H14" s="163">
        <f>SUM('2022'!G88:Q88)</f>
        <v>1481566.07</v>
      </c>
      <c r="I14" s="164">
        <f t="shared" si="0"/>
        <v>-24.300000000046566</v>
      </c>
      <c r="J14" s="166">
        <f t="shared" si="1"/>
        <v>-1.6401563515899831E-5</v>
      </c>
      <c r="K14" s="163">
        <f>SUM('2021'!G14:Q14)</f>
        <v>1751416.8699999999</v>
      </c>
      <c r="L14" s="164">
        <f t="shared" si="7"/>
        <v>-269875.09999999986</v>
      </c>
      <c r="M14" s="166">
        <f t="shared" si="2"/>
        <v>-0.15408958576492404</v>
      </c>
      <c r="N14" s="163">
        <f>'2022'!Q14</f>
        <v>0</v>
      </c>
      <c r="O14" s="163">
        <f>'2022'!Q88</f>
        <v>0</v>
      </c>
      <c r="P14" s="164">
        <f t="shared" si="6"/>
        <v>0</v>
      </c>
      <c r="Q14" s="166" t="str">
        <f t="shared" si="3"/>
        <v>...</v>
      </c>
      <c r="R14" s="163">
        <f>'2021'!Q14</f>
        <v>256744.67</v>
      </c>
      <c r="S14" s="164">
        <f t="shared" si="4"/>
        <v>-256744.67</v>
      </c>
      <c r="T14" s="168">
        <f t="shared" si="5"/>
        <v>-1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f>'2022'!S15</f>
        <v>828768001.21000004</v>
      </c>
      <c r="H15" s="163">
        <f>SUM('2022'!G89:Q89)</f>
        <v>759939740.76000011</v>
      </c>
      <c r="I15" s="164">
        <f t="shared" si="0"/>
        <v>68828260.449999928</v>
      </c>
      <c r="J15" s="166">
        <f t="shared" si="1"/>
        <v>9.0570681803225916E-2</v>
      </c>
      <c r="K15" s="163">
        <f>SUM('2021'!G15:Q15)</f>
        <v>622541014.23000002</v>
      </c>
      <c r="L15" s="164">
        <f t="shared" si="7"/>
        <v>206226986.98000002</v>
      </c>
      <c r="M15" s="166">
        <f t="shared" si="2"/>
        <v>0.33126650656917001</v>
      </c>
      <c r="N15" s="163">
        <f>'2022'!Q15</f>
        <v>75753324.030000001</v>
      </c>
      <c r="O15" s="163">
        <f>'2022'!Q89</f>
        <v>44878315.990000002</v>
      </c>
      <c r="P15" s="164">
        <f t="shared" si="6"/>
        <v>30875008.039999999</v>
      </c>
      <c r="Q15" s="166">
        <f t="shared" si="3"/>
        <v>0.68797162636137488</v>
      </c>
      <c r="R15" s="163">
        <f>'2021'!Q15</f>
        <v>62811263.609999999</v>
      </c>
      <c r="S15" s="164">
        <f t="shared" si="4"/>
        <v>12942060.420000002</v>
      </c>
      <c r="T15" s="168">
        <f t="shared" si="5"/>
        <v>0.20604680874370329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f>'2022'!S16</f>
        <v>223784251.21000004</v>
      </c>
      <c r="H16" s="163">
        <f>SUM('2022'!G90:Q90)</f>
        <v>235632970.14333335</v>
      </c>
      <c r="I16" s="164">
        <f t="shared" si="0"/>
        <v>-11848718.933333308</v>
      </c>
      <c r="J16" s="166">
        <f t="shared" si="1"/>
        <v>-5.0284639395437036E-2</v>
      </c>
      <c r="K16" s="163">
        <f>SUM('2021'!G16:Q16)</f>
        <v>226834723.19999996</v>
      </c>
      <c r="L16" s="164">
        <f t="shared" si="7"/>
        <v>-3050471.9899999201</v>
      </c>
      <c r="M16" s="166">
        <f t="shared" si="2"/>
        <v>-1.3447993970968519E-2</v>
      </c>
      <c r="N16" s="163">
        <f>'2022'!Q16</f>
        <v>15318077.359999999</v>
      </c>
      <c r="O16" s="163">
        <f>'2022'!Q90</f>
        <v>23617898.436666675</v>
      </c>
      <c r="P16" s="164">
        <f t="shared" si="6"/>
        <v>-8299821.0766666755</v>
      </c>
      <c r="Q16" s="166">
        <f t="shared" si="3"/>
        <v>-0.35142081328376118</v>
      </c>
      <c r="R16" s="163">
        <f>'2021'!Q16</f>
        <v>22114560.530000001</v>
      </c>
      <c r="S16" s="164">
        <f t="shared" si="4"/>
        <v>-6796483.1700000018</v>
      </c>
      <c r="T16" s="168">
        <f t="shared" si="5"/>
        <v>-0.3073306910521727</v>
      </c>
    </row>
    <row r="17" spans="1:20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f>'2022'!S17</f>
        <v>36353403.060000002</v>
      </c>
      <c r="H17" s="163">
        <f>SUM('2022'!G91:Q91)</f>
        <v>29452095.68</v>
      </c>
      <c r="I17" s="164">
        <f t="shared" si="0"/>
        <v>6901307.3800000027</v>
      </c>
      <c r="J17" s="166">
        <f t="shared" si="1"/>
        <v>0.2343231345906045</v>
      </c>
      <c r="K17" s="163">
        <f>SUM('2021'!G17:Q17)</f>
        <v>25725391.169999998</v>
      </c>
      <c r="L17" s="164">
        <f t="shared" si="7"/>
        <v>10628011.890000004</v>
      </c>
      <c r="M17" s="166">
        <f t="shared" si="2"/>
        <v>0.4131331500371509</v>
      </c>
      <c r="N17" s="163">
        <f>'2022'!Q17</f>
        <v>3901120.48</v>
      </c>
      <c r="O17" s="163">
        <f>'2022'!Q91</f>
        <v>215355.98999999961</v>
      </c>
      <c r="P17" s="164">
        <f t="shared" si="6"/>
        <v>3685764.49</v>
      </c>
      <c r="Q17" s="166" t="str">
        <f>IF(+IF(ISERROR(N17/O17),"…",N17/O17-1)&gt;200%,"...",IF(ISERROR(N17/O17),"…",N17/O17-1))</f>
        <v>...</v>
      </c>
      <c r="R17" s="163">
        <f>'2021'!Q17</f>
        <v>2368746</v>
      </c>
      <c r="S17" s="164">
        <f t="shared" si="4"/>
        <v>1532374.48</v>
      </c>
      <c r="T17" s="168">
        <f t="shared" si="5"/>
        <v>0.64691380164863599</v>
      </c>
    </row>
    <row r="18" spans="1:20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f>'2022'!S18</f>
        <v>11246687.75</v>
      </c>
      <c r="H18" s="163">
        <f>SUM('2022'!G92:Q92)</f>
        <v>10974784.953333331</v>
      </c>
      <c r="I18" s="164">
        <f t="shared" si="0"/>
        <v>271902.79666666873</v>
      </c>
      <c r="J18" s="166">
        <f t="shared" si="1"/>
        <v>2.4775227744584072E-2</v>
      </c>
      <c r="K18" s="163">
        <f>SUM('2021'!G18:Q18)</f>
        <v>10264943.910000002</v>
      </c>
      <c r="L18" s="164">
        <f t="shared" si="7"/>
        <v>981743.83999999799</v>
      </c>
      <c r="M18" s="166">
        <f t="shared" si="2"/>
        <v>9.5640448560424529E-2</v>
      </c>
      <c r="N18" s="163">
        <f>'2022'!Q18</f>
        <v>1159410.6299999999</v>
      </c>
      <c r="O18" s="163">
        <f>'2022'!Q92</f>
        <v>932899.45666666597</v>
      </c>
      <c r="P18" s="164">
        <f t="shared" si="6"/>
        <v>226511.17333333392</v>
      </c>
      <c r="Q18" s="166">
        <f t="shared" si="3"/>
        <v>0.24280341436008412</v>
      </c>
      <c r="R18" s="163">
        <f>'2021'!Q18</f>
        <v>987522</v>
      </c>
      <c r="S18" s="164">
        <f t="shared" si="4"/>
        <v>171888.62999999989</v>
      </c>
      <c r="T18" s="168">
        <f t="shared" si="5"/>
        <v>0.17406055763820949</v>
      </c>
    </row>
    <row r="19" spans="1:20">
      <c r="A19" s="150">
        <v>712</v>
      </c>
      <c r="B19" s="521" t="str">
        <f>+VLOOKUP($A19,Master!$D$29:$G$225,4,FALSE)</f>
        <v>Doprinosi</v>
      </c>
      <c r="C19" s="522"/>
      <c r="D19" s="522"/>
      <c r="E19" s="522"/>
      <c r="F19" s="522"/>
      <c r="G19" s="169">
        <f>'2022'!S19</f>
        <v>386690596.45999992</v>
      </c>
      <c r="H19" s="169">
        <f>SUM('2022'!G93:Q93)</f>
        <v>398596157.05999994</v>
      </c>
      <c r="I19" s="170">
        <f t="shared" si="0"/>
        <v>-11905560.600000024</v>
      </c>
      <c r="J19" s="172">
        <f t="shared" si="1"/>
        <v>-2.9868729010871786E-2</v>
      </c>
      <c r="K19" s="169">
        <f>SUM('2021'!G19:Q19)</f>
        <v>467480447.74000001</v>
      </c>
      <c r="L19" s="170">
        <f t="shared" si="7"/>
        <v>-80789851.280000091</v>
      </c>
      <c r="M19" s="172">
        <f t="shared" si="2"/>
        <v>-0.17281974394987576</v>
      </c>
      <c r="N19" s="169">
        <f>'2022'!Q19</f>
        <v>40329720.409999996</v>
      </c>
      <c r="O19" s="169">
        <f>'2022'!Q93</f>
        <v>45141802.740000039</v>
      </c>
      <c r="P19" s="170">
        <f t="shared" si="6"/>
        <v>-4812082.3300000429</v>
      </c>
      <c r="Q19" s="172">
        <f t="shared" si="3"/>
        <v>-0.10659925031607276</v>
      </c>
      <c r="R19" s="169">
        <f>'2021'!Q19</f>
        <v>46560226.979999997</v>
      </c>
      <c r="S19" s="170">
        <f t="shared" si="4"/>
        <v>-6230506.5700000003</v>
      </c>
      <c r="T19" s="174">
        <f t="shared" si="5"/>
        <v>-0.13381606951092229</v>
      </c>
    </row>
    <row r="20" spans="1:20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f>'2022'!S20</f>
        <v>336250237.17000002</v>
      </c>
      <c r="H20" s="163">
        <f>SUM('2022'!G94:Q94)</f>
        <v>346185986.07333338</v>
      </c>
      <c r="I20" s="164">
        <f t="shared" si="0"/>
        <v>-9935748.9033333659</v>
      </c>
      <c r="J20" s="166">
        <f t="shared" si="1"/>
        <v>-2.8700609796575183E-2</v>
      </c>
      <c r="K20" s="163">
        <f>SUM('2021'!G20:Q20)</f>
        <v>289024312.70000005</v>
      </c>
      <c r="L20" s="164">
        <f t="shared" si="7"/>
        <v>47225924.469999969</v>
      </c>
      <c r="M20" s="166">
        <f t="shared" si="2"/>
        <v>0.16339775719497784</v>
      </c>
      <c r="N20" s="163">
        <f>'2022'!Q20</f>
        <v>36524279.100000001</v>
      </c>
      <c r="O20" s="163">
        <f>'2022'!Q94</f>
        <v>40410869.616666704</v>
      </c>
      <c r="P20" s="164">
        <f t="shared" si="6"/>
        <v>-3886590.5166667029</v>
      </c>
      <c r="Q20" s="166">
        <f t="shared" si="3"/>
        <v>-9.6176859185028607E-2</v>
      </c>
      <c r="R20" s="163">
        <f>'2021'!Q20</f>
        <v>28933702.27</v>
      </c>
      <c r="S20" s="164">
        <f t="shared" si="4"/>
        <v>7590576.8300000019</v>
      </c>
      <c r="T20" s="168">
        <f t="shared" si="5"/>
        <v>0.26234378024516802</v>
      </c>
    </row>
    <row r="21" spans="1:20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f>'2022'!S21</f>
        <v>24043637.059999999</v>
      </c>
      <c r="H21" s="163">
        <f>SUM('2022'!G95:Q95)</f>
        <v>22313460.606666669</v>
      </c>
      <c r="I21" s="164">
        <f t="shared" si="0"/>
        <v>1730176.4533333294</v>
      </c>
      <c r="J21" s="166">
        <f t="shared" si="1"/>
        <v>7.7539584013086582E-2</v>
      </c>
      <c r="K21" s="163">
        <f>SUM('2021'!G21:Q21)</f>
        <v>152939371.64000002</v>
      </c>
      <c r="L21" s="164">
        <f t="shared" si="7"/>
        <v>-128895734.58000001</v>
      </c>
      <c r="M21" s="166">
        <f t="shared" si="2"/>
        <v>-0.84278974862930855</v>
      </c>
      <c r="N21" s="163">
        <f>'2022'!Q21</f>
        <v>970112.44</v>
      </c>
      <c r="O21" s="163">
        <f>'2022'!Q95</f>
        <v>162054.15333333501</v>
      </c>
      <c r="P21" s="164">
        <f t="shared" si="6"/>
        <v>808058.28666666499</v>
      </c>
      <c r="Q21" s="166" t="str">
        <f t="shared" si="3"/>
        <v>...</v>
      </c>
      <c r="R21" s="163">
        <f>'2021'!Q21</f>
        <v>15188463.41</v>
      </c>
      <c r="S21" s="164">
        <f t="shared" si="4"/>
        <v>-14218350.970000001</v>
      </c>
      <c r="T21" s="168">
        <f t="shared" si="5"/>
        <v>-0.93612833544693641</v>
      </c>
    </row>
    <row r="22" spans="1:20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f>'2022'!S22</f>
        <v>15210701.790000001</v>
      </c>
      <c r="H22" s="163">
        <f>SUM('2022'!G96:Q96)</f>
        <v>17275795.81333334</v>
      </c>
      <c r="I22" s="164">
        <f t="shared" si="0"/>
        <v>-2065094.023333339</v>
      </c>
      <c r="J22" s="166">
        <f t="shared" si="1"/>
        <v>-0.11953683903461709</v>
      </c>
      <c r="K22" s="163">
        <f>SUM('2021'!G22:Q22)</f>
        <v>13835662.770000001</v>
      </c>
      <c r="L22" s="164">
        <f t="shared" si="7"/>
        <v>1375039.0199999996</v>
      </c>
      <c r="M22" s="166">
        <f t="shared" si="2"/>
        <v>9.9383675567860097E-2</v>
      </c>
      <c r="N22" s="163">
        <f>'2022'!Q22</f>
        <v>1651967.4</v>
      </c>
      <c r="O22" s="163">
        <f>'2022'!Q96</f>
        <v>2677754.3266666699</v>
      </c>
      <c r="P22" s="164">
        <f t="shared" si="6"/>
        <v>-1025786.92666667</v>
      </c>
      <c r="Q22" s="166">
        <f t="shared" si="3"/>
        <v>-0.38307731088370345</v>
      </c>
      <c r="R22" s="163">
        <f>'2021'!Q22</f>
        <v>1349119.82</v>
      </c>
      <c r="S22" s="164">
        <f t="shared" si="4"/>
        <v>302847.57999999984</v>
      </c>
      <c r="T22" s="168">
        <f t="shared" si="5"/>
        <v>0.22447789700398868</v>
      </c>
    </row>
    <row r="23" spans="1:20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f>'2022'!S23</f>
        <v>11186020.440000001</v>
      </c>
      <c r="H23" s="163">
        <f>SUM('2022'!G97:Q97)</f>
        <v>12820914.566666663</v>
      </c>
      <c r="I23" s="164">
        <f t="shared" si="0"/>
        <v>-1634894.1266666614</v>
      </c>
      <c r="J23" s="166">
        <f t="shared" si="1"/>
        <v>-0.1275177459584087</v>
      </c>
      <c r="K23" s="163">
        <f>SUM('2021'!G23:Q23)</f>
        <v>11681100.630000001</v>
      </c>
      <c r="L23" s="164">
        <f t="shared" si="7"/>
        <v>-495080.18999999948</v>
      </c>
      <c r="M23" s="166">
        <f t="shared" si="2"/>
        <v>-4.2383008731943339E-2</v>
      </c>
      <c r="N23" s="163">
        <f>'2022'!Q23</f>
        <v>1183361.47</v>
      </c>
      <c r="O23" s="163">
        <f>'2022'!Q97</f>
        <v>1891124.6433333298</v>
      </c>
      <c r="P23" s="164">
        <f t="shared" si="6"/>
        <v>-707763.17333332985</v>
      </c>
      <c r="Q23" s="166">
        <f t="shared" si="3"/>
        <v>-0.37425516918113544</v>
      </c>
      <c r="R23" s="163">
        <f>'2021'!Q23</f>
        <v>1088941.48</v>
      </c>
      <c r="S23" s="164">
        <f t="shared" si="4"/>
        <v>94419.989999999991</v>
      </c>
      <c r="T23" s="168">
        <f t="shared" si="5"/>
        <v>8.6708047892527729E-2</v>
      </c>
    </row>
    <row r="24" spans="1:20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f>'2022'!S24</f>
        <v>12810116.890000002</v>
      </c>
      <c r="H24" s="175">
        <f>SUM('2022'!G98:Q98)</f>
        <v>12099971.276666664</v>
      </c>
      <c r="I24" s="176">
        <f t="shared" si="0"/>
        <v>710145.61333333887</v>
      </c>
      <c r="J24" s="178">
        <f t="shared" si="1"/>
        <v>5.8689859429895463E-2</v>
      </c>
      <c r="K24" s="175">
        <f>SUM('2021'!G24:Q24)</f>
        <v>11436752.029999999</v>
      </c>
      <c r="L24" s="176">
        <f t="shared" si="7"/>
        <v>1373364.8600000031</v>
      </c>
      <c r="M24" s="178">
        <f t="shared" si="2"/>
        <v>0.12008346918753676</v>
      </c>
      <c r="N24" s="175">
        <f>'2022'!Q24</f>
        <v>1259118.31</v>
      </c>
      <c r="O24" s="175">
        <f>'2022'!Q98</f>
        <v>876581.87333333003</v>
      </c>
      <c r="P24" s="176">
        <f t="shared" si="6"/>
        <v>382536.43666667002</v>
      </c>
      <c r="Q24" s="178">
        <f t="shared" si="3"/>
        <v>0.43639555905031391</v>
      </c>
      <c r="R24" s="175">
        <f>'2021'!Q24</f>
        <v>1092535.69</v>
      </c>
      <c r="S24" s="176">
        <f t="shared" si="4"/>
        <v>166582.62000000011</v>
      </c>
      <c r="T24" s="180">
        <f t="shared" si="5"/>
        <v>0.15247338967937973</v>
      </c>
    </row>
    <row r="25" spans="1:20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f>'2022'!S25</f>
        <v>59995491.159999996</v>
      </c>
      <c r="H25" s="175">
        <f>SUM('2022'!G99:Q99)</f>
        <v>50508817.813333333</v>
      </c>
      <c r="I25" s="176">
        <f t="shared" si="0"/>
        <v>9486673.3466666639</v>
      </c>
      <c r="J25" s="178">
        <f t="shared" si="1"/>
        <v>0.18782212210404126</v>
      </c>
      <c r="K25" s="175">
        <f>SUM('2021'!G25:Q25)</f>
        <v>38800373.43</v>
      </c>
      <c r="L25" s="176">
        <f t="shared" si="7"/>
        <v>21195117.729999997</v>
      </c>
      <c r="M25" s="178">
        <f t="shared" si="2"/>
        <v>0.54626066339898105</v>
      </c>
      <c r="N25" s="175">
        <f>'2022'!Q25</f>
        <v>11097392.669999998</v>
      </c>
      <c r="O25" s="175">
        <f>'2022'!Q99</f>
        <v>3115025.5066666701</v>
      </c>
      <c r="P25" s="176">
        <f t="shared" si="6"/>
        <v>7982367.1633333284</v>
      </c>
      <c r="Q25" s="178" t="str">
        <f t="shared" si="3"/>
        <v>...</v>
      </c>
      <c r="R25" s="175">
        <f>'2021'!Q25</f>
        <v>5178797.51</v>
      </c>
      <c r="S25" s="176">
        <f t="shared" si="4"/>
        <v>5918595.1599999983</v>
      </c>
      <c r="T25" s="180">
        <f t="shared" si="5"/>
        <v>1.1428512407699829</v>
      </c>
    </row>
    <row r="26" spans="1:20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f>'2022'!S26</f>
        <v>26777623.900000002</v>
      </c>
      <c r="H26" s="175">
        <f>SUM('2022'!G100:Q100)</f>
        <v>27439789.5</v>
      </c>
      <c r="I26" s="176">
        <f t="shared" si="0"/>
        <v>-662165.59999999776</v>
      </c>
      <c r="J26" s="178">
        <f t="shared" si="1"/>
        <v>-2.4131584537118944E-2</v>
      </c>
      <c r="K26" s="175">
        <f>SUM('2021'!G26:Q26)</f>
        <v>49976975.29999999</v>
      </c>
      <c r="L26" s="176">
        <f t="shared" si="7"/>
        <v>-23199351.399999987</v>
      </c>
      <c r="M26" s="178">
        <f t="shared" si="2"/>
        <v>-0.46420078967844203</v>
      </c>
      <c r="N26" s="175">
        <f>'2022'!Q26</f>
        <v>2978446.19</v>
      </c>
      <c r="O26" s="175">
        <f>'2022'!Q100</f>
        <v>2005486.8900000001</v>
      </c>
      <c r="P26" s="176">
        <f t="shared" si="6"/>
        <v>972959.29999999981</v>
      </c>
      <c r="Q26" s="178">
        <f t="shared" si="3"/>
        <v>0.48514867130345585</v>
      </c>
      <c r="R26" s="175">
        <f>'2021'!Q26</f>
        <v>1628758.26</v>
      </c>
      <c r="S26" s="176">
        <f t="shared" si="4"/>
        <v>1349687.93</v>
      </c>
      <c r="T26" s="180">
        <f t="shared" si="5"/>
        <v>0.82866068166555285</v>
      </c>
    </row>
    <row r="27" spans="1:20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f>'2022'!S27</f>
        <v>13482660.84</v>
      </c>
      <c r="H27" s="175">
        <f>SUM('2022'!G101:Q101)</f>
        <v>9747904.6300000027</v>
      </c>
      <c r="I27" s="176">
        <f t="shared" si="0"/>
        <v>3734756.2099999972</v>
      </c>
      <c r="J27" s="178">
        <f t="shared" si="1"/>
        <v>0.3831342582595616</v>
      </c>
      <c r="K27" s="175">
        <f>SUM('2021'!G27:Q27)</f>
        <v>7840752.6099999994</v>
      </c>
      <c r="L27" s="176">
        <f t="shared" si="7"/>
        <v>5641908.2300000004</v>
      </c>
      <c r="M27" s="178">
        <f t="shared" si="2"/>
        <v>0.71956207657978899</v>
      </c>
      <c r="N27" s="175">
        <f>'2022'!Q27</f>
        <v>1141821.81</v>
      </c>
      <c r="O27" s="175">
        <f>'2022'!Q101</f>
        <v>0</v>
      </c>
      <c r="P27" s="176">
        <f t="shared" si="6"/>
        <v>1141821.81</v>
      </c>
      <c r="Q27" s="178" t="str">
        <f t="shared" si="3"/>
        <v>...</v>
      </c>
      <c r="R27" s="175">
        <f>'2021'!Q27</f>
        <v>1198500.7600000002</v>
      </c>
      <c r="S27" s="176">
        <f t="shared" si="4"/>
        <v>-56678.950000000186</v>
      </c>
      <c r="T27" s="180">
        <f t="shared" si="5"/>
        <v>-4.7291542810536158E-2</v>
      </c>
    </row>
    <row r="28" spans="1:20" ht="15.75" thickBot="1">
      <c r="A28" s="150">
        <v>74</v>
      </c>
      <c r="B28" s="525" t="str">
        <f>+VLOOKUP($A28,Master!$D$29:$G$225,4,FALSE)</f>
        <v>Donacije i transferi</v>
      </c>
      <c r="C28" s="526"/>
      <c r="D28" s="526"/>
      <c r="E28" s="526"/>
      <c r="F28" s="526"/>
      <c r="G28" s="175">
        <f>'2022'!S28</f>
        <v>28162462.809999999</v>
      </c>
      <c r="H28" s="175">
        <f>SUM('2022'!G102:Q102)</f>
        <v>37095649.386666656</v>
      </c>
      <c r="I28" s="176">
        <f t="shared" si="0"/>
        <v>-8933186.5766666569</v>
      </c>
      <c r="J28" s="178">
        <f t="shared" si="1"/>
        <v>-0.24081493987479641</v>
      </c>
      <c r="K28" s="175">
        <f>SUM('2021'!G28:Q28)</f>
        <v>21317287.77</v>
      </c>
      <c r="L28" s="176">
        <f t="shared" si="7"/>
        <v>6845175.0399999991</v>
      </c>
      <c r="M28" s="178">
        <f t="shared" si="2"/>
        <v>0.32110909764202145</v>
      </c>
      <c r="N28" s="175">
        <f>'2022'!Q28</f>
        <v>2744855.72</v>
      </c>
      <c r="O28" s="175">
        <f>'2022'!Q102</f>
        <v>8572757.6133333296</v>
      </c>
      <c r="P28" s="176">
        <f t="shared" si="6"/>
        <v>-5827901.8933333289</v>
      </c>
      <c r="Q28" s="178">
        <f t="shared" si="3"/>
        <v>-0.6798164786869878</v>
      </c>
      <c r="R28" s="175">
        <f>'2021'!Q28</f>
        <v>2702380.72</v>
      </c>
      <c r="S28" s="176">
        <f t="shared" si="4"/>
        <v>42475</v>
      </c>
      <c r="T28" s="180">
        <f t="shared" si="5"/>
        <v>1.5717622496951522E-2</v>
      </c>
    </row>
    <row r="29" spans="1:20" ht="15.7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>'2022'!S29</f>
        <v>1884359345.1400003</v>
      </c>
      <c r="H29" s="151">
        <f>SUM('2022'!G103:Q103)</f>
        <v>2072720293.9433334</v>
      </c>
      <c r="I29" s="152">
        <f t="shared" si="0"/>
        <v>-188360948.80333304</v>
      </c>
      <c r="J29" s="154">
        <f t="shared" si="1"/>
        <v>-9.0876202328765698E-2</v>
      </c>
      <c r="K29" s="151">
        <f>SUM('2021'!G29:Q29)</f>
        <v>1736202834.1400001</v>
      </c>
      <c r="L29" s="152">
        <f t="shared" si="7"/>
        <v>148156511.00000024</v>
      </c>
      <c r="M29" s="154">
        <f t="shared" si="2"/>
        <v>8.5333641949379313E-2</v>
      </c>
      <c r="N29" s="151">
        <f>'2022'!Q29</f>
        <v>201125332.90000001</v>
      </c>
      <c r="O29" s="151">
        <f>'2022'!Q103</f>
        <v>289006911.81666666</v>
      </c>
      <c r="P29" s="152">
        <f t="shared" si="6"/>
        <v>-87881578.916666657</v>
      </c>
      <c r="Q29" s="154">
        <f t="shared" si="3"/>
        <v>-0.3040812358578292</v>
      </c>
      <c r="R29" s="151">
        <f>'2021'!Q29</f>
        <v>171968946.21000004</v>
      </c>
      <c r="S29" s="152">
        <f t="shared" si="4"/>
        <v>29156386.689999968</v>
      </c>
      <c r="T29" s="156">
        <f t="shared" si="5"/>
        <v>0.1695444865632636</v>
      </c>
    </row>
    <row r="30" spans="1:20">
      <c r="A30" s="150">
        <v>41</v>
      </c>
      <c r="B30" s="531" t="str">
        <f>+VLOOKUP($A30,Master!$D$29:$G$225,4,FALSE)</f>
        <v>Tekući izdaci</v>
      </c>
      <c r="C30" s="532"/>
      <c r="D30" s="532"/>
      <c r="E30" s="532"/>
      <c r="F30" s="532"/>
      <c r="G30" s="313">
        <f>'2022'!S30</f>
        <v>763928806.86999989</v>
      </c>
      <c r="H30" s="313">
        <f>SUM('2022'!G104:Q104)</f>
        <v>827473731.63999999</v>
      </c>
      <c r="I30" s="188">
        <f t="shared" si="0"/>
        <v>-63544924.7700001</v>
      </c>
      <c r="J30" s="190">
        <f t="shared" si="1"/>
        <v>-7.6793887636841474E-2</v>
      </c>
      <c r="K30" s="313">
        <f>SUM('2021'!G30:Q30)</f>
        <v>747990061.57000005</v>
      </c>
      <c r="L30" s="188">
        <f t="shared" si="7"/>
        <v>15938745.299999833</v>
      </c>
      <c r="M30" s="190">
        <f t="shared" si="2"/>
        <v>2.1308766143957936E-2</v>
      </c>
      <c r="N30" s="313">
        <f>'2022'!Q30</f>
        <v>81391880.659999982</v>
      </c>
      <c r="O30" s="313">
        <f>'2022'!Q104</f>
        <v>107720251.61000003</v>
      </c>
      <c r="P30" s="188">
        <f t="shared" si="6"/>
        <v>-26328370.950000048</v>
      </c>
      <c r="Q30" s="190">
        <f t="shared" si="3"/>
        <v>-0.24441430981169276</v>
      </c>
      <c r="R30" s="313">
        <f>'2021'!Q30</f>
        <v>70426763.63000001</v>
      </c>
      <c r="S30" s="188">
        <f t="shared" si="4"/>
        <v>10965117.029999971</v>
      </c>
      <c r="T30" s="192">
        <f t="shared" si="5"/>
        <v>0.15569531332729181</v>
      </c>
    </row>
    <row r="31" spans="1:20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f>'2022'!S31</f>
        <v>488381845.54999995</v>
      </c>
      <c r="H31" s="163">
        <f>SUM('2022'!G105:Q105)</f>
        <v>506281325.74666667</v>
      </c>
      <c r="I31" s="164">
        <f t="shared" si="0"/>
        <v>-17899480.196666718</v>
      </c>
      <c r="J31" s="166">
        <f t="shared" si="1"/>
        <v>-3.5354810233753864E-2</v>
      </c>
      <c r="K31" s="163">
        <f>SUM('2021'!G31:Q31)</f>
        <v>488022267.55000007</v>
      </c>
      <c r="L31" s="164">
        <f t="shared" si="7"/>
        <v>359577.99999988079</v>
      </c>
      <c r="M31" s="166">
        <f t="shared" si="2"/>
        <v>7.3680654328556194E-4</v>
      </c>
      <c r="N31" s="163">
        <f>'2022'!Q31</f>
        <v>43561451.509999998</v>
      </c>
      <c r="O31" s="163">
        <f>'2022'!Q105</f>
        <v>53967463.813333347</v>
      </c>
      <c r="P31" s="164">
        <f>+N31-O31</f>
        <v>-10406012.30333335</v>
      </c>
      <c r="Q31" s="166">
        <f>IF(+IF(ISERROR(N31/O31),"…",N31/O31-1)&gt;200%,"...",IF(ISERROR(N31/O31),"…",N31/O31-1))</f>
        <v>-0.19282010989670428</v>
      </c>
      <c r="R31" s="163">
        <f>'2021'!Q31</f>
        <v>42746815.590000004</v>
      </c>
      <c r="S31" s="164">
        <f t="shared" si="4"/>
        <v>814635.91999999434</v>
      </c>
      <c r="T31" s="168">
        <f t="shared" si="5"/>
        <v>1.9057230550538762E-2</v>
      </c>
    </row>
    <row r="32" spans="1:20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f>'2022'!S32</f>
        <v>14570716.42</v>
      </c>
      <c r="H32" s="163">
        <f>SUM('2022'!G106:Q106)</f>
        <v>16723010.033333333</v>
      </c>
      <c r="I32" s="164">
        <f t="shared" si="0"/>
        <v>-2152293.6133333333</v>
      </c>
      <c r="J32" s="166">
        <f t="shared" si="1"/>
        <v>-0.12870252478729904</v>
      </c>
      <c r="K32" s="163">
        <f>SUM('2021'!G32:Q32)</f>
        <v>9027363.7300000004</v>
      </c>
      <c r="L32" s="164">
        <f t="shared" si="7"/>
        <v>5543352.6899999995</v>
      </c>
      <c r="M32" s="166">
        <f t="shared" si="2"/>
        <v>0.61406107649990527</v>
      </c>
      <c r="N32" s="163">
        <f>'2022'!Q32</f>
        <v>1581314.76</v>
      </c>
      <c r="O32" s="163">
        <f>'2022'!Q106</f>
        <v>2596726.726666667</v>
      </c>
      <c r="P32" s="164">
        <f t="shared" si="6"/>
        <v>-1015411.966666667</v>
      </c>
      <c r="Q32" s="166">
        <f t="shared" si="3"/>
        <v>-0.39103535856856142</v>
      </c>
      <c r="R32" s="163">
        <f>'2021'!Q32</f>
        <v>1196263.8500000001</v>
      </c>
      <c r="S32" s="164">
        <f t="shared" si="4"/>
        <v>385050.90999999992</v>
      </c>
      <c r="T32" s="168">
        <f t="shared" si="5"/>
        <v>0.32187791180014336</v>
      </c>
    </row>
    <row r="33" spans="1:20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f>'2022'!S33</f>
        <v>29346956.129999995</v>
      </c>
      <c r="H33" s="163">
        <f>SUM('2022'!G107:Q107)</f>
        <v>39971886.089999996</v>
      </c>
      <c r="I33" s="164">
        <f t="shared" si="0"/>
        <v>-10624929.960000001</v>
      </c>
      <c r="J33" s="166">
        <f t="shared" si="1"/>
        <v>-0.26581007301174364</v>
      </c>
      <c r="K33" s="163">
        <f>SUM('2021'!G33:Q33)</f>
        <v>26543339.5</v>
      </c>
      <c r="L33" s="164">
        <f t="shared" si="7"/>
        <v>2803616.6299999952</v>
      </c>
      <c r="M33" s="166">
        <f t="shared" si="2"/>
        <v>0.10562411071146482</v>
      </c>
      <c r="N33" s="163">
        <f>'2022'!Q33</f>
        <v>3647692.56</v>
      </c>
      <c r="O33" s="163">
        <f>'2022'!Q107</f>
        <v>8236382.3600000003</v>
      </c>
      <c r="P33" s="164">
        <f t="shared" si="6"/>
        <v>-4588689.8000000007</v>
      </c>
      <c r="Q33" s="166">
        <f t="shared" si="3"/>
        <v>-0.55712442665180006</v>
      </c>
      <c r="R33" s="163">
        <f>'2021'!Q33</f>
        <v>3299098.02</v>
      </c>
      <c r="S33" s="164">
        <f t="shared" si="4"/>
        <v>348594.54000000004</v>
      </c>
      <c r="T33" s="168">
        <f t="shared" si="5"/>
        <v>0.1056635898317444</v>
      </c>
    </row>
    <row r="34" spans="1:20">
      <c r="A34" s="150">
        <v>414</v>
      </c>
      <c r="B34" s="519" t="str">
        <f>+VLOOKUP($A34,Master!$D$29:$G$225,4,FALSE)</f>
        <v>Rashodi za usluge</v>
      </c>
      <c r="C34" s="520"/>
      <c r="D34" s="520"/>
      <c r="E34" s="520"/>
      <c r="F34" s="520"/>
      <c r="G34" s="163">
        <f>'2022'!S34</f>
        <v>48967720.700000003</v>
      </c>
      <c r="H34" s="163">
        <f>SUM('2022'!G108:Q108)</f>
        <v>56116187.923333347</v>
      </c>
      <c r="I34" s="164">
        <f t="shared" si="0"/>
        <v>-7148467.2233333439</v>
      </c>
      <c r="J34" s="166">
        <f t="shared" si="1"/>
        <v>-0.12738690007061193</v>
      </c>
      <c r="K34" s="163">
        <f>SUM('2021'!G34:Q34)</f>
        <v>46736754.589999996</v>
      </c>
      <c r="L34" s="164">
        <f t="shared" si="7"/>
        <v>2230966.1100000069</v>
      </c>
      <c r="M34" s="166">
        <f t="shared" si="2"/>
        <v>4.7734724620295932E-2</v>
      </c>
      <c r="N34" s="163">
        <f>'2022'!Q34</f>
        <v>8322300.1900000004</v>
      </c>
      <c r="O34" s="163">
        <f>'2022'!Q108</f>
        <v>10058637.546666674</v>
      </c>
      <c r="P34" s="164">
        <f t="shared" si="6"/>
        <v>-1736337.3566666739</v>
      </c>
      <c r="Q34" s="166">
        <f t="shared" si="3"/>
        <v>-0.17262152539158526</v>
      </c>
      <c r="R34" s="163">
        <f>'2021'!Q34</f>
        <v>4786018.53</v>
      </c>
      <c r="S34" s="164">
        <f t="shared" si="4"/>
        <v>3536281.66</v>
      </c>
      <c r="T34" s="168">
        <f t="shared" si="5"/>
        <v>0.73887755298766056</v>
      </c>
    </row>
    <row r="35" spans="1:20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f>'2022'!S35</f>
        <v>18995351.620000001</v>
      </c>
      <c r="H35" s="163">
        <f>SUM('2022'!G109:Q109)</f>
        <v>23540995.739999998</v>
      </c>
      <c r="I35" s="164">
        <f t="shared" si="0"/>
        <v>-4545644.1199999973</v>
      </c>
      <c r="J35" s="166">
        <f t="shared" si="1"/>
        <v>-0.19309481086546421</v>
      </c>
      <c r="K35" s="163">
        <f>SUM('2021'!G35:Q35)</f>
        <v>17077043.539999999</v>
      </c>
      <c r="L35" s="164">
        <f t="shared" si="7"/>
        <v>1918308.0800000019</v>
      </c>
      <c r="M35" s="166">
        <f t="shared" si="2"/>
        <v>0.11233256362594024</v>
      </c>
      <c r="N35" s="163">
        <f>'2022'!Q35</f>
        <v>2416502.7999999998</v>
      </c>
      <c r="O35" s="163">
        <f>'2022'!Q109</f>
        <v>4461159.9499999993</v>
      </c>
      <c r="P35" s="164">
        <f t="shared" si="6"/>
        <v>-2044657.1499999994</v>
      </c>
      <c r="Q35" s="166">
        <f t="shared" si="3"/>
        <v>-0.45832410693994508</v>
      </c>
      <c r="R35" s="163">
        <f>'2021'!Q35</f>
        <v>2048358.48</v>
      </c>
      <c r="S35" s="164">
        <f t="shared" si="4"/>
        <v>368144.31999999983</v>
      </c>
      <c r="T35" s="168">
        <f t="shared" si="5"/>
        <v>0.17972650959025493</v>
      </c>
    </row>
    <row r="36" spans="1:20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f>'2022'!S36</f>
        <v>68850350.930000007</v>
      </c>
      <c r="H36" s="163">
        <f>SUM('2022'!G110:Q110)</f>
        <v>65828197.079999998</v>
      </c>
      <c r="I36" s="164">
        <f t="shared" si="0"/>
        <v>3022153.8500000089</v>
      </c>
      <c r="J36" s="166">
        <f t="shared" si="1"/>
        <v>4.5909716262276357E-2</v>
      </c>
      <c r="K36" s="163">
        <f>SUM('2021'!G36:Q36)</f>
        <v>87363305.76000002</v>
      </c>
      <c r="L36" s="164">
        <f t="shared" si="7"/>
        <v>-18512954.830000013</v>
      </c>
      <c r="M36" s="166">
        <f t="shared" si="2"/>
        <v>-0.21190767300928204</v>
      </c>
      <c r="N36" s="163">
        <f>'2022'!Q36</f>
        <v>10248475.539999999</v>
      </c>
      <c r="O36" s="163">
        <f>'2022'!Q110</f>
        <v>4036426.7599999993</v>
      </c>
      <c r="P36" s="164">
        <f t="shared" si="6"/>
        <v>6212048.7799999993</v>
      </c>
      <c r="Q36" s="166">
        <f t="shared" si="3"/>
        <v>1.5389970261717325</v>
      </c>
      <c r="R36" s="163">
        <f>'2021'!Q36</f>
        <v>6572572.5</v>
      </c>
      <c r="S36" s="164">
        <f t="shared" si="4"/>
        <v>3675903.0399999991</v>
      </c>
      <c r="T36" s="168">
        <f t="shared" si="5"/>
        <v>0.55927919243188251</v>
      </c>
    </row>
    <row r="37" spans="1:20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f>'2022'!S37</f>
        <v>9378455.3800000008</v>
      </c>
      <c r="H37" s="163">
        <f>SUM('2022'!G111:Q111)</f>
        <v>10298245.876666667</v>
      </c>
      <c r="I37" s="164">
        <f t="shared" si="0"/>
        <v>-919790.49666666612</v>
      </c>
      <c r="J37" s="166">
        <f t="shared" si="1"/>
        <v>-8.9315258897701089E-2</v>
      </c>
      <c r="K37" s="163">
        <f>SUM('2021'!G37:Q37)</f>
        <v>8866124.040000001</v>
      </c>
      <c r="L37" s="164">
        <f t="shared" si="7"/>
        <v>512331.33999999985</v>
      </c>
      <c r="M37" s="166">
        <f t="shared" si="2"/>
        <v>5.7785266446599426E-2</v>
      </c>
      <c r="N37" s="163">
        <f>'2022'!Q37</f>
        <v>1037480.69</v>
      </c>
      <c r="O37" s="163">
        <f>'2022'!Q111</f>
        <v>1375364.1133333328</v>
      </c>
      <c r="P37" s="164">
        <f t="shared" si="6"/>
        <v>-337883.42333333287</v>
      </c>
      <c r="Q37" s="166">
        <f t="shared" si="3"/>
        <v>-0.24566834342830024</v>
      </c>
      <c r="R37" s="163">
        <f>'2021'!Q37</f>
        <v>1013643.73</v>
      </c>
      <c r="S37" s="164">
        <f t="shared" si="4"/>
        <v>23836.959999999963</v>
      </c>
      <c r="T37" s="168">
        <f t="shared" si="5"/>
        <v>2.3516112510260312E-2</v>
      </c>
    </row>
    <row r="38" spans="1:20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f>'2022'!S38</f>
        <v>49028237.700000003</v>
      </c>
      <c r="H38" s="163">
        <f>SUM('2022'!G112:Q112)</f>
        <v>56245701.423333347</v>
      </c>
      <c r="I38" s="164">
        <f t="shared" si="0"/>
        <v>-7217463.7233333439</v>
      </c>
      <c r="J38" s="166">
        <f t="shared" si="1"/>
        <v>-0.12832027231754284</v>
      </c>
      <c r="K38" s="163">
        <f>SUM('2021'!G38:Q38)</f>
        <v>35305342.280000001</v>
      </c>
      <c r="L38" s="164">
        <f t="shared" si="7"/>
        <v>13722895.420000002</v>
      </c>
      <c r="M38" s="166">
        <f t="shared" si="2"/>
        <v>0.38869175410243328</v>
      </c>
      <c r="N38" s="163">
        <f>'2022'!Q38</f>
        <v>6635735.6500000004</v>
      </c>
      <c r="O38" s="163">
        <f>'2022'!Q112</f>
        <v>10584907.556666669</v>
      </c>
      <c r="P38" s="164">
        <f t="shared" si="6"/>
        <v>-3949171.9066666681</v>
      </c>
      <c r="Q38" s="166">
        <f t="shared" si="3"/>
        <v>-0.37309460526930815</v>
      </c>
      <c r="R38" s="163">
        <f>'2021'!Q38</f>
        <v>4749689.82</v>
      </c>
      <c r="S38" s="164">
        <f t="shared" si="4"/>
        <v>1886045.83</v>
      </c>
      <c r="T38" s="168">
        <f t="shared" si="5"/>
        <v>0.3970882102781188</v>
      </c>
    </row>
    <row r="39" spans="1:20">
      <c r="A39" s="150">
        <v>419</v>
      </c>
      <c r="B39" s="519" t="str">
        <f>+VLOOKUP($A39,Master!$D$29:$G$225,4,FALSE)</f>
        <v>Ostali izdaci</v>
      </c>
      <c r="C39" s="520"/>
      <c r="D39" s="520"/>
      <c r="E39" s="520"/>
      <c r="F39" s="520"/>
      <c r="G39" s="163">
        <f>'2022'!S39</f>
        <v>36409172.439999998</v>
      </c>
      <c r="H39" s="163">
        <f>SUM('2022'!G113:Q113)</f>
        <v>52468181.726666659</v>
      </c>
      <c r="I39" s="164">
        <f t="shared" si="0"/>
        <v>-16059009.286666662</v>
      </c>
      <c r="J39" s="166">
        <f t="shared" si="1"/>
        <v>-0.30607138951996049</v>
      </c>
      <c r="K39" s="163">
        <f>SUM('2021'!G39:Q39)</f>
        <v>29048520.579999998</v>
      </c>
      <c r="L39" s="164">
        <f t="shared" si="7"/>
        <v>7360651.8599999994</v>
      </c>
      <c r="M39" s="166">
        <f t="shared" si="2"/>
        <v>0.25339162590840614</v>
      </c>
      <c r="N39" s="163">
        <f>'2022'!Q39</f>
        <v>3940926.96</v>
      </c>
      <c r="O39" s="163">
        <f>'2022'!Q113</f>
        <v>12403182.783333331</v>
      </c>
      <c r="P39" s="164">
        <f t="shared" si="6"/>
        <v>-8462255.8233333305</v>
      </c>
      <c r="Q39" s="166">
        <f t="shared" si="3"/>
        <v>-0.68226486468492697</v>
      </c>
      <c r="R39" s="163">
        <f>'2021'!Q39</f>
        <v>4014303.11</v>
      </c>
      <c r="S39" s="164">
        <f t="shared" si="4"/>
        <v>-73376.149999999907</v>
      </c>
      <c r="T39" s="168">
        <f t="shared" si="5"/>
        <v>-1.8278677017989242E-2</v>
      </c>
    </row>
    <row r="40" spans="1:20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'2022'!S40</f>
        <v>596779704.48000002</v>
      </c>
      <c r="H40" s="193">
        <f>SUM('2022'!G114:Q114)</f>
        <v>619429095.06999993</v>
      </c>
      <c r="I40" s="194">
        <f t="shared" si="0"/>
        <v>-22649390.589999914</v>
      </c>
      <c r="J40" s="196">
        <f t="shared" si="1"/>
        <v>-3.6564944672869082E-2</v>
      </c>
      <c r="K40" s="193">
        <f>SUM('2021'!G40:Q40)</f>
        <v>517254824.69999987</v>
      </c>
      <c r="L40" s="194">
        <f t="shared" si="7"/>
        <v>79524879.78000015</v>
      </c>
      <c r="M40" s="196">
        <f t="shared" si="2"/>
        <v>0.15374410441917763</v>
      </c>
      <c r="N40" s="193">
        <f>'2022'!Q40</f>
        <v>63369274.630000003</v>
      </c>
      <c r="O40" s="193">
        <f>'2022'!Q114</f>
        <v>78609110.530000016</v>
      </c>
      <c r="P40" s="194">
        <f t="shared" si="6"/>
        <v>-15239835.900000013</v>
      </c>
      <c r="Q40" s="196">
        <f t="shared" si="3"/>
        <v>-0.19386857066884067</v>
      </c>
      <c r="R40" s="193">
        <f>'2021'!Q40</f>
        <v>47602308.230000004</v>
      </c>
      <c r="S40" s="194">
        <f t="shared" si="4"/>
        <v>15766966.399999999</v>
      </c>
      <c r="T40" s="198">
        <f t="shared" si="5"/>
        <v>0.33122272818827958</v>
      </c>
    </row>
    <row r="41" spans="1:20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f>'2022'!S41</f>
        <v>121139861.78</v>
      </c>
      <c r="H41" s="163">
        <f>SUM('2022'!G115:Q115)</f>
        <v>127775689.49666665</v>
      </c>
      <c r="I41" s="164">
        <f t="shared" si="0"/>
        <v>-6635827.7166666538</v>
      </c>
      <c r="J41" s="166">
        <f t="shared" si="1"/>
        <v>-5.193341349051972E-2</v>
      </c>
      <c r="K41" s="163">
        <f>SUM('2021'!G41:Q41)</f>
        <v>76569354.540000007</v>
      </c>
      <c r="L41" s="164">
        <f t="shared" si="7"/>
        <v>44570507.239999995</v>
      </c>
      <c r="M41" s="166">
        <f t="shared" si="2"/>
        <v>0.58209328663879822</v>
      </c>
      <c r="N41" s="163">
        <f>'2022'!Q41</f>
        <v>14820839.539999999</v>
      </c>
      <c r="O41" s="163">
        <f>'2022'!Q115</f>
        <v>17084310.503333334</v>
      </c>
      <c r="P41" s="164">
        <f t="shared" si="6"/>
        <v>-2263470.9633333348</v>
      </c>
      <c r="Q41" s="166">
        <f t="shared" si="3"/>
        <v>-0.13248828291265879</v>
      </c>
      <c r="R41" s="163">
        <f>'2021'!Q41</f>
        <v>8108140.6100000003</v>
      </c>
      <c r="S41" s="164">
        <f t="shared" si="4"/>
        <v>6712698.9299999988</v>
      </c>
      <c r="T41" s="168">
        <f t="shared" si="5"/>
        <v>0.8278962160228247</v>
      </c>
    </row>
    <row r="42" spans="1:20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f>'2022'!S42</f>
        <v>23180247.409999996</v>
      </c>
      <c r="H42" s="163">
        <f>SUM('2022'!G116:Q116)</f>
        <v>26214406.113333333</v>
      </c>
      <c r="I42" s="164">
        <f t="shared" si="0"/>
        <v>-3034158.7033333369</v>
      </c>
      <c r="J42" s="166">
        <f t="shared" si="1"/>
        <v>-0.11574394209869532</v>
      </c>
      <c r="K42" s="163">
        <f>SUM('2021'!G42:Q42)</f>
        <v>19862322.57</v>
      </c>
      <c r="L42" s="164">
        <f t="shared" si="7"/>
        <v>3317924.8399999961</v>
      </c>
      <c r="M42" s="166">
        <f t="shared" si="2"/>
        <v>0.1670461663436773</v>
      </c>
      <c r="N42" s="163">
        <f>'2022'!Q42</f>
        <v>2185736.61</v>
      </c>
      <c r="O42" s="163">
        <f>'2022'!Q116</f>
        <v>3824082.1866666665</v>
      </c>
      <c r="P42" s="164">
        <f t="shared" si="6"/>
        <v>-1638345.5766666667</v>
      </c>
      <c r="Q42" s="166">
        <f t="shared" si="3"/>
        <v>-0.42842844287684134</v>
      </c>
      <c r="R42" s="163">
        <f>'2021'!Q42</f>
        <v>1693671.28</v>
      </c>
      <c r="S42" s="164">
        <f t="shared" si="4"/>
        <v>492065.32999999984</v>
      </c>
      <c r="T42" s="168">
        <f t="shared" si="5"/>
        <v>0.29053177898842319</v>
      </c>
    </row>
    <row r="43" spans="1:20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f>'2022'!S43</f>
        <v>427359087.56</v>
      </c>
      <c r="H43" s="163">
        <f>SUM('2022'!G117:Q117)</f>
        <v>440301620.52666676</v>
      </c>
      <c r="I43" s="164">
        <f t="shared" si="0"/>
        <v>-12942532.966666758</v>
      </c>
      <c r="J43" s="166">
        <f t="shared" si="1"/>
        <v>-2.9394697551159421E-2</v>
      </c>
      <c r="K43" s="163">
        <f>SUM('2021'!G43:Q43)</f>
        <v>395219351.19</v>
      </c>
      <c r="L43" s="164">
        <f t="shared" si="7"/>
        <v>32139736.370000005</v>
      </c>
      <c r="M43" s="166">
        <f t="shared" si="2"/>
        <v>8.132126190994371E-2</v>
      </c>
      <c r="N43" s="163">
        <f>'2022'!Q43</f>
        <v>42921660.460000001</v>
      </c>
      <c r="O43" s="163">
        <f>'2022'!Q117</f>
        <v>54747985.703333363</v>
      </c>
      <c r="P43" s="164">
        <f t="shared" si="6"/>
        <v>-11826325.243333362</v>
      </c>
      <c r="Q43" s="166">
        <f t="shared" si="3"/>
        <v>-0.21601388784269571</v>
      </c>
      <c r="R43" s="163">
        <f>'2021'!Q43</f>
        <v>35886030.640000001</v>
      </c>
      <c r="S43" s="164">
        <f t="shared" si="4"/>
        <v>7035629.8200000003</v>
      </c>
      <c r="T43" s="168">
        <f t="shared" si="5"/>
        <v>0.1960548351134106</v>
      </c>
    </row>
    <row r="44" spans="1:20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f>'2022'!S44</f>
        <v>13480140.91</v>
      </c>
      <c r="H44" s="163">
        <f>SUM('2022'!G118:Q118)</f>
        <v>13305539.329999998</v>
      </c>
      <c r="I44" s="164">
        <f t="shared" si="0"/>
        <v>174601.58000000194</v>
      </c>
      <c r="J44" s="166">
        <f t="shared" si="1"/>
        <v>1.3122472954277598E-2</v>
      </c>
      <c r="K44" s="163">
        <f>SUM('2021'!G44:Q44)</f>
        <v>15492949.389999999</v>
      </c>
      <c r="L44" s="164">
        <f t="shared" si="7"/>
        <v>-2012808.4799999986</v>
      </c>
      <c r="M44" s="166">
        <f t="shared" si="2"/>
        <v>-0.12991770832861405</v>
      </c>
      <c r="N44" s="163">
        <f>'2022'!Q44</f>
        <v>1655544.57</v>
      </c>
      <c r="O44" s="163">
        <f>'2022'!Q118</f>
        <v>1374407.6299999994</v>
      </c>
      <c r="P44" s="164">
        <f t="shared" si="6"/>
        <v>281136.94000000064</v>
      </c>
      <c r="Q44" s="166">
        <f t="shared" si="3"/>
        <v>0.20455135278898351</v>
      </c>
      <c r="R44" s="163">
        <f>'2021'!Q44</f>
        <v>925856.6</v>
      </c>
      <c r="S44" s="164">
        <f t="shared" si="4"/>
        <v>729687.97000000009</v>
      </c>
      <c r="T44" s="168">
        <f t="shared" si="5"/>
        <v>0.78812201587157249</v>
      </c>
    </row>
    <row r="45" spans="1:20">
      <c r="A45" s="150">
        <v>425</v>
      </c>
      <c r="B45" s="519" t="str">
        <f>+VLOOKUP($A45,Master!$D$29:$G$225,4,FALSE)</f>
        <v>Ostala prava iz zdravstvenog osiguranja</v>
      </c>
      <c r="C45" s="520"/>
      <c r="D45" s="520"/>
      <c r="E45" s="520"/>
      <c r="F45" s="520"/>
      <c r="G45" s="163">
        <f>'2022'!S45</f>
        <v>11620366.819999998</v>
      </c>
      <c r="H45" s="163">
        <f>SUM('2022'!G119:Q119)</f>
        <v>11831839.603333335</v>
      </c>
      <c r="I45" s="164">
        <f t="shared" si="0"/>
        <v>-211472.78333333693</v>
      </c>
      <c r="J45" s="166">
        <f t="shared" si="1"/>
        <v>-1.7873195582685186E-2</v>
      </c>
      <c r="K45" s="163">
        <f>SUM('2021'!G45:Q45)</f>
        <v>10110847.01</v>
      </c>
      <c r="L45" s="164">
        <f t="shared" si="7"/>
        <v>1509519.8099999987</v>
      </c>
      <c r="M45" s="166">
        <f t="shared" si="2"/>
        <v>0.14929706764497852</v>
      </c>
      <c r="N45" s="163">
        <f>'2022'!Q45</f>
        <v>1785493.45</v>
      </c>
      <c r="O45" s="163">
        <f>'2022'!Q119</f>
        <v>1578324.5066666668</v>
      </c>
      <c r="P45" s="164">
        <f t="shared" si="6"/>
        <v>207168.94333333313</v>
      </c>
      <c r="Q45" s="166">
        <f t="shared" si="3"/>
        <v>0.13125877628984073</v>
      </c>
      <c r="R45" s="163">
        <f>'2021'!Q45</f>
        <v>988609.1</v>
      </c>
      <c r="S45" s="164">
        <f t="shared" si="4"/>
        <v>796884.35</v>
      </c>
      <c r="T45" s="168">
        <f t="shared" si="5"/>
        <v>0.80606616912589613</v>
      </c>
    </row>
    <row r="46" spans="1:20">
      <c r="A46" s="150">
        <v>43</v>
      </c>
      <c r="B46" s="533" t="str">
        <f>+VLOOKUP($A46,Master!$D$29:$G$225,4,FALSE)</f>
        <v xml:space="preserve">Transferi institucijama, pojedincima, nevladinom i javnom sektoru </v>
      </c>
      <c r="C46" s="534"/>
      <c r="D46" s="534"/>
      <c r="E46" s="534"/>
      <c r="F46" s="534"/>
      <c r="G46" s="175">
        <f>'2022'!S46</f>
        <v>269709926.75</v>
      </c>
      <c r="H46" s="175">
        <f>SUM('2022'!G120:Q120)</f>
        <v>275742964.45333332</v>
      </c>
      <c r="I46" s="176">
        <f t="shared" si="0"/>
        <v>-6033037.7033333182</v>
      </c>
      <c r="J46" s="178">
        <f t="shared" si="1"/>
        <v>-2.1879208107064341E-2</v>
      </c>
      <c r="K46" s="175">
        <f>SUM('2021'!G46:Q46)</f>
        <v>227639369.41000003</v>
      </c>
      <c r="L46" s="176">
        <f t="shared" si="7"/>
        <v>42070557.339999974</v>
      </c>
      <c r="M46" s="178">
        <f t="shared" si="2"/>
        <v>0.18481230838514118</v>
      </c>
      <c r="N46" s="175">
        <f>'2022'!Q46</f>
        <v>34224335.93</v>
      </c>
      <c r="O46" s="175">
        <f>'2022'!Q120</f>
        <v>36220465.866666652</v>
      </c>
      <c r="P46" s="176">
        <f t="shared" si="6"/>
        <v>-1996129.9366666526</v>
      </c>
      <c r="Q46" s="178">
        <f t="shared" si="3"/>
        <v>-5.51105539065877E-2</v>
      </c>
      <c r="R46" s="175">
        <f>'2021'!Q46</f>
        <v>27077034.149999999</v>
      </c>
      <c r="S46" s="176">
        <f t="shared" si="4"/>
        <v>7147301.7800000012</v>
      </c>
      <c r="T46" s="180">
        <f t="shared" si="5"/>
        <v>0.26396176702388208</v>
      </c>
    </row>
    <row r="47" spans="1:20">
      <c r="A47" s="150">
        <v>44</v>
      </c>
      <c r="B47" s="533" t="str">
        <f>+VLOOKUP($A47,Master!$D$29:$G$225,4,FALSE)</f>
        <v>Kapitalni izdaci</v>
      </c>
      <c r="C47" s="534"/>
      <c r="D47" s="534"/>
      <c r="E47" s="534"/>
      <c r="F47" s="534"/>
      <c r="G47" s="175">
        <f>'2022'!S47</f>
        <v>183892495.93999997</v>
      </c>
      <c r="H47" s="175">
        <f>SUM('2022'!G121:Q121)</f>
        <v>235872748.12333328</v>
      </c>
      <c r="I47" s="176">
        <f t="shared" si="0"/>
        <v>-51980252.183333308</v>
      </c>
      <c r="J47" s="178">
        <f t="shared" si="1"/>
        <v>-0.22037413222554159</v>
      </c>
      <c r="K47" s="175">
        <f>SUM('2021'!G47:Q47)</f>
        <v>144992404.31999999</v>
      </c>
      <c r="L47" s="176">
        <f t="shared" si="7"/>
        <v>38900091.619999975</v>
      </c>
      <c r="M47" s="178">
        <f t="shared" si="2"/>
        <v>0.26829054806310415</v>
      </c>
      <c r="N47" s="175">
        <f>'2022'!Q47</f>
        <v>20288966.399999999</v>
      </c>
      <c r="O47" s="175">
        <f>'2022'!Q121</f>
        <v>41814542.016666658</v>
      </c>
      <c r="P47" s="176">
        <f t="shared" si="6"/>
        <v>-21525575.61666666</v>
      </c>
      <c r="Q47" s="178">
        <f t="shared" si="3"/>
        <v>-0.51478683200899056</v>
      </c>
      <c r="R47" s="175">
        <f>'2021'!Q47</f>
        <v>19451903.010000002</v>
      </c>
      <c r="S47" s="176">
        <f t="shared" si="4"/>
        <v>837063.38999999687</v>
      </c>
      <c r="T47" s="180">
        <f t="shared" si="5"/>
        <v>4.3032467803775898E-2</v>
      </c>
    </row>
    <row r="48" spans="1:20">
      <c r="A48" s="150">
        <v>451</v>
      </c>
      <c r="B48" s="537" t="str">
        <f>+VLOOKUP($A48,Master!$D$29:$G$225,4,FALSE)</f>
        <v>Pozajmice i krediti</v>
      </c>
      <c r="C48" s="538"/>
      <c r="D48" s="538"/>
      <c r="E48" s="538"/>
      <c r="F48" s="538"/>
      <c r="G48" s="163">
        <f>'2022'!S48</f>
        <v>1646868</v>
      </c>
      <c r="H48" s="163">
        <f>SUM('2022'!G122:Q122)</f>
        <v>2054035.3333333335</v>
      </c>
      <c r="I48" s="164">
        <f>G48-H48</f>
        <v>-407167.33333333349</v>
      </c>
      <c r="J48" s="282">
        <f t="shared" si="1"/>
        <v>-0.19822800841141008</v>
      </c>
      <c r="K48" s="163">
        <f>SUM('2021'!G48:Q48)</f>
        <v>1151158</v>
      </c>
      <c r="L48" s="279">
        <f t="shared" si="7"/>
        <v>495710</v>
      </c>
      <c r="M48" s="282">
        <f t="shared" si="2"/>
        <v>0.43061855974592533</v>
      </c>
      <c r="N48" s="163">
        <f>'2022'!Q48</f>
        <v>0</v>
      </c>
      <c r="O48" s="163">
        <f>'2022'!Q122</f>
        <v>619965.66666666674</v>
      </c>
      <c r="P48" s="164">
        <f t="shared" si="6"/>
        <v>-619965.66666666674</v>
      </c>
      <c r="Q48" s="282">
        <f t="shared" si="3"/>
        <v>-1</v>
      </c>
      <c r="R48" s="163">
        <f>'2021'!Q48</f>
        <v>1680</v>
      </c>
      <c r="S48" s="279">
        <f>+N48-R48-S58</f>
        <v>-574001.46</v>
      </c>
      <c r="T48" s="504">
        <f t="shared" si="5"/>
        <v>-1</v>
      </c>
    </row>
    <row r="49" spans="1:23">
      <c r="A49" s="150">
        <v>47</v>
      </c>
      <c r="B49" s="537" t="str">
        <f>+VLOOKUP($A49,Master!$D$29:$G$225,4,FALSE)</f>
        <v>Rezerve</v>
      </c>
      <c r="C49" s="538"/>
      <c r="D49" s="538"/>
      <c r="E49" s="538"/>
      <c r="F49" s="538"/>
      <c r="G49" s="163">
        <f>'2022'!S49</f>
        <v>34696616.829999998</v>
      </c>
      <c r="H49" s="163">
        <f>SUM('2022'!G123:Q123)</f>
        <v>77523309.343333334</v>
      </c>
      <c r="I49" s="164">
        <f t="shared" ref="I49:I50" si="8">G49-H49</f>
        <v>-42826692.513333336</v>
      </c>
      <c r="J49" s="283">
        <f t="shared" si="1"/>
        <v>-0.55243633013218685</v>
      </c>
      <c r="K49" s="163">
        <f>SUM('2021'!G49:Q49)</f>
        <v>66157468.329999998</v>
      </c>
      <c r="L49" s="280">
        <f t="shared" si="7"/>
        <v>-31460851.5</v>
      </c>
      <c r="M49" s="283">
        <f t="shared" si="2"/>
        <v>-0.47554497313999622</v>
      </c>
      <c r="N49" s="163">
        <f>'2022'!Q49</f>
        <v>608587.1</v>
      </c>
      <c r="O49" s="163">
        <f>'2022'!Q123</f>
        <v>22444044.24666667</v>
      </c>
      <c r="P49" s="164">
        <f t="shared" si="6"/>
        <v>-21835457.146666668</v>
      </c>
      <c r="Q49" s="283">
        <f t="shared" si="3"/>
        <v>-0.97288424967838028</v>
      </c>
      <c r="R49" s="163">
        <f>'2021'!Q49</f>
        <v>5966200</v>
      </c>
      <c r="S49" s="280">
        <f t="shared" si="4"/>
        <v>-5357612.9000000004</v>
      </c>
      <c r="T49" s="505">
        <f t="shared" si="5"/>
        <v>-0.89799418390265162</v>
      </c>
      <c r="W49" s="344"/>
    </row>
    <row r="50" spans="1:23" ht="15.75" thickBot="1">
      <c r="A50" s="150">
        <v>462</v>
      </c>
      <c r="B50" s="539" t="str">
        <f>+VLOOKUP($A50,Master!$D$29:$G$225,4,FALSE)</f>
        <v>Otplata garancija</v>
      </c>
      <c r="C50" s="540"/>
      <c r="D50" s="540"/>
      <c r="E50" s="540"/>
      <c r="F50" s="540"/>
      <c r="G50" s="163">
        <f>'2022'!S50</f>
        <v>500000</v>
      </c>
      <c r="H50" s="163">
        <f>SUM('2022'!G124:Q124)</f>
        <v>0</v>
      </c>
      <c r="I50" s="164">
        <f t="shared" si="8"/>
        <v>500000</v>
      </c>
      <c r="J50" s="284" t="str">
        <f t="shared" si="1"/>
        <v>...</v>
      </c>
      <c r="K50" s="163">
        <f>SUM('2021'!G50:Q50)</f>
        <v>7711252.0800000001</v>
      </c>
      <c r="L50" s="280">
        <f t="shared" si="7"/>
        <v>-7211252.0800000001</v>
      </c>
      <c r="M50" s="284">
        <f t="shared" si="2"/>
        <v>-0.93515968680406569</v>
      </c>
      <c r="N50" s="163">
        <f>'2022'!Q50</f>
        <v>0</v>
      </c>
      <c r="O50" s="163">
        <f>'2022'!Q124</f>
        <v>0</v>
      </c>
      <c r="P50" s="164">
        <f t="shared" si="6"/>
        <v>0</v>
      </c>
      <c r="Q50" s="284" t="str">
        <f t="shared" si="3"/>
        <v>...</v>
      </c>
      <c r="R50" s="163">
        <f>'2021'!Q50</f>
        <v>0</v>
      </c>
      <c r="S50" s="280">
        <f t="shared" si="4"/>
        <v>0</v>
      </c>
      <c r="T50" s="506" t="str">
        <f t="shared" si="5"/>
        <v>...</v>
      </c>
    </row>
    <row r="51" spans="1:23" ht="15" customHeight="1" thickBot="1">
      <c r="A51" s="144">
        <v>4630</v>
      </c>
      <c r="B51" s="539" t="str">
        <f>+VLOOKUP($A51,Master!$D$29:$G$225,4,FALSE)</f>
        <v>Otplata obaveza iz prethodnog perioda</v>
      </c>
      <c r="C51" s="540"/>
      <c r="D51" s="540"/>
      <c r="E51" s="540"/>
      <c r="F51" s="540"/>
      <c r="G51" s="314">
        <f>'2022'!S51</f>
        <v>33204926.269999996</v>
      </c>
      <c r="H51" s="314">
        <f>SUM('2022'!G125:Q125)</f>
        <v>34624409.979999982</v>
      </c>
      <c r="I51" s="281">
        <f>G51-H51</f>
        <v>-1419483.709999986</v>
      </c>
      <c r="J51" s="285">
        <f t="shared" si="1"/>
        <v>-4.0996618016593489E-2</v>
      </c>
      <c r="K51" s="314">
        <f>SUM('2021'!G51:Q51)</f>
        <v>23306295.73</v>
      </c>
      <c r="L51" s="287">
        <f t="shared" si="7"/>
        <v>9898630.5399999954</v>
      </c>
      <c r="M51" s="285">
        <f t="shared" si="2"/>
        <v>0.42471916836009327</v>
      </c>
      <c r="N51" s="314">
        <f>'2022'!Q51</f>
        <v>1242288.18</v>
      </c>
      <c r="O51" s="314">
        <f>'2022'!Q125</f>
        <v>1578531.8799999962</v>
      </c>
      <c r="P51" s="281">
        <f>N51-O51</f>
        <v>-336243.69999999623</v>
      </c>
      <c r="Q51" s="285">
        <f t="shared" si="3"/>
        <v>-0.21301039545681966</v>
      </c>
      <c r="R51" s="314">
        <f>'2021'!Q51</f>
        <v>1443057.19</v>
      </c>
      <c r="S51" s="287">
        <f>+N51-R51</f>
        <v>-200769.01</v>
      </c>
      <c r="T51" s="507">
        <f t="shared" si="5"/>
        <v>-0.1391275490613092</v>
      </c>
    </row>
    <row r="52" spans="1:23" ht="15.75" thickBot="1">
      <c r="A52" s="144">
        <v>1005</v>
      </c>
      <c r="B52" s="539" t="str">
        <f>+VLOOKUP($A52,Master!$D$29:$G$227,4,FALSE)</f>
        <v>Neto povećanje obaveza</v>
      </c>
      <c r="C52" s="540"/>
      <c r="D52" s="540"/>
      <c r="E52" s="540"/>
      <c r="F52" s="540"/>
      <c r="G52" s="163">
        <f>'2022'!S52</f>
        <v>0</v>
      </c>
      <c r="H52" s="163">
        <f>SUM('2022'!G126:Q126)</f>
        <v>0</v>
      </c>
      <c r="I52" s="281">
        <f>G52-H52</f>
        <v>0</v>
      </c>
      <c r="J52" s="285" t="str">
        <f t="shared" si="1"/>
        <v>...</v>
      </c>
      <c r="K52" s="163">
        <f>SUM('2021'!G52:Q52)</f>
        <v>0</v>
      </c>
      <c r="L52" s="287">
        <f t="shared" si="7"/>
        <v>0</v>
      </c>
      <c r="M52" s="285" t="str">
        <f t="shared" si="2"/>
        <v>...</v>
      </c>
      <c r="N52" s="163">
        <f>'2022'!Q52</f>
        <v>0</v>
      </c>
      <c r="O52" s="163">
        <f>'2022'!Q126</f>
        <v>0</v>
      </c>
      <c r="P52" s="281">
        <f>N52-O52</f>
        <v>0</v>
      </c>
      <c r="Q52" s="285" t="str">
        <f t="shared" si="3"/>
        <v>...</v>
      </c>
      <c r="R52" s="163">
        <f>'2021'!Q52</f>
        <v>0</v>
      </c>
      <c r="S52" s="287">
        <f>+N52-R52</f>
        <v>0</v>
      </c>
      <c r="T52" s="507" t="str">
        <f t="shared" si="5"/>
        <v>...</v>
      </c>
    </row>
    <row r="53" spans="1:23" ht="15.75" thickBot="1">
      <c r="A53" s="144">
        <v>1000</v>
      </c>
      <c r="B53" s="541" t="str">
        <f>+VLOOKUP($A53,Master!$D$29:$G$225,4,FALSE)</f>
        <v>Suficit / deficit</v>
      </c>
      <c r="C53" s="542"/>
      <c r="D53" s="542"/>
      <c r="E53" s="542"/>
      <c r="F53" s="542"/>
      <c r="G53" s="151">
        <f>'2022'!S53</f>
        <v>-94403601.689999983</v>
      </c>
      <c r="H53" s="151">
        <f>SUM('2022'!G127:Q127)</f>
        <v>-337801885.97333324</v>
      </c>
      <c r="I53" s="320">
        <f>+G53-H53</f>
        <v>243398284.28333324</v>
      </c>
      <c r="J53" s="286">
        <f t="shared" si="1"/>
        <v>-0.72053559908942488</v>
      </c>
      <c r="K53" s="151">
        <f>SUM('2021'!G53:Q53)</f>
        <v>-73228149.309999973</v>
      </c>
      <c r="L53" s="288">
        <f t="shared" si="7"/>
        <v>-21175452.38000001</v>
      </c>
      <c r="M53" s="286">
        <f t="shared" si="2"/>
        <v>0.28917093466826582</v>
      </c>
      <c r="N53" s="151">
        <f>'2022'!Q53</f>
        <v>-38735247.020000011</v>
      </c>
      <c r="O53" s="151">
        <f>'2022'!Q127</f>
        <v>-152725507.16666663</v>
      </c>
      <c r="P53" s="320">
        <f>N53-O53</f>
        <v>113990260.14666662</v>
      </c>
      <c r="Q53" s="286">
        <f t="shared" si="3"/>
        <v>-0.74637342681907792</v>
      </c>
      <c r="R53" s="151">
        <f>'2021'!Q53</f>
        <v>-13365967.390000045</v>
      </c>
      <c r="S53" s="288">
        <f t="shared" si="4"/>
        <v>-25369279.629999965</v>
      </c>
      <c r="T53" s="508">
        <f t="shared" si="5"/>
        <v>1.8980503909489097</v>
      </c>
    </row>
    <row r="54" spans="1:23" ht="15.75" thickBot="1">
      <c r="A54" s="144">
        <v>1001</v>
      </c>
      <c r="B54" s="543" t="str">
        <f>+VLOOKUP($A54,Master!$D$29:$G$225,4,FALSE)</f>
        <v>Primarni suficit/deficit</v>
      </c>
      <c r="C54" s="544"/>
      <c r="D54" s="544"/>
      <c r="E54" s="544"/>
      <c r="F54" s="544"/>
      <c r="G54" s="151">
        <f>'2022'!S54</f>
        <v>-25553250.75999999</v>
      </c>
      <c r="H54" s="151">
        <f>SUM('2022'!G128:Q128)</f>
        <v>-271973688.89333332</v>
      </c>
      <c r="I54" s="206">
        <f t="shared" si="0"/>
        <v>246420438.13333333</v>
      </c>
      <c r="J54" s="208">
        <f t="shared" si="1"/>
        <v>-0.90604513670430142</v>
      </c>
      <c r="K54" s="151">
        <f>SUM('2021'!G54:Q54)</f>
        <v>14135156.450000025</v>
      </c>
      <c r="L54" s="206">
        <f t="shared" si="7"/>
        <v>-39688407.210000016</v>
      </c>
      <c r="M54" s="208">
        <f t="shared" si="2"/>
        <v>-2.8077798325323764</v>
      </c>
      <c r="N54" s="151">
        <f>'2022'!Q54</f>
        <v>-28486771.480000012</v>
      </c>
      <c r="O54" s="151">
        <f>'2022'!Q128</f>
        <v>-148689080.40666664</v>
      </c>
      <c r="P54" s="206">
        <f t="shared" si="6"/>
        <v>120202308.92666662</v>
      </c>
      <c r="Q54" s="208">
        <f t="shared" si="3"/>
        <v>-0.80841382970364528</v>
      </c>
      <c r="R54" s="151">
        <f>'2021'!Q54</f>
        <v>-6793394.8900000453</v>
      </c>
      <c r="S54" s="206">
        <f t="shared" si="4"/>
        <v>-21693376.589999966</v>
      </c>
      <c r="T54" s="210" t="str">
        <f t="shared" si="5"/>
        <v>...</v>
      </c>
    </row>
    <row r="55" spans="1:23">
      <c r="A55" s="144">
        <v>46</v>
      </c>
      <c r="B55" s="565" t="str">
        <f>+VLOOKUP($A55,Master!$D$29:$G$225,4,FALSE)</f>
        <v>Otplata dugova</v>
      </c>
      <c r="C55" s="566"/>
      <c r="D55" s="566"/>
      <c r="E55" s="566"/>
      <c r="F55" s="566"/>
      <c r="G55" s="489">
        <f>'2022'!S55</f>
        <v>280150967.29000002</v>
      </c>
      <c r="H55" s="489">
        <f>SUM('2022'!G129:Q129)</f>
        <v>255056273.94666669</v>
      </c>
      <c r="I55" s="490">
        <f t="shared" si="0"/>
        <v>25094693.343333334</v>
      </c>
      <c r="J55" s="491">
        <f t="shared" si="1"/>
        <v>9.8388849468493023E-2</v>
      </c>
      <c r="K55" s="489">
        <f>SUM('2021'!G55:Q55)</f>
        <v>425536320.31</v>
      </c>
      <c r="L55" s="490">
        <f t="shared" si="7"/>
        <v>-145385353.01999998</v>
      </c>
      <c r="M55" s="491">
        <f t="shared" si="2"/>
        <v>-0.34165204256616177</v>
      </c>
      <c r="N55" s="489">
        <f>'2022'!Q55</f>
        <v>57191963.920000002</v>
      </c>
      <c r="O55" s="489">
        <f>'2022'!Q129</f>
        <v>32377155.383333333</v>
      </c>
      <c r="P55" s="490">
        <f t="shared" si="6"/>
        <v>24814808.536666669</v>
      </c>
      <c r="Q55" s="491">
        <f t="shared" si="3"/>
        <v>0.76642954709481659</v>
      </c>
      <c r="R55" s="489">
        <f>'2021'!Q55</f>
        <v>17747948.740000002</v>
      </c>
      <c r="S55" s="490">
        <f t="shared" si="4"/>
        <v>39444015.18</v>
      </c>
      <c r="T55" s="509" t="str">
        <f t="shared" si="5"/>
        <v>...</v>
      </c>
    </row>
    <row r="56" spans="1:23">
      <c r="A56" s="144">
        <v>4611</v>
      </c>
      <c r="B56" s="537" t="str">
        <f>+VLOOKUP($A56,Master!$D$29:$G$225,4,FALSE)</f>
        <v>Otplata hartija od vrijednosti i kredita rezidentima</v>
      </c>
      <c r="C56" s="538"/>
      <c r="D56" s="538"/>
      <c r="E56" s="538"/>
      <c r="F56" s="538"/>
      <c r="G56" s="163">
        <f>'2022'!S56</f>
        <v>39186160.189999998</v>
      </c>
      <c r="H56" s="163">
        <f>SUM('2022'!G130:Q130)</f>
        <v>39208315.956666663</v>
      </c>
      <c r="I56" s="212">
        <f t="shared" si="0"/>
        <v>-22155.766666665673</v>
      </c>
      <c r="J56" s="214">
        <f t="shared" si="1"/>
        <v>-5.6507825256135735E-4</v>
      </c>
      <c r="K56" s="163">
        <f>SUM('2021'!G56:Q56)</f>
        <v>82772480.180000007</v>
      </c>
      <c r="L56" s="212">
        <f t="shared" si="7"/>
        <v>-43586319.99000001</v>
      </c>
      <c r="M56" s="214">
        <f t="shared" si="2"/>
        <v>-0.52657984749539499</v>
      </c>
      <c r="N56" s="163">
        <f>'2022'!Q56</f>
        <v>9226106.3599999994</v>
      </c>
      <c r="O56" s="163">
        <f>'2022'!Q130</f>
        <v>9233144.0033333339</v>
      </c>
      <c r="P56" s="212">
        <f t="shared" si="6"/>
        <v>-7037.6433333344758</v>
      </c>
      <c r="Q56" s="214">
        <f t="shared" si="3"/>
        <v>-7.6221526825459573E-4</v>
      </c>
      <c r="R56" s="163">
        <f>'2021'!Q56</f>
        <v>8560164.7799999993</v>
      </c>
      <c r="S56" s="212">
        <f t="shared" si="4"/>
        <v>665941.58000000007</v>
      </c>
      <c r="T56" s="216">
        <f t="shared" si="5"/>
        <v>7.7795415989644123E-2</v>
      </c>
    </row>
    <row r="57" spans="1:23">
      <c r="A57" s="144">
        <v>4612</v>
      </c>
      <c r="B57" s="537" t="str">
        <f>+VLOOKUP($A57,Master!$D$29:$G$225,4,FALSE)</f>
        <v>Otplata hartija od vrijednosti i kredita nerezidentima</v>
      </c>
      <c r="C57" s="538"/>
      <c r="D57" s="538"/>
      <c r="E57" s="538"/>
      <c r="F57" s="538"/>
      <c r="G57" s="163">
        <f>'2022'!S57</f>
        <v>240964807.09999999</v>
      </c>
      <c r="H57" s="163">
        <f>SUM('2022'!G131:Q131)</f>
        <v>215847957.98999998</v>
      </c>
      <c r="I57" s="212">
        <f t="shared" si="0"/>
        <v>25116849.110000014</v>
      </c>
      <c r="J57" s="214">
        <f t="shared" si="1"/>
        <v>0.11636361698248576</v>
      </c>
      <c r="K57" s="163">
        <f>SUM('2021'!G57:Q57)</f>
        <v>342763840.13</v>
      </c>
      <c r="L57" s="212">
        <f t="shared" si="7"/>
        <v>-101799033.03</v>
      </c>
      <c r="M57" s="214">
        <f t="shared" si="2"/>
        <v>-0.29699466837397637</v>
      </c>
      <c r="N57" s="163">
        <f>'2022'!Q57</f>
        <v>47965857.560000002</v>
      </c>
      <c r="O57" s="163">
        <f>'2022'!Q131</f>
        <v>23144011.379999999</v>
      </c>
      <c r="P57" s="212">
        <f t="shared" si="6"/>
        <v>24821846.180000003</v>
      </c>
      <c r="Q57" s="214">
        <f t="shared" si="3"/>
        <v>1.0724954188991589</v>
      </c>
      <c r="R57" s="163">
        <f>'2021'!Q57</f>
        <v>9187783.9600000009</v>
      </c>
      <c r="S57" s="212">
        <f t="shared" si="4"/>
        <v>38778073.600000001</v>
      </c>
      <c r="T57" s="216" t="str">
        <f t="shared" si="5"/>
        <v>...</v>
      </c>
    </row>
    <row r="58" spans="1:23" ht="15.75" thickBot="1">
      <c r="A58" s="144">
        <v>4418</v>
      </c>
      <c r="B58" s="535" t="str">
        <f>+VLOOKUP($A58,Master!$D$29:$G$225,4,FALSE)</f>
        <v>Izdaci za kupovinu hartija od vrijednosti</v>
      </c>
      <c r="C58" s="536"/>
      <c r="D58" s="536"/>
      <c r="E58" s="536"/>
      <c r="F58" s="536"/>
      <c r="G58" s="335">
        <f>'2022'!S58</f>
        <v>572321.46</v>
      </c>
      <c r="H58" s="335">
        <f>SUM('2022'!G132:Q132)</f>
        <v>7072673.333333334</v>
      </c>
      <c r="I58" s="336">
        <f t="shared" ref="I58:I64" si="9">+G58-H58</f>
        <v>-6500351.873333334</v>
      </c>
      <c r="J58" s="337">
        <f t="shared" si="1"/>
        <v>-0.9190798962391401</v>
      </c>
      <c r="K58" s="335">
        <f>SUM('2021'!G58:Q58)</f>
        <v>506343.98</v>
      </c>
      <c r="L58" s="336">
        <f t="shared" ref="L58:L64" si="10">+G58-K58</f>
        <v>65977.479999999981</v>
      </c>
      <c r="M58" s="337">
        <f t="shared" si="2"/>
        <v>0.13030169727701701</v>
      </c>
      <c r="N58" s="335">
        <f>'2022'!Q58</f>
        <v>572321.46</v>
      </c>
      <c r="O58" s="335">
        <f>'2022'!Q132</f>
        <v>3536336.666666667</v>
      </c>
      <c r="P58" s="336">
        <f t="shared" ref="P58:P64" si="11">+N58-O58</f>
        <v>-2964015.206666667</v>
      </c>
      <c r="Q58" s="337">
        <f t="shared" si="3"/>
        <v>-0.83815979247828032</v>
      </c>
      <c r="R58" s="335">
        <f>'2021'!Q58</f>
        <v>0</v>
      </c>
      <c r="S58" s="336">
        <f t="shared" ref="S58:S64" si="12">+N58-R58</f>
        <v>572321.46</v>
      </c>
      <c r="T58" s="510" t="str">
        <f t="shared" si="5"/>
        <v>...</v>
      </c>
    </row>
    <row r="59" spans="1:23" ht="15.75" thickBot="1">
      <c r="A59" s="144">
        <v>1002</v>
      </c>
      <c r="B59" s="563" t="str">
        <f>+VLOOKUP($A59,Master!$D$29:$G$225,4,FALSE)</f>
        <v>Nedostajuća sredstva</v>
      </c>
      <c r="C59" s="564"/>
      <c r="D59" s="564"/>
      <c r="E59" s="564"/>
      <c r="F59" s="564"/>
      <c r="G59" s="319">
        <f>'2022'!S59</f>
        <v>-375126890.44000006</v>
      </c>
      <c r="H59" s="319">
        <f>SUM('2022'!G133:Q133)</f>
        <v>-599930833.25333321</v>
      </c>
      <c r="I59" s="321">
        <f t="shared" si="9"/>
        <v>224803942.81333315</v>
      </c>
      <c r="J59" s="322">
        <f t="shared" si="1"/>
        <v>-0.37471643455005599</v>
      </c>
      <c r="K59" s="319">
        <f>SUM('2021'!G59:Q59)</f>
        <v>-499270813.5999999</v>
      </c>
      <c r="L59" s="321">
        <f t="shared" si="10"/>
        <v>124143923.15999985</v>
      </c>
      <c r="M59" s="322">
        <f t="shared" si="2"/>
        <v>-0.24865047140420282</v>
      </c>
      <c r="N59" s="319">
        <f>'2022'!Q59</f>
        <v>-96499532.400000006</v>
      </c>
      <c r="O59" s="319">
        <f>'2022'!Q133</f>
        <v>-188638999.21666661</v>
      </c>
      <c r="P59" s="321">
        <f t="shared" si="11"/>
        <v>92139466.816666603</v>
      </c>
      <c r="Q59" s="322">
        <f t="shared" si="3"/>
        <v>-0.48844336112511511</v>
      </c>
      <c r="R59" s="319">
        <f>'2021'!Q59</f>
        <v>-31113916.130000047</v>
      </c>
      <c r="S59" s="321">
        <f t="shared" si="12"/>
        <v>-65385616.269999959</v>
      </c>
      <c r="T59" s="511" t="str">
        <f t="shared" si="5"/>
        <v>...</v>
      </c>
    </row>
    <row r="60" spans="1:23" ht="15.7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'2022'!S60</f>
        <v>375126890.44000006</v>
      </c>
      <c r="H60" s="151">
        <f>SUM('2022'!G134:Q134)</f>
        <v>599930833.25333321</v>
      </c>
      <c r="I60" s="320">
        <f t="shared" si="9"/>
        <v>-224803942.81333315</v>
      </c>
      <c r="J60" s="323">
        <f t="shared" si="1"/>
        <v>-0.37471643455005599</v>
      </c>
      <c r="K60" s="151">
        <f>SUM('2021'!G60:Q60)</f>
        <v>499270813.5999999</v>
      </c>
      <c r="L60" s="320">
        <f t="shared" si="10"/>
        <v>-124143923.15999985</v>
      </c>
      <c r="M60" s="323">
        <f t="shared" si="2"/>
        <v>-0.24865047140420282</v>
      </c>
      <c r="N60" s="151">
        <f>'2022'!Q60</f>
        <v>96499532.400000006</v>
      </c>
      <c r="O60" s="151">
        <f>'2022'!Q134</f>
        <v>188638999.21666661</v>
      </c>
      <c r="P60" s="320">
        <f t="shared" si="11"/>
        <v>-92139466.816666603</v>
      </c>
      <c r="Q60" s="323">
        <f t="shared" si="3"/>
        <v>-0.48844336112511511</v>
      </c>
      <c r="R60" s="151">
        <f>'2021'!Q60</f>
        <v>31113916.130000047</v>
      </c>
      <c r="S60" s="320">
        <f t="shared" si="12"/>
        <v>65385616.269999959</v>
      </c>
      <c r="T60" s="512" t="str">
        <f t="shared" si="5"/>
        <v>...</v>
      </c>
    </row>
    <row r="61" spans="1:23">
      <c r="A61" s="144">
        <v>7511</v>
      </c>
      <c r="B61" s="561" t="str">
        <f>+VLOOKUP($A61,Master!$D$29:$G$225,4,FALSE)</f>
        <v>Pozajmice i krediti od domaćih izvora</v>
      </c>
      <c r="C61" s="562"/>
      <c r="D61" s="562"/>
      <c r="E61" s="562"/>
      <c r="F61" s="562"/>
      <c r="G61" s="163">
        <f>'2022'!S61</f>
        <v>52000000</v>
      </c>
      <c r="H61" s="163">
        <f>SUM('2022'!G135:Q135)</f>
        <v>233333333.33333334</v>
      </c>
      <c r="I61" s="212">
        <f t="shared" si="9"/>
        <v>-181333333.33333334</v>
      </c>
      <c r="J61" s="214">
        <f t="shared" si="1"/>
        <v>-0.77714285714285714</v>
      </c>
      <c r="K61" s="163">
        <f>SUM('2021'!G61:Q61)</f>
        <v>0</v>
      </c>
      <c r="L61" s="212">
        <f t="shared" si="10"/>
        <v>52000000</v>
      </c>
      <c r="M61" s="214" t="str">
        <f t="shared" si="2"/>
        <v>...</v>
      </c>
      <c r="N61" s="163">
        <f>'2022'!Q61</f>
        <v>52000000</v>
      </c>
      <c r="O61" s="163">
        <f>'2022'!Q135</f>
        <v>116666666.66666667</v>
      </c>
      <c r="P61" s="212">
        <f t="shared" si="11"/>
        <v>-64666666.666666672</v>
      </c>
      <c r="Q61" s="214">
        <f t="shared" si="3"/>
        <v>-0.55428571428571427</v>
      </c>
      <c r="R61" s="163">
        <f>'2021'!Q61</f>
        <v>0</v>
      </c>
      <c r="S61" s="212">
        <f t="shared" si="12"/>
        <v>52000000</v>
      </c>
      <c r="T61" s="216" t="str">
        <f t="shared" si="5"/>
        <v>...</v>
      </c>
    </row>
    <row r="62" spans="1:23">
      <c r="A62" s="144">
        <v>7512</v>
      </c>
      <c r="B62" s="537" t="str">
        <f>+VLOOKUP($A62,Master!$D$29:$G$225,4,FALSE)</f>
        <v>Pozajmice i krediti od inostranih izvora</v>
      </c>
      <c r="C62" s="538"/>
      <c r="D62" s="538"/>
      <c r="E62" s="538"/>
      <c r="F62" s="538"/>
      <c r="G62" s="163">
        <f>'2022'!S62</f>
        <v>72226434.669999987</v>
      </c>
      <c r="H62" s="163">
        <f>SUM('2022'!G136:Q136)</f>
        <v>89919755.269999996</v>
      </c>
      <c r="I62" s="212">
        <f t="shared" si="9"/>
        <v>-17693320.600000009</v>
      </c>
      <c r="J62" s="214">
        <f t="shared" si="1"/>
        <v>-0.19676789095869618</v>
      </c>
      <c r="K62" s="163">
        <f>SUM('2021'!G62:Q62)</f>
        <v>104050245.38</v>
      </c>
      <c r="L62" s="212">
        <f t="shared" si="10"/>
        <v>-31823810.710000008</v>
      </c>
      <c r="M62" s="214">
        <f t="shared" si="2"/>
        <v>-0.30585041480466335</v>
      </c>
      <c r="N62" s="163">
        <f>'2022'!Q62</f>
        <v>1563937.52</v>
      </c>
      <c r="O62" s="163">
        <f>'2022'!Q136</f>
        <v>10080244.730000004</v>
      </c>
      <c r="P62" s="212">
        <f t="shared" si="11"/>
        <v>-8516307.2100000046</v>
      </c>
      <c r="Q62" s="214">
        <f t="shared" si="3"/>
        <v>-0.84485123507512305</v>
      </c>
      <c r="R62" s="163">
        <f>'2021'!Q62</f>
        <v>11705434.800000001</v>
      </c>
      <c r="S62" s="212">
        <f t="shared" si="12"/>
        <v>-10141497.280000001</v>
      </c>
      <c r="T62" s="216">
        <f t="shared" si="5"/>
        <v>-0.86639218903683957</v>
      </c>
    </row>
    <row r="63" spans="1:23">
      <c r="A63" s="144">
        <v>72</v>
      </c>
      <c r="B63" s="537" t="str">
        <f>+VLOOKUP($A63,Master!$D$29:$G$225,4,FALSE)</f>
        <v>Primici od prodaje imovine</v>
      </c>
      <c r="C63" s="538"/>
      <c r="D63" s="538"/>
      <c r="E63" s="538"/>
      <c r="F63" s="538"/>
      <c r="G63" s="163">
        <f>'2022'!S63</f>
        <v>4366747.16</v>
      </c>
      <c r="H63" s="163">
        <f>SUM('2022'!G137:Q137)</f>
        <v>5142834.7333333334</v>
      </c>
      <c r="I63" s="212">
        <f t="shared" si="9"/>
        <v>-776087.57333333325</v>
      </c>
      <c r="J63" s="214">
        <f t="shared" si="1"/>
        <v>-0.15090657459846302</v>
      </c>
      <c r="K63" s="163">
        <f>SUM('2021'!G63:Q63)</f>
        <v>1647352.5000000002</v>
      </c>
      <c r="L63" s="212">
        <f t="shared" si="10"/>
        <v>2719394.66</v>
      </c>
      <c r="M63" s="214">
        <f t="shared" si="2"/>
        <v>1.650766705972158</v>
      </c>
      <c r="N63" s="163">
        <f>'2022'!Q63</f>
        <v>363375.9</v>
      </c>
      <c r="O63" s="163">
        <f>'2022'!Q137</f>
        <v>857165.2666666666</v>
      </c>
      <c r="P63" s="212">
        <f t="shared" si="11"/>
        <v>-493789.36666666658</v>
      </c>
      <c r="Q63" s="214">
        <f t="shared" si="3"/>
        <v>-0.57607253334810027</v>
      </c>
      <c r="R63" s="163">
        <f>'2021'!Q63</f>
        <v>104172.28</v>
      </c>
      <c r="S63" s="212">
        <f t="shared" si="12"/>
        <v>259203.62000000002</v>
      </c>
      <c r="T63" s="216" t="str">
        <f t="shared" si="5"/>
        <v>...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246533708.60999995</v>
      </c>
      <c r="H64" s="317">
        <f>SUM('2022'!G138:Q138)</f>
        <v>271534909.91666657</v>
      </c>
      <c r="I64" s="226">
        <f t="shared" si="9"/>
        <v>-25001201.306666613</v>
      </c>
      <c r="J64" s="228">
        <f t="shared" si="1"/>
        <v>-9.2073617032665922E-2</v>
      </c>
      <c r="K64" s="317">
        <f>SUM('2021'!G64:Q64)</f>
        <v>393573215.72000003</v>
      </c>
      <c r="L64" s="226">
        <f t="shared" si="10"/>
        <v>-147039507.11000007</v>
      </c>
      <c r="M64" s="228">
        <f t="shared" si="2"/>
        <v>-0.37360140689708021</v>
      </c>
      <c r="N64" s="317">
        <f>'2022'!Q64</f>
        <v>42572218.980000004</v>
      </c>
      <c r="O64" s="317">
        <f>'2022'!Q138</f>
        <v>61034922.553333268</v>
      </c>
      <c r="P64" s="226">
        <f t="shared" si="11"/>
        <v>-18462703.573333263</v>
      </c>
      <c r="Q64" s="228">
        <f t="shared" si="3"/>
        <v>-0.30249409356094892</v>
      </c>
      <c r="R64" s="317">
        <f>'2021'!Q64</f>
        <v>19304309.050000049</v>
      </c>
      <c r="S64" s="226">
        <f t="shared" si="12"/>
        <v>23267909.929999955</v>
      </c>
      <c r="T64" s="230">
        <f t="shared" si="5"/>
        <v>1.2053220796317441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499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qmM9JYIWLAIo2t8LOccBsgMzh1I0aISfbrXKnnbW1D+ng6dC1DOFQOdtn615gNF/HZwI3geRUr6F8M6DV4lLaw==" saltValue="LRU6Ji5GB/XoSjHk6tTAYA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zoomScaleNormal="100" workbookViewId="0">
      <pane ySplit="1" topLeftCell="A2" activePane="bottomLeft" state="frozen"/>
      <selection pane="bottomLeft" activeCell="U53" sqref="U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3.42578125" style="258" customWidth="1"/>
    <col min="7" max="7" width="12" style="258" customWidth="1"/>
    <col min="8" max="8" width="12.28515625" style="258" customWidth="1"/>
    <col min="9" max="9" width="10.7109375" style="258" customWidth="1"/>
    <col min="10" max="10" width="14.42578125" style="258" customWidth="1"/>
    <col min="11" max="11" width="10.7109375" style="258" customWidth="1"/>
    <col min="12" max="12" width="12.28515625" style="258" customWidth="1"/>
    <col min="13" max="14" width="10.7109375" style="258" customWidth="1"/>
    <col min="15" max="16" width="12.28515625" style="258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16.85546875" style="291" bestFit="1" customWidth="1"/>
    <col min="22" max="22" width="15.85546875" style="258" bestFit="1" customWidth="1"/>
    <col min="23" max="23" width="12" style="258" bestFit="1" customWidth="1"/>
    <col min="24" max="16384" width="9.140625" style="258"/>
  </cols>
  <sheetData>
    <row r="1" spans="1:23" s="1" customFormat="1" ht="3" customHeight="1">
      <c r="A1" s="69"/>
      <c r="O1" s="1" t="s">
        <v>839</v>
      </c>
      <c r="U1" s="500"/>
    </row>
    <row r="2" spans="1:23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8"/>
      <c r="M2" s="126"/>
      <c r="N2" s="126"/>
      <c r="O2" s="126"/>
      <c r="P2" s="126"/>
      <c r="Q2" s="126"/>
      <c r="R2" s="126"/>
      <c r="S2" s="126"/>
      <c r="T2" s="126"/>
      <c r="U2" s="500"/>
    </row>
    <row r="3" spans="1:23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500"/>
    </row>
    <row r="4" spans="1:23" s="1" customFormat="1" ht="15">
      <c r="A4" s="231"/>
      <c r="B4" s="498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8"/>
      <c r="T4" s="362"/>
      <c r="U4" s="500"/>
    </row>
    <row r="5" spans="1:23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  <c r="U5" s="500"/>
    </row>
    <row r="6" spans="1:23" ht="13.5" thickBot="1">
      <c r="A6" s="144"/>
      <c r="B6" s="233"/>
      <c r="C6" s="233"/>
      <c r="D6" s="233"/>
      <c r="E6" s="233"/>
      <c r="F6" s="233"/>
      <c r="G6" s="234" t="s">
        <v>826</v>
      </c>
      <c r="H6" s="234" t="s">
        <v>827</v>
      </c>
      <c r="I6" s="234" t="s">
        <v>828</v>
      </c>
      <c r="J6" s="234" t="s">
        <v>829</v>
      </c>
      <c r="K6" s="234" t="s">
        <v>830</v>
      </c>
      <c r="L6" s="234" t="s">
        <v>831</v>
      </c>
      <c r="M6" s="234" t="s">
        <v>832</v>
      </c>
      <c r="N6" s="234" t="s">
        <v>833</v>
      </c>
      <c r="O6" s="234" t="s">
        <v>834</v>
      </c>
      <c r="P6" s="234" t="s">
        <v>835</v>
      </c>
      <c r="Q6" s="234" t="s">
        <v>836</v>
      </c>
      <c r="R6" s="234" t="s">
        <v>837</v>
      </c>
      <c r="S6" s="233"/>
      <c r="T6" s="233"/>
    </row>
    <row r="7" spans="1:23" ht="15" customHeight="1" thickBot="1">
      <c r="A7" s="144"/>
      <c r="B7" s="567" t="str">
        <f>+Master!G251</f>
        <v>Ostvarenje budžeta</v>
      </c>
      <c r="C7" s="548"/>
      <c r="D7" s="548"/>
      <c r="E7" s="548"/>
      <c r="F7" s="548"/>
      <c r="G7" s="556">
        <v>2022</v>
      </c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60"/>
      <c r="S7" s="235" t="str">
        <f>+Master!G248</f>
        <v>BDP</v>
      </c>
      <c r="T7" s="236">
        <v>5700400000</v>
      </c>
    </row>
    <row r="8" spans="1:23" ht="16.5" customHeight="1">
      <c r="A8" s="144"/>
      <c r="B8" s="549"/>
      <c r="C8" s="550"/>
      <c r="D8" s="550"/>
      <c r="E8" s="550"/>
      <c r="F8" s="55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56" t="str">
        <f>+Master!G246</f>
        <v>Jan - Dec</v>
      </c>
      <c r="T8" s="560"/>
    </row>
    <row r="9" spans="1:23" ht="13.5" thickBot="1">
      <c r="A9" s="144"/>
      <c r="B9" s="552"/>
      <c r="C9" s="553"/>
      <c r="D9" s="553"/>
      <c r="E9" s="553"/>
      <c r="F9" s="55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3" ht="13.5" thickBot="1">
      <c r="A10" s="150">
        <v>7</v>
      </c>
      <c r="B10" s="527" t="str">
        <f>+VLOOKUP($A10,Master!$D$29:$G$225,4,FALSE)</f>
        <v>Prihodi budžeta</v>
      </c>
      <c r="C10" s="528"/>
      <c r="D10" s="528"/>
      <c r="E10" s="528"/>
      <c r="F10" s="528"/>
      <c r="G10" s="151">
        <f>+G11+G19+SUM(G24:G28)</f>
        <v>107815206.7</v>
      </c>
      <c r="H10" s="151">
        <f t="shared" ref="H10:R10" si="1">+H11+H19+SUM(H24:H28)</f>
        <v>124649774.65000001</v>
      </c>
      <c r="I10" s="151">
        <f t="shared" si="1"/>
        <v>184181987.21000001</v>
      </c>
      <c r="J10" s="151">
        <f t="shared" si="1"/>
        <v>181957324.32000002</v>
      </c>
      <c r="K10" s="151">
        <f t="shared" si="1"/>
        <v>154730235.27000001</v>
      </c>
      <c r="L10" s="151">
        <f t="shared" si="1"/>
        <v>169061326.07000002</v>
      </c>
      <c r="M10" s="151">
        <f t="shared" si="1"/>
        <v>165802775.70999998</v>
      </c>
      <c r="N10" s="151">
        <f t="shared" si="1"/>
        <v>195454162.71999997</v>
      </c>
      <c r="O10" s="151">
        <f t="shared" si="1"/>
        <v>175603806.03</v>
      </c>
      <c r="P10" s="151">
        <f t="shared" si="1"/>
        <v>168309058.88999999</v>
      </c>
      <c r="Q10" s="151">
        <f t="shared" si="1"/>
        <v>162390085.88</v>
      </c>
      <c r="R10" s="151">
        <f t="shared" si="1"/>
        <v>0</v>
      </c>
      <c r="S10" s="239">
        <f>+SUM(G10:R10)</f>
        <v>1789955743.4500003</v>
      </c>
      <c r="T10" s="462">
        <f>+S10/$T$7*100</f>
        <v>31.4005287953477</v>
      </c>
    </row>
    <row r="11" spans="1:23">
      <c r="A11" s="150">
        <v>711</v>
      </c>
      <c r="B11" s="517" t="str">
        <f>+VLOOKUP($A11,Master!$D$29:$G$225,4,FALSE)</f>
        <v>Porezi</v>
      </c>
      <c r="C11" s="518"/>
      <c r="D11" s="518"/>
      <c r="E11" s="518"/>
      <c r="F11" s="518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118807466.67</v>
      </c>
      <c r="Q11" s="157">
        <f t="shared" si="2"/>
        <v>102838730.77</v>
      </c>
      <c r="R11" s="240">
        <f t="shared" si="2"/>
        <v>0</v>
      </c>
      <c r="S11" s="241">
        <f>+SUM(G11:R11)</f>
        <v>1262036791.3900001</v>
      </c>
      <c r="T11" s="463">
        <f t="shared" ref="T11:T64" si="3">+S11/$T$7*100</f>
        <v>22.139442695074031</v>
      </c>
    </row>
    <row r="12" spans="1:23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5264087.58</v>
      </c>
      <c r="Q12" s="163">
        <v>4566627.0199999996</v>
      </c>
      <c r="R12" s="163">
        <v>0</v>
      </c>
      <c r="S12" s="242">
        <f t="shared" ref="S12:S63" si="4">+SUM(G12:R12)</f>
        <v>74989910.840000004</v>
      </c>
      <c r="T12" s="464">
        <f t="shared" si="3"/>
        <v>1.3155201536734265</v>
      </c>
    </row>
    <row r="13" spans="1:23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1233620.1499999999</v>
      </c>
      <c r="Q13" s="163">
        <v>2140171.25</v>
      </c>
      <c r="R13" s="163">
        <v>0</v>
      </c>
      <c r="S13" s="242">
        <f t="shared" si="4"/>
        <v>85412995.549999997</v>
      </c>
      <c r="T13" s="464">
        <f t="shared" si="3"/>
        <v>1.4983684574766682</v>
      </c>
    </row>
    <row r="14" spans="1:23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4">
        <f t="shared" si="3"/>
        <v>2.5990137007929268E-2</v>
      </c>
    </row>
    <row r="15" spans="1:23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50270008.859999999</v>
      </c>
      <c r="H15" s="163">
        <v>54121445.460000001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83883709.769999996</v>
      </c>
      <c r="N15" s="163">
        <v>95638013.599999994</v>
      </c>
      <c r="O15" s="163">
        <v>84609670.859999999</v>
      </c>
      <c r="P15" s="163">
        <v>87831568.400000006</v>
      </c>
      <c r="Q15" s="163">
        <v>75753324.030000001</v>
      </c>
      <c r="R15" s="163">
        <v>0</v>
      </c>
      <c r="S15" s="242">
        <f t="shared" si="4"/>
        <v>828768001.21000004</v>
      </c>
      <c r="T15" s="464">
        <f t="shared" si="3"/>
        <v>14.538769230404885</v>
      </c>
    </row>
    <row r="16" spans="1:23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21096875.199999999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20069000.579999998</v>
      </c>
      <c r="Q16" s="163">
        <v>15318077.359999999</v>
      </c>
      <c r="R16" s="163">
        <v>0</v>
      </c>
      <c r="S16" s="242">
        <f t="shared" si="4"/>
        <v>223784251.21000004</v>
      </c>
      <c r="T16" s="464">
        <f t="shared" si="3"/>
        <v>3.9257640027015657</v>
      </c>
      <c r="W16" s="311"/>
    </row>
    <row r="17" spans="1:23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3430898.88</v>
      </c>
      <c r="Q17" s="163">
        <v>3901120.48</v>
      </c>
      <c r="R17" s="163">
        <v>0</v>
      </c>
      <c r="S17" s="242">
        <f t="shared" si="4"/>
        <v>36353403.060000002</v>
      </c>
      <c r="T17" s="464">
        <f t="shared" si="3"/>
        <v>0.6377342477720862</v>
      </c>
    </row>
    <row r="18" spans="1:23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v>821034.23</v>
      </c>
      <c r="H18" s="163">
        <v>868952.95</v>
      </c>
      <c r="I18" s="163">
        <v>953225.4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1147207.1299999999</v>
      </c>
      <c r="O18" s="163">
        <v>1053536.77</v>
      </c>
      <c r="P18" s="163">
        <v>978291.08</v>
      </c>
      <c r="Q18" s="163">
        <v>1159410.6299999999</v>
      </c>
      <c r="R18" s="163">
        <v>0</v>
      </c>
      <c r="S18" s="242">
        <f t="shared" si="4"/>
        <v>11246687.75</v>
      </c>
      <c r="T18" s="464">
        <f t="shared" si="3"/>
        <v>0.19729646603747103</v>
      </c>
    </row>
    <row r="19" spans="1:23">
      <c r="A19" s="150">
        <v>712</v>
      </c>
      <c r="B19" s="521" t="str">
        <f>+VLOOKUP($A19,Master!$D$29:$G$225,4,FALSE)</f>
        <v>Doprinosi</v>
      </c>
      <c r="C19" s="522"/>
      <c r="D19" s="522"/>
      <c r="E19" s="522"/>
      <c r="F19" s="522"/>
      <c r="G19" s="169">
        <f>SUM(G20:G23)</f>
        <v>11731802.159999998</v>
      </c>
      <c r="H19" s="169">
        <f t="shared" ref="H19:R19" si="5">SUM(H20:H23)</f>
        <v>34984293.990000002</v>
      </c>
      <c r="I19" s="169">
        <f t="shared" si="5"/>
        <v>37056759.600000001</v>
      </c>
      <c r="J19" s="169">
        <f t="shared" si="5"/>
        <v>37592490.479999997</v>
      </c>
      <c r="K19" s="169">
        <f t="shared" si="5"/>
        <v>33463530.389999997</v>
      </c>
      <c r="L19" s="169">
        <f t="shared" si="5"/>
        <v>37796292.359999999</v>
      </c>
      <c r="M19" s="169">
        <f t="shared" si="5"/>
        <v>36710432.280000001</v>
      </c>
      <c r="N19" s="169">
        <f t="shared" si="5"/>
        <v>39015024.850000001</v>
      </c>
      <c r="O19" s="169">
        <f t="shared" si="5"/>
        <v>38998261.349999994</v>
      </c>
      <c r="P19" s="169">
        <f t="shared" si="5"/>
        <v>39011988.589999996</v>
      </c>
      <c r="Q19" s="169">
        <f t="shared" si="5"/>
        <v>40329720.409999996</v>
      </c>
      <c r="R19" s="169">
        <f t="shared" si="5"/>
        <v>0</v>
      </c>
      <c r="S19" s="243">
        <f t="shared" si="4"/>
        <v>386690596.45999992</v>
      </c>
      <c r="T19" s="465">
        <f t="shared" si="3"/>
        <v>6.7835695119640711</v>
      </c>
    </row>
    <row r="20" spans="1:23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35325375.350000001</v>
      </c>
      <c r="Q20" s="163">
        <v>36524279.100000001</v>
      </c>
      <c r="R20" s="163">
        <v>0</v>
      </c>
      <c r="S20" s="242">
        <f>+SUM(G20:R20)</f>
        <v>336250237.17000002</v>
      </c>
      <c r="T20" s="464">
        <f t="shared" si="3"/>
        <v>5.8987130231211848</v>
      </c>
    </row>
    <row r="21" spans="1:23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1084172.32</v>
      </c>
      <c r="Q21" s="163">
        <v>970112.44</v>
      </c>
      <c r="R21" s="163">
        <v>0</v>
      </c>
      <c r="S21" s="242">
        <f t="shared" si="4"/>
        <v>24043637.059999999</v>
      </c>
      <c r="T21" s="464">
        <f t="shared" si="3"/>
        <v>0.42178859483545011</v>
      </c>
    </row>
    <row r="22" spans="1:23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1538447.23</v>
      </c>
      <c r="Q22" s="163">
        <v>1651967.4</v>
      </c>
      <c r="R22" s="163">
        <v>0</v>
      </c>
      <c r="S22" s="242">
        <f t="shared" si="4"/>
        <v>15210701.790000001</v>
      </c>
      <c r="T22" s="464">
        <f t="shared" si="3"/>
        <v>0.26683569205669777</v>
      </c>
    </row>
    <row r="23" spans="1:23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1063993.69</v>
      </c>
      <c r="Q23" s="163">
        <v>1183361.47</v>
      </c>
      <c r="R23" s="163">
        <v>0</v>
      </c>
      <c r="S23" s="242">
        <f t="shared" si="4"/>
        <v>11186020.440000001</v>
      </c>
      <c r="T23" s="464">
        <f t="shared" si="3"/>
        <v>0.19623220195074034</v>
      </c>
      <c r="W23" s="305"/>
    </row>
    <row r="24" spans="1:23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v>635258.53</v>
      </c>
      <c r="H24" s="175">
        <v>808672.01</v>
      </c>
      <c r="I24" s="175">
        <v>976895.25</v>
      </c>
      <c r="J24" s="175">
        <v>1014885.9700000001</v>
      </c>
      <c r="K24" s="175">
        <v>989967.5199999999</v>
      </c>
      <c r="L24" s="175">
        <v>1292686.0099999998</v>
      </c>
      <c r="M24" s="175">
        <v>1450241.7799999998</v>
      </c>
      <c r="N24" s="175">
        <v>1794328.3</v>
      </c>
      <c r="O24" s="175">
        <v>1183872.1599999999</v>
      </c>
      <c r="P24" s="175">
        <v>1404191.05</v>
      </c>
      <c r="Q24" s="175">
        <v>1259118.31</v>
      </c>
      <c r="R24" s="175">
        <v>0</v>
      </c>
      <c r="S24" s="243">
        <f t="shared" si="4"/>
        <v>12810116.890000002</v>
      </c>
      <c r="T24" s="465">
        <f t="shared" si="3"/>
        <v>0.22472312276331491</v>
      </c>
      <c r="W24" s="305"/>
    </row>
    <row r="25" spans="1:23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3318573.4699999997</v>
      </c>
      <c r="O25" s="175">
        <v>9160845.5500000007</v>
      </c>
      <c r="P25" s="175">
        <v>5019331.6900000004</v>
      </c>
      <c r="Q25" s="175">
        <v>11097392.669999998</v>
      </c>
      <c r="R25" s="175">
        <v>0</v>
      </c>
      <c r="S25" s="243">
        <f t="shared" si="4"/>
        <v>59995491.159999996</v>
      </c>
      <c r="T25" s="465">
        <f t="shared" si="3"/>
        <v>1.0524786183425723</v>
      </c>
    </row>
    <row r="26" spans="1:23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v>1327068.83</v>
      </c>
      <c r="H26" s="175">
        <v>1641264.93</v>
      </c>
      <c r="I26" s="175">
        <v>1734944.59</v>
      </c>
      <c r="J26" s="175">
        <v>1799637.23</v>
      </c>
      <c r="K26" s="175">
        <v>3468030.97</v>
      </c>
      <c r="L26" s="175">
        <v>2782233.94</v>
      </c>
      <c r="M26" s="175">
        <v>3218905.03</v>
      </c>
      <c r="N26" s="175">
        <v>3788618.39</v>
      </c>
      <c r="O26" s="175">
        <v>2167491</v>
      </c>
      <c r="P26" s="175">
        <v>1870982.8</v>
      </c>
      <c r="Q26" s="175">
        <v>2978446.19</v>
      </c>
      <c r="R26" s="175">
        <v>0</v>
      </c>
      <c r="S26" s="243">
        <f t="shared" si="4"/>
        <v>26777623.900000002</v>
      </c>
      <c r="T26" s="465">
        <f t="shared" si="3"/>
        <v>0.46974991053259424</v>
      </c>
    </row>
    <row r="27" spans="1:23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v>78071.73</v>
      </c>
      <c r="H27" s="175">
        <v>522875.5</v>
      </c>
      <c r="I27" s="175">
        <v>672874.07</v>
      </c>
      <c r="J27" s="175">
        <v>2383498.4</v>
      </c>
      <c r="K27" s="175">
        <v>848688.86</v>
      </c>
      <c r="L27" s="175">
        <v>3720729.37</v>
      </c>
      <c r="M27" s="175">
        <v>241627.94</v>
      </c>
      <c r="N27" s="175">
        <v>2401947.19</v>
      </c>
      <c r="O27" s="175">
        <v>1142900.81</v>
      </c>
      <c r="P27" s="175">
        <v>327625.15999999997</v>
      </c>
      <c r="Q27" s="175">
        <v>1141821.81</v>
      </c>
      <c r="R27" s="175">
        <v>0</v>
      </c>
      <c r="S27" s="243">
        <f t="shared" si="4"/>
        <v>13482660.84</v>
      </c>
      <c r="T27" s="465">
        <f t="shared" si="3"/>
        <v>0.23652131148691322</v>
      </c>
    </row>
    <row r="28" spans="1:23" ht="13.5" thickBot="1">
      <c r="A28" s="150">
        <v>74</v>
      </c>
      <c r="B28" s="525" t="str">
        <f>+VLOOKUP($A28,Master!$D$29:$G$225,4,FALSE)</f>
        <v>Donacije i transferi</v>
      </c>
      <c r="C28" s="526"/>
      <c r="D28" s="526"/>
      <c r="E28" s="526"/>
      <c r="F28" s="526"/>
      <c r="G28" s="175">
        <v>944706.6</v>
      </c>
      <c r="H28" s="175">
        <v>1117937.32</v>
      </c>
      <c r="I28" s="175">
        <v>4945090.66</v>
      </c>
      <c r="J28" s="175">
        <v>2104525.41</v>
      </c>
      <c r="K28" s="175">
        <v>651019.71</v>
      </c>
      <c r="L28" s="175">
        <v>3347743.2</v>
      </c>
      <c r="M28" s="175">
        <v>1853223.08</v>
      </c>
      <c r="N28" s="175">
        <v>6896634.3600000003</v>
      </c>
      <c r="O28" s="175">
        <v>1689253.82</v>
      </c>
      <c r="P28" s="175">
        <v>1867472.93</v>
      </c>
      <c r="Q28" s="175">
        <v>2744855.72</v>
      </c>
      <c r="R28" s="175">
        <v>0</v>
      </c>
      <c r="S28" s="243">
        <f t="shared" si="4"/>
        <v>28162462.809999999</v>
      </c>
      <c r="T28" s="466">
        <f t="shared" si="3"/>
        <v>0.49404362518419753</v>
      </c>
    </row>
    <row r="29" spans="1:23" ht="13.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>+G30+G40+G46+SUM(G47:G51)</f>
        <v>135516807.07999998</v>
      </c>
      <c r="H29" s="151">
        <f t="shared" ref="H29:R29" si="6">+H30+H40+H46+SUM(H47:H51)</f>
        <v>150834089.17000002</v>
      </c>
      <c r="I29" s="151">
        <f t="shared" si="6"/>
        <v>152223829.23999998</v>
      </c>
      <c r="J29" s="151">
        <f t="shared" si="6"/>
        <v>202735908.68999994</v>
      </c>
      <c r="K29" s="151">
        <f t="shared" si="6"/>
        <v>146275241.75</v>
      </c>
      <c r="L29" s="151">
        <f t="shared" si="6"/>
        <v>179868475.11000001</v>
      </c>
      <c r="M29" s="151">
        <f t="shared" si="6"/>
        <v>178212388.86000001</v>
      </c>
      <c r="N29" s="151">
        <f t="shared" si="6"/>
        <v>147039374.61000001</v>
      </c>
      <c r="O29" s="151">
        <f t="shared" si="6"/>
        <v>202134465.49000001</v>
      </c>
      <c r="P29" s="151">
        <f t="shared" si="6"/>
        <v>188393432.24000001</v>
      </c>
      <c r="Q29" s="151">
        <f t="shared" si="6"/>
        <v>201125332.90000001</v>
      </c>
      <c r="R29" s="151">
        <f t="shared" si="6"/>
        <v>0</v>
      </c>
      <c r="S29" s="245">
        <f t="shared" si="4"/>
        <v>1884359345.1400003</v>
      </c>
      <c r="T29" s="467">
        <f t="shared" si="3"/>
        <v>33.056616117114594</v>
      </c>
    </row>
    <row r="30" spans="1:23">
      <c r="A30" s="150">
        <v>41</v>
      </c>
      <c r="B30" s="531" t="str">
        <f>+VLOOKUP($A30,Master!$D$29:$G$225,4,FALSE)</f>
        <v>Tekući izdaci</v>
      </c>
      <c r="C30" s="532"/>
      <c r="D30" s="532"/>
      <c r="E30" s="532"/>
      <c r="F30" s="532"/>
      <c r="G30" s="187">
        <f t="shared" ref="G30:R30" si="7">+SUM(G31:G39)</f>
        <v>50892178.920000002</v>
      </c>
      <c r="H30" s="187">
        <f t="shared" si="7"/>
        <v>61674016.410000004</v>
      </c>
      <c r="I30" s="187">
        <f t="shared" si="7"/>
        <v>59813635.179999992</v>
      </c>
      <c r="J30" s="187">
        <f t="shared" si="7"/>
        <v>96811184.329999983</v>
      </c>
      <c r="K30" s="187">
        <f t="shared" si="7"/>
        <v>58712954.390000008</v>
      </c>
      <c r="L30" s="187">
        <f t="shared" si="7"/>
        <v>71887625.940000013</v>
      </c>
      <c r="M30" s="187">
        <f t="shared" si="7"/>
        <v>67838959.200000003</v>
      </c>
      <c r="N30" s="187">
        <f t="shared" si="7"/>
        <v>64015475.260000005</v>
      </c>
      <c r="O30" s="187">
        <f t="shared" si="7"/>
        <v>80374470.550000012</v>
      </c>
      <c r="P30" s="187">
        <f t="shared" si="7"/>
        <v>70516426.030000001</v>
      </c>
      <c r="Q30" s="187">
        <f t="shared" si="7"/>
        <v>81391880.659999982</v>
      </c>
      <c r="R30" s="246">
        <f t="shared" si="7"/>
        <v>0</v>
      </c>
      <c r="S30" s="424">
        <f t="shared" si="4"/>
        <v>763928806.86999989</v>
      </c>
      <c r="T30" s="463">
        <f t="shared" si="3"/>
        <v>13.401319326187632</v>
      </c>
      <c r="U30" s="501"/>
    </row>
    <row r="31" spans="1:23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v>44240125.009999998</v>
      </c>
      <c r="H31" s="163">
        <v>44550830.43</v>
      </c>
      <c r="I31" s="163">
        <v>40375934.009999998</v>
      </c>
      <c r="J31" s="163">
        <v>46977114.019999973</v>
      </c>
      <c r="K31" s="163">
        <v>41754372.079999998</v>
      </c>
      <c r="L31" s="163">
        <v>47101871.300000019</v>
      </c>
      <c r="M31" s="163">
        <v>44920963.490000002</v>
      </c>
      <c r="N31" s="163">
        <v>43889720.32</v>
      </c>
      <c r="O31" s="163">
        <v>44535467.409999996</v>
      </c>
      <c r="P31" s="163">
        <v>46473995.969999999</v>
      </c>
      <c r="Q31" s="163">
        <v>43561451.509999998</v>
      </c>
      <c r="R31" s="163">
        <v>0</v>
      </c>
      <c r="S31" s="242">
        <f t="shared" si="4"/>
        <v>488381845.54999995</v>
      </c>
      <c r="T31" s="464">
        <f t="shared" si="3"/>
        <v>8.5675013253455887</v>
      </c>
      <c r="U31" s="501"/>
    </row>
    <row r="32" spans="1:23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v>137001.32999999999</v>
      </c>
      <c r="H32" s="163">
        <v>1212395.8600000001</v>
      </c>
      <c r="I32" s="163">
        <v>946225.55</v>
      </c>
      <c r="J32" s="163">
        <v>1448549.91</v>
      </c>
      <c r="K32" s="163">
        <v>1078145.3399999999</v>
      </c>
      <c r="L32" s="163">
        <v>2203226.2300000004</v>
      </c>
      <c r="M32" s="163">
        <v>1651284.02</v>
      </c>
      <c r="N32" s="163">
        <v>1322412.92</v>
      </c>
      <c r="O32" s="163">
        <v>1530315.4199999992</v>
      </c>
      <c r="P32" s="163">
        <v>1459845.08</v>
      </c>
      <c r="Q32" s="163">
        <v>1581314.76</v>
      </c>
      <c r="R32" s="163">
        <v>0</v>
      </c>
      <c r="S32" s="242">
        <f t="shared" si="4"/>
        <v>14570716.42</v>
      </c>
      <c r="T32" s="464">
        <f t="shared" si="3"/>
        <v>0.2556086664093748</v>
      </c>
      <c r="U32" s="501"/>
    </row>
    <row r="33" spans="1:21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v>140825.03</v>
      </c>
      <c r="H33" s="163">
        <v>3489117.82</v>
      </c>
      <c r="I33" s="163">
        <v>2628375.67</v>
      </c>
      <c r="J33" s="163">
        <v>2038640.9</v>
      </c>
      <c r="K33" s="163">
        <v>1012773.5900000001</v>
      </c>
      <c r="L33" s="163">
        <v>4898255.55</v>
      </c>
      <c r="M33" s="163">
        <v>2338020.8000000012</v>
      </c>
      <c r="N33" s="163">
        <v>4632464.3099999996</v>
      </c>
      <c r="O33" s="163">
        <v>2320647.6999999997</v>
      </c>
      <c r="P33" s="163">
        <v>2200142.2000000002</v>
      </c>
      <c r="Q33" s="163">
        <v>3647692.56</v>
      </c>
      <c r="R33" s="163">
        <v>0</v>
      </c>
      <c r="S33" s="242">
        <f t="shared" si="4"/>
        <v>29346956.129999995</v>
      </c>
      <c r="T33" s="464">
        <f t="shared" si="3"/>
        <v>0.51482275156129387</v>
      </c>
      <c r="U33" s="501"/>
    </row>
    <row r="34" spans="1:21" s="361" customFormat="1">
      <c r="A34" s="360">
        <v>414</v>
      </c>
      <c r="B34" s="568" t="str">
        <f>+VLOOKUP($A34,Master!$D$29:$G$225,4,FALSE)</f>
        <v>Rashodi za usluge</v>
      </c>
      <c r="C34" s="569"/>
      <c r="D34" s="569"/>
      <c r="E34" s="569"/>
      <c r="F34" s="569"/>
      <c r="G34" s="163">
        <v>1081737.8500000001</v>
      </c>
      <c r="H34" s="163">
        <v>2912682.95</v>
      </c>
      <c r="I34" s="163">
        <v>4470850.08</v>
      </c>
      <c r="J34" s="163">
        <v>6147655.29</v>
      </c>
      <c r="K34" s="163">
        <v>2627348.3200000003</v>
      </c>
      <c r="L34" s="163">
        <v>5667722.6900000004</v>
      </c>
      <c r="M34" s="163">
        <v>3971020.45</v>
      </c>
      <c r="N34" s="163">
        <v>4243743.3099999996</v>
      </c>
      <c r="O34" s="163">
        <v>4864024.1500000004</v>
      </c>
      <c r="P34" s="163">
        <v>4658635.42</v>
      </c>
      <c r="Q34" s="163">
        <v>8322300.1900000004</v>
      </c>
      <c r="R34" s="163">
        <v>0</v>
      </c>
      <c r="S34" s="242">
        <f t="shared" si="4"/>
        <v>48967720.700000003</v>
      </c>
      <c r="T34" s="464">
        <f t="shared" si="3"/>
        <v>0.85902253701494635</v>
      </c>
      <c r="U34" s="501"/>
    </row>
    <row r="35" spans="1:21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v>51153.02</v>
      </c>
      <c r="H35" s="163">
        <v>1786959.03</v>
      </c>
      <c r="I35" s="163">
        <v>1812618.69</v>
      </c>
      <c r="J35" s="163">
        <v>1718005.5900000003</v>
      </c>
      <c r="K35" s="163">
        <v>1522624.21</v>
      </c>
      <c r="L35" s="163">
        <v>1758456.5100000002</v>
      </c>
      <c r="M35" s="163">
        <v>1898548.19</v>
      </c>
      <c r="N35" s="163">
        <v>1129451.4900000002</v>
      </c>
      <c r="O35" s="163">
        <v>2940859.11</v>
      </c>
      <c r="P35" s="163">
        <v>1960172.98</v>
      </c>
      <c r="Q35" s="163">
        <v>2416502.7999999998</v>
      </c>
      <c r="R35" s="163">
        <v>0</v>
      </c>
      <c r="S35" s="242">
        <f t="shared" si="4"/>
        <v>18995351.620000001</v>
      </c>
      <c r="T35" s="464">
        <f t="shared" si="3"/>
        <v>0.33322839835800999</v>
      </c>
      <c r="U35" s="501"/>
    </row>
    <row r="36" spans="1:21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1331064.58</v>
      </c>
      <c r="O36" s="163">
        <v>13564532.83</v>
      </c>
      <c r="P36" s="163">
        <v>847132.28</v>
      </c>
      <c r="Q36" s="163">
        <v>10248475.539999999</v>
      </c>
      <c r="R36" s="163">
        <v>0</v>
      </c>
      <c r="S36" s="242">
        <f>+SUM(G36:R36)</f>
        <v>68850350.930000007</v>
      </c>
      <c r="T36" s="464">
        <f t="shared" si="3"/>
        <v>1.2078161344817908</v>
      </c>
      <c r="U36" s="501"/>
    </row>
    <row r="37" spans="1:21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v>222069.04</v>
      </c>
      <c r="H37" s="163">
        <v>743329.49</v>
      </c>
      <c r="I37" s="163">
        <v>821318.4</v>
      </c>
      <c r="J37" s="163">
        <v>1247632.42</v>
      </c>
      <c r="K37" s="163">
        <v>498993.7</v>
      </c>
      <c r="L37" s="163">
        <v>995508.2</v>
      </c>
      <c r="M37" s="163">
        <v>1038790.1100000001</v>
      </c>
      <c r="N37" s="163">
        <v>884250.45000000007</v>
      </c>
      <c r="O37" s="163">
        <v>1095625.8400000003</v>
      </c>
      <c r="P37" s="163">
        <v>793457.04</v>
      </c>
      <c r="Q37" s="163">
        <v>1037480.69</v>
      </c>
      <c r="R37" s="163">
        <v>0</v>
      </c>
      <c r="S37" s="242">
        <f t="shared" si="4"/>
        <v>9378455.3800000008</v>
      </c>
      <c r="T37" s="464">
        <f t="shared" si="3"/>
        <v>0.16452275945547681</v>
      </c>
      <c r="U37" s="501"/>
    </row>
    <row r="38" spans="1:21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v>511006.04</v>
      </c>
      <c r="H38" s="163">
        <v>2686343.5</v>
      </c>
      <c r="I38" s="163">
        <v>4730535.5999999996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7316615.7400000002</v>
      </c>
      <c r="Q38" s="163">
        <v>6635735.6500000004</v>
      </c>
      <c r="R38" s="163">
        <v>0</v>
      </c>
      <c r="S38" s="242">
        <f t="shared" si="4"/>
        <v>49028237.700000003</v>
      </c>
      <c r="T38" s="464">
        <f t="shared" si="3"/>
        <v>0.86008416426917411</v>
      </c>
      <c r="U38" s="501"/>
    </row>
    <row r="39" spans="1:21" s="361" customFormat="1">
      <c r="A39" s="360">
        <v>419</v>
      </c>
      <c r="B39" s="568" t="str">
        <f>+VLOOKUP($A39,Master!$D$29:$G$225,4,FALSE)</f>
        <v>Ostali izdaci</v>
      </c>
      <c r="C39" s="569"/>
      <c r="D39" s="569"/>
      <c r="E39" s="569"/>
      <c r="F39" s="569"/>
      <c r="G39" s="163">
        <v>653499.35</v>
      </c>
      <c r="H39" s="163">
        <v>3022013.14</v>
      </c>
      <c r="I39" s="163">
        <v>3078694.62</v>
      </c>
      <c r="J39" s="163">
        <v>3065313.290000001</v>
      </c>
      <c r="K39" s="163">
        <v>2982573.9299999988</v>
      </c>
      <c r="L39" s="163">
        <v>4726257.419999999</v>
      </c>
      <c r="M39" s="163">
        <v>4643967.5999999996</v>
      </c>
      <c r="N39" s="163">
        <v>2835259.1899999995</v>
      </c>
      <c r="O39" s="163">
        <v>2654237.6199999996</v>
      </c>
      <c r="P39" s="163">
        <v>4806429.32</v>
      </c>
      <c r="Q39" s="163">
        <v>3940926.96</v>
      </c>
      <c r="R39" s="163">
        <v>0</v>
      </c>
      <c r="S39" s="242">
        <f t="shared" si="4"/>
        <v>36409172.439999998</v>
      </c>
      <c r="T39" s="464">
        <f t="shared" si="3"/>
        <v>0.63871258929197949</v>
      </c>
      <c r="U39" s="501"/>
    </row>
    <row r="40" spans="1:21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+SUM(G41:G45)</f>
        <v>43461857.619999997</v>
      </c>
      <c r="H40" s="193">
        <f t="shared" ref="H40:R40" si="8">+SUM(H41:H45)</f>
        <v>49030666.979999997</v>
      </c>
      <c r="I40" s="193">
        <f t="shared" si="8"/>
        <v>50283198.670000002</v>
      </c>
      <c r="J40" s="193">
        <f t="shared" si="8"/>
        <v>49157743.099999957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54392412.859999999</v>
      </c>
      <c r="O40" s="193">
        <f t="shared" si="8"/>
        <v>55114295.500000015</v>
      </c>
      <c r="P40" s="193">
        <f t="shared" si="8"/>
        <v>71199555.839999989</v>
      </c>
      <c r="Q40" s="193">
        <f t="shared" si="8"/>
        <v>63369274.630000003</v>
      </c>
      <c r="R40" s="247">
        <f t="shared" si="8"/>
        <v>0</v>
      </c>
      <c r="S40" s="487">
        <f t="shared" si="4"/>
        <v>596779704.48000002</v>
      </c>
      <c r="T40" s="488">
        <f t="shared" si="3"/>
        <v>10.469084704231282</v>
      </c>
      <c r="U40" s="501"/>
    </row>
    <row r="41" spans="1:21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v>8200110.4000000004</v>
      </c>
      <c r="H41" s="163">
        <v>8172331.5999999996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12016260.289999999</v>
      </c>
      <c r="O41" s="163">
        <v>12319371.459999999</v>
      </c>
      <c r="P41" s="163">
        <v>12711953.75</v>
      </c>
      <c r="Q41" s="163">
        <v>14820839.539999999</v>
      </c>
      <c r="R41" s="163">
        <v>0</v>
      </c>
      <c r="S41" s="242">
        <f t="shared" si="4"/>
        <v>121139861.78</v>
      </c>
      <c r="T41" s="464">
        <f t="shared" si="3"/>
        <v>2.1251116023436949</v>
      </c>
      <c r="U41" s="501"/>
    </row>
    <row r="42" spans="1:21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2428269.06</v>
      </c>
      <c r="Q42" s="163">
        <v>2185736.61</v>
      </c>
      <c r="R42" s="163">
        <v>0</v>
      </c>
      <c r="S42" s="242">
        <f t="shared" si="4"/>
        <v>23180247.409999996</v>
      </c>
      <c r="T42" s="464">
        <f t="shared" si="3"/>
        <v>0.4066424708792365</v>
      </c>
      <c r="U42" s="501"/>
    </row>
    <row r="43" spans="1:21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v>35149513.420000002</v>
      </c>
      <c r="H43" s="163">
        <v>36354430.689999998</v>
      </c>
      <c r="I43" s="163">
        <v>36069832.590000004</v>
      </c>
      <c r="J43" s="163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38038058.110000014</v>
      </c>
      <c r="P43" s="163">
        <v>53631777.979999997</v>
      </c>
      <c r="Q43" s="163">
        <v>42921660.460000001</v>
      </c>
      <c r="R43" s="163">
        <v>0</v>
      </c>
      <c r="S43" s="242">
        <f t="shared" si="4"/>
        <v>427359087.56</v>
      </c>
      <c r="T43" s="464">
        <f t="shared" si="3"/>
        <v>7.4970017465441021</v>
      </c>
      <c r="U43" s="501"/>
    </row>
    <row r="44" spans="1:21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v>103430</v>
      </c>
      <c r="H44" s="163">
        <v>1069904.71</v>
      </c>
      <c r="I44" s="163">
        <v>1609138.94</v>
      </c>
      <c r="J44" s="163">
        <v>1370159.43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1267872.27</v>
      </c>
      <c r="Q44" s="163">
        <v>1655544.57</v>
      </c>
      <c r="R44" s="163">
        <v>0</v>
      </c>
      <c r="S44" s="242">
        <f t="shared" si="4"/>
        <v>13480140.91</v>
      </c>
      <c r="T44" s="464">
        <f t="shared" si="3"/>
        <v>0.2364771052908568</v>
      </c>
      <c r="U44" s="501"/>
    </row>
    <row r="45" spans="1:21" s="361" customFormat="1">
      <c r="A45" s="360">
        <v>425</v>
      </c>
      <c r="B45" s="570" t="str">
        <f>+VLOOKUP($A45,Master!$D$29:$G$225,4,FALSE)</f>
        <v>Ostala prava iz zdravstvenog osiguranja</v>
      </c>
      <c r="C45" s="571"/>
      <c r="D45" s="571"/>
      <c r="E45" s="571"/>
      <c r="F45" s="571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1159682.78</v>
      </c>
      <c r="Q45" s="163">
        <v>1785493.45</v>
      </c>
      <c r="R45" s="163">
        <v>0</v>
      </c>
      <c r="S45" s="242">
        <f t="shared" si="4"/>
        <v>11620366.819999998</v>
      </c>
      <c r="T45" s="464">
        <f t="shared" si="3"/>
        <v>0.20385177917339134</v>
      </c>
      <c r="U45" s="501"/>
    </row>
    <row r="46" spans="1:21">
      <c r="A46" s="150">
        <v>43</v>
      </c>
      <c r="B46" s="533" t="str">
        <f>+VLOOKUP($A46,Master!$D$29:$G$225,4,FALSE)</f>
        <v xml:space="preserve">Transferi institucijama, pojedincima, nevladinom i javnom sektoru </v>
      </c>
      <c r="C46" s="534"/>
      <c r="D46" s="534"/>
      <c r="E46" s="534"/>
      <c r="F46" s="534"/>
      <c r="G46" s="175">
        <v>7351440.8700000001</v>
      </c>
      <c r="H46" s="175">
        <v>23788257.170000002</v>
      </c>
      <c r="I46" s="175">
        <v>30704364.969999999</v>
      </c>
      <c r="J46" s="175">
        <v>28731832.689999998</v>
      </c>
      <c r="K46" s="175">
        <v>16386723.549999999</v>
      </c>
      <c r="L46" s="175">
        <v>26579249.149999995</v>
      </c>
      <c r="M46" s="175">
        <v>21692065.57</v>
      </c>
      <c r="N46" s="175">
        <v>18750731.399999999</v>
      </c>
      <c r="O46" s="175">
        <v>29316367.350000001</v>
      </c>
      <c r="P46" s="175">
        <v>32184558.100000001</v>
      </c>
      <c r="Q46" s="175">
        <v>34224335.93</v>
      </c>
      <c r="R46" s="175">
        <v>0</v>
      </c>
      <c r="S46" s="243">
        <f t="shared" si="4"/>
        <v>269709926.75</v>
      </c>
      <c r="T46" s="465">
        <f t="shared" si="3"/>
        <v>4.7314210713283273</v>
      </c>
      <c r="U46" s="501"/>
    </row>
    <row r="47" spans="1:21">
      <c r="A47" s="150">
        <v>44</v>
      </c>
      <c r="B47" s="533" t="str">
        <f>+VLOOKUP($A47,Master!$D$29:$G$225,4,FALSE)</f>
        <v>Kapitalni izdaci</v>
      </c>
      <c r="C47" s="534"/>
      <c r="D47" s="534"/>
      <c r="E47" s="534"/>
      <c r="F47" s="534"/>
      <c r="G47" s="175">
        <v>16016474.34</v>
      </c>
      <c r="H47" s="175">
        <v>11650538.710000001</v>
      </c>
      <c r="I47" s="175">
        <v>7995861.7599999998</v>
      </c>
      <c r="J47" s="175">
        <v>25620437.929999996</v>
      </c>
      <c r="K47" s="175">
        <v>18640717.440000001</v>
      </c>
      <c r="L47" s="175">
        <v>23469892.199999999</v>
      </c>
      <c r="M47" s="175">
        <v>25045170.949999999</v>
      </c>
      <c r="N47" s="175">
        <v>7683091.5899999999</v>
      </c>
      <c r="O47" s="175">
        <v>16121479.17</v>
      </c>
      <c r="P47" s="175">
        <v>11359865.449999999</v>
      </c>
      <c r="Q47" s="175">
        <v>20288966.399999999</v>
      </c>
      <c r="R47" s="175">
        <v>0</v>
      </c>
      <c r="S47" s="243">
        <f t="shared" si="4"/>
        <v>183892495.93999997</v>
      </c>
      <c r="T47" s="465">
        <f t="shared" si="3"/>
        <v>3.2259577562978028</v>
      </c>
      <c r="U47" s="501"/>
    </row>
    <row r="48" spans="1:21">
      <c r="A48" s="150">
        <v>451</v>
      </c>
      <c r="B48" s="572" t="str">
        <f>+VLOOKUP($A48,Master!$D$29:$G$225,4,FALSE)</f>
        <v>Pozajmice i krediti</v>
      </c>
      <c r="C48" s="573"/>
      <c r="D48" s="573"/>
      <c r="E48" s="573"/>
      <c r="F48" s="573"/>
      <c r="G48" s="163">
        <v>0</v>
      </c>
      <c r="H48" s="163">
        <v>248510</v>
      </c>
      <c r="I48" s="163">
        <v>1730</v>
      </c>
      <c r="J48" s="163">
        <v>302436</v>
      </c>
      <c r="K48" s="163">
        <v>260378</v>
      </c>
      <c r="L48" s="163">
        <v>700</v>
      </c>
      <c r="M48" s="163">
        <v>0</v>
      </c>
      <c r="N48" s="163">
        <v>350</v>
      </c>
      <c r="O48" s="163">
        <v>0</v>
      </c>
      <c r="P48" s="163">
        <v>832764</v>
      </c>
      <c r="Q48" s="163">
        <v>0</v>
      </c>
      <c r="R48" s="163">
        <v>0</v>
      </c>
      <c r="S48" s="242">
        <f t="shared" si="4"/>
        <v>1646868</v>
      </c>
      <c r="T48" s="464">
        <f t="shared" si="3"/>
        <v>2.8890393656585502E-2</v>
      </c>
      <c r="U48" s="501"/>
    </row>
    <row r="49" spans="1:21" s="361" customFormat="1">
      <c r="A49" s="360">
        <v>47</v>
      </c>
      <c r="B49" s="577" t="str">
        <f>+VLOOKUP($A49,Master!$D$29:$G$225,4,FALSE)</f>
        <v>Rezerve</v>
      </c>
      <c r="C49" s="578"/>
      <c r="D49" s="578"/>
      <c r="E49" s="578"/>
      <c r="F49" s="578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20100803.789999999</v>
      </c>
      <c r="P49" s="163">
        <v>1452808.88</v>
      </c>
      <c r="Q49" s="163">
        <v>608587.1</v>
      </c>
      <c r="R49" s="163">
        <v>0</v>
      </c>
      <c r="S49" s="242">
        <f t="shared" si="4"/>
        <v>34696616.829999998</v>
      </c>
      <c r="T49" s="464">
        <f t="shared" si="3"/>
        <v>0.60866986229036557</v>
      </c>
      <c r="U49" s="501"/>
    </row>
    <row r="50" spans="1:21" ht="13.5" thickBot="1">
      <c r="A50" s="150">
        <v>462</v>
      </c>
      <c r="B50" s="539" t="str">
        <f>+VLOOKUP($A50,Master!$D$29:$G$225,4,FALSE)</f>
        <v>Otplata garancija</v>
      </c>
      <c r="C50" s="540"/>
      <c r="D50" s="540"/>
      <c r="E50" s="540"/>
      <c r="F50" s="540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8.7713142937337722E-3</v>
      </c>
      <c r="U50" s="501"/>
    </row>
    <row r="51" spans="1:21" ht="13.5" thickBot="1">
      <c r="A51" s="144">
        <v>4630</v>
      </c>
      <c r="B51" s="579" t="str">
        <f>+VLOOKUP($A51,Master!$D$29:$G$225,4,TRUE)</f>
        <v>Otplata obaveza iz prethodnog perioda</v>
      </c>
      <c r="C51" s="580"/>
      <c r="D51" s="580"/>
      <c r="E51" s="580"/>
      <c r="F51" s="580"/>
      <c r="G51" s="458">
        <v>17529055.329999998</v>
      </c>
      <c r="H51" s="458">
        <v>3946389.9</v>
      </c>
      <c r="I51" s="458">
        <v>2323374.4</v>
      </c>
      <c r="J51" s="458">
        <v>1211074.6399999999</v>
      </c>
      <c r="K51" s="458">
        <v>1145121.3300000003</v>
      </c>
      <c r="L51" s="458">
        <v>1002974.65</v>
      </c>
      <c r="M51" s="458">
        <v>2058810.46</v>
      </c>
      <c r="N51" s="458">
        <v>791334.30999999994</v>
      </c>
      <c r="O51" s="458">
        <v>1107049.1300000001</v>
      </c>
      <c r="P51" s="458">
        <v>847453.94</v>
      </c>
      <c r="Q51" s="458">
        <v>1242288.18</v>
      </c>
      <c r="R51" s="458">
        <v>0</v>
      </c>
      <c r="S51" s="425">
        <f>+SUM(G51:R51)</f>
        <v>33204926.269999996</v>
      </c>
      <c r="T51" s="468">
        <f t="shared" si="3"/>
        <v>0.582501688828854</v>
      </c>
      <c r="U51" s="501"/>
    </row>
    <row r="52" spans="1:21" ht="13.5" thickBot="1">
      <c r="A52" s="70">
        <v>1005</v>
      </c>
      <c r="B52" s="581" t="str">
        <f>+VLOOKUP($A52,Master!$D$29:$G$227,4,FALSE)</f>
        <v>Neto povećanje obaveza</v>
      </c>
      <c r="C52" s="582"/>
      <c r="D52" s="582"/>
      <c r="E52" s="582"/>
      <c r="F52" s="582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</row>
    <row r="53" spans="1:21" ht="13.5" thickBot="1">
      <c r="A53" s="144">
        <v>1000</v>
      </c>
      <c r="B53" s="541" t="str">
        <f>+VLOOKUP($A53,Master!$D$29:$G$225,4,FALSE)</f>
        <v>Suficit / deficit</v>
      </c>
      <c r="C53" s="542"/>
      <c r="D53" s="542"/>
      <c r="E53" s="542"/>
      <c r="F53" s="542"/>
      <c r="G53" s="151">
        <f t="shared" ref="G53:R53" si="9">+G10-G29</f>
        <v>-27701600.37999998</v>
      </c>
      <c r="H53" s="151">
        <f t="shared" si="9"/>
        <v>-26184314.520000011</v>
      </c>
      <c r="I53" s="151">
        <f t="shared" si="9"/>
        <v>31958157.970000029</v>
      </c>
      <c r="J53" s="151">
        <f t="shared" si="9"/>
        <v>-20778584.369999915</v>
      </c>
      <c r="K53" s="151">
        <f t="shared" si="9"/>
        <v>8454993.5200000107</v>
      </c>
      <c r="L53" s="151">
        <f t="shared" si="9"/>
        <v>-10807149.039999992</v>
      </c>
      <c r="M53" s="151">
        <f t="shared" si="9"/>
        <v>-12409613.150000036</v>
      </c>
      <c r="N53" s="151">
        <f t="shared" si="9"/>
        <v>48414788.109999955</v>
      </c>
      <c r="O53" s="151">
        <f t="shared" si="9"/>
        <v>-26530659.460000008</v>
      </c>
      <c r="P53" s="151">
        <f t="shared" si="9"/>
        <v>-20084373.350000024</v>
      </c>
      <c r="Q53" s="151">
        <f t="shared" si="9"/>
        <v>-38735247.020000011</v>
      </c>
      <c r="R53" s="151">
        <f t="shared" si="9"/>
        <v>0</v>
      </c>
      <c r="S53" s="248">
        <f t="shared" si="4"/>
        <v>-94403601.689999983</v>
      </c>
      <c r="T53" s="470">
        <f t="shared" si="3"/>
        <v>-1.6560873217668932</v>
      </c>
    </row>
    <row r="54" spans="1:21" ht="13.5" thickBot="1">
      <c r="A54" s="144">
        <v>1001</v>
      </c>
      <c r="B54" s="543" t="str">
        <f>+VLOOKUP($A54,Master!$D$29:$G$225,4,FALSE)</f>
        <v>Primarni suficit/deficit</v>
      </c>
      <c r="C54" s="544"/>
      <c r="D54" s="544"/>
      <c r="E54" s="544"/>
      <c r="F54" s="544"/>
      <c r="G54" s="205">
        <f t="shared" ref="G54:R54" si="10">+G53+G36</f>
        <v>-23846838.12999998</v>
      </c>
      <c r="H54" s="205">
        <f t="shared" si="10"/>
        <v>-24913970.330000009</v>
      </c>
      <c r="I54" s="205">
        <f t="shared" si="10"/>
        <v>32907240.530000027</v>
      </c>
      <c r="J54" s="205">
        <f t="shared" si="10"/>
        <v>6417036.7000000849</v>
      </c>
      <c r="K54" s="205">
        <f t="shared" si="10"/>
        <v>13043467.300000012</v>
      </c>
      <c r="L54" s="205">
        <f t="shared" si="10"/>
        <v>-9590350.0099999923</v>
      </c>
      <c r="M54" s="205">
        <f t="shared" si="10"/>
        <v>-8625550.3300000355</v>
      </c>
      <c r="N54" s="205">
        <f t="shared" si="10"/>
        <v>49745852.689999953</v>
      </c>
      <c r="O54" s="205">
        <f t="shared" si="10"/>
        <v>-12966126.630000008</v>
      </c>
      <c r="P54" s="205">
        <f t="shared" si="10"/>
        <v>-19237241.070000023</v>
      </c>
      <c r="Q54" s="205">
        <f t="shared" si="10"/>
        <v>-28486771.480000012</v>
      </c>
      <c r="R54" s="205">
        <f t="shared" si="10"/>
        <v>0</v>
      </c>
      <c r="S54" s="248">
        <f t="shared" si="4"/>
        <v>-25553250.75999999</v>
      </c>
      <c r="T54" s="470">
        <f t="shared" si="3"/>
        <v>-0.44827118728510262</v>
      </c>
    </row>
    <row r="55" spans="1:21">
      <c r="A55" s="144">
        <v>46</v>
      </c>
      <c r="B55" s="565" t="str">
        <f>+VLOOKUP($A55,Master!$D$29:$G$225,4,FALSE)</f>
        <v>Otplata dugova</v>
      </c>
      <c r="C55" s="566"/>
      <c r="D55" s="566"/>
      <c r="E55" s="566"/>
      <c r="F55" s="566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6058280.0800000001</v>
      </c>
      <c r="Q55" s="193">
        <f t="shared" si="11"/>
        <v>57191963.920000002</v>
      </c>
      <c r="R55" s="193">
        <f t="shared" si="11"/>
        <v>0</v>
      </c>
      <c r="S55" s="249">
        <f t="shared" si="4"/>
        <v>280150967.29000002</v>
      </c>
      <c r="T55" s="471">
        <f t="shared" si="3"/>
        <v>4.9145843675882404</v>
      </c>
    </row>
    <row r="56" spans="1:21">
      <c r="A56" s="144">
        <v>4611</v>
      </c>
      <c r="B56" s="561" t="str">
        <f>+VLOOKUP($A56,Master!$D$29:$G$225,4,FALSE)</f>
        <v>Otplata hartija od vrijednosti i kredita rezidentima</v>
      </c>
      <c r="C56" s="562"/>
      <c r="D56" s="562"/>
      <c r="E56" s="562"/>
      <c r="F56" s="562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2442731.2000000002</v>
      </c>
      <c r="Q56" s="211">
        <v>9226106.3599999994</v>
      </c>
      <c r="R56" s="211">
        <v>0</v>
      </c>
      <c r="S56" s="250">
        <f t="shared" si="4"/>
        <v>39186160.189999998</v>
      </c>
      <c r="T56" s="472">
        <f t="shared" si="3"/>
        <v>0.68742825398217655</v>
      </c>
    </row>
    <row r="57" spans="1:21" ht="13.5" thickBot="1">
      <c r="A57" s="144">
        <v>4612</v>
      </c>
      <c r="B57" s="537" t="str">
        <f>+VLOOKUP($A57,Master!$D$29:$G$225,4,FALSE)</f>
        <v>Otplata hartija od vrijednosti i kredita nerezidentima</v>
      </c>
      <c r="C57" s="538"/>
      <c r="D57" s="538"/>
      <c r="E57" s="538"/>
      <c r="F57" s="538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3615548.88</v>
      </c>
      <c r="Q57" s="211">
        <v>47965857.560000002</v>
      </c>
      <c r="R57" s="211">
        <v>0</v>
      </c>
      <c r="S57" s="250">
        <f t="shared" si="4"/>
        <v>240964807.09999999</v>
      </c>
      <c r="T57" s="472">
        <f t="shared" si="3"/>
        <v>4.2271561136060631</v>
      </c>
    </row>
    <row r="58" spans="1:21" ht="13.5" thickBot="1">
      <c r="A58" s="144">
        <v>4418</v>
      </c>
      <c r="B58" s="529" t="str">
        <f>+VLOOKUP($A58,Master!$D$29:$G$225,4,FALSE)</f>
        <v>Izdaci za kupovinu hartija od vrijednosti</v>
      </c>
      <c r="C58" s="530"/>
      <c r="D58" s="530"/>
      <c r="E58" s="530"/>
      <c r="F58" s="530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572321.46</v>
      </c>
      <c r="R58" s="460">
        <v>0</v>
      </c>
      <c r="S58" s="249">
        <f>SUM(G58:R58)</f>
        <v>572321.46</v>
      </c>
      <c r="T58" s="473">
        <f t="shared" si="3"/>
        <v>1.0040022805417163E-2</v>
      </c>
    </row>
    <row r="59" spans="1:21" ht="13.5" thickBot="1">
      <c r="A59" s="144">
        <v>1002</v>
      </c>
      <c r="B59" s="563" t="str">
        <f>+VLOOKUP($A59,Master!$D$29:$G$225,4,FALSE)</f>
        <v>Nedostajuća sredstva</v>
      </c>
      <c r="C59" s="564"/>
      <c r="D59" s="564"/>
      <c r="E59" s="564"/>
      <c r="F59" s="564"/>
      <c r="G59" s="217">
        <f>+G53-G55-G58</f>
        <v>-56132859.349999979</v>
      </c>
      <c r="H59" s="217">
        <f t="shared" ref="H59:R59" si="12">+H53-H55-H58</f>
        <v>-40393315.650000013</v>
      </c>
      <c r="I59" s="217">
        <f t="shared" si="12"/>
        <v>20286474.980000027</v>
      </c>
      <c r="J59" s="217">
        <f t="shared" si="12"/>
        <v>-78252809.999999911</v>
      </c>
      <c r="K59" s="217">
        <f t="shared" si="12"/>
        <v>-30626992.629999988</v>
      </c>
      <c r="L59" s="217">
        <f t="shared" si="12"/>
        <v>-22435325.609999992</v>
      </c>
      <c r="M59" s="217">
        <f t="shared" si="12"/>
        <v>-42809222.570000038</v>
      </c>
      <c r="N59" s="217">
        <f t="shared" si="12"/>
        <v>34469320.679999955</v>
      </c>
      <c r="O59" s="217">
        <f t="shared" si="12"/>
        <v>-36589974.460000008</v>
      </c>
      <c r="P59" s="217">
        <f t="shared" si="12"/>
        <v>-26142653.430000022</v>
      </c>
      <c r="Q59" s="217">
        <f t="shared" si="12"/>
        <v>-96499532.400000006</v>
      </c>
      <c r="R59" s="217">
        <f t="shared" si="12"/>
        <v>0</v>
      </c>
      <c r="S59" s="251">
        <f t="shared" si="4"/>
        <v>-375126890.44000006</v>
      </c>
      <c r="T59" s="474">
        <f t="shared" si="3"/>
        <v>-6.5807117121605518</v>
      </c>
    </row>
    <row r="60" spans="1:21" ht="13.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+SUM(G61:G64)</f>
        <v>56132859.349999979</v>
      </c>
      <c r="H60" s="151">
        <f t="shared" ref="H60:R60" si="13">+SUM(H61:H64)</f>
        <v>40393315.650000013</v>
      </c>
      <c r="I60" s="151">
        <f t="shared" si="13"/>
        <v>-20286474.980000027</v>
      </c>
      <c r="J60" s="151">
        <f t="shared" si="13"/>
        <v>78252809.999999911</v>
      </c>
      <c r="K60" s="151">
        <f t="shared" si="13"/>
        <v>30626992.629999988</v>
      </c>
      <c r="L60" s="151">
        <f t="shared" si="13"/>
        <v>22435325.609999992</v>
      </c>
      <c r="M60" s="151">
        <f t="shared" si="13"/>
        <v>42809222.570000038</v>
      </c>
      <c r="N60" s="151">
        <f t="shared" si="13"/>
        <v>-34469320.679999955</v>
      </c>
      <c r="O60" s="151">
        <f t="shared" si="13"/>
        <v>36589974.460000008</v>
      </c>
      <c r="P60" s="151">
        <f t="shared" si="13"/>
        <v>26142653.430000022</v>
      </c>
      <c r="Q60" s="151">
        <f t="shared" si="13"/>
        <v>96499532.400000006</v>
      </c>
      <c r="R60" s="151">
        <f t="shared" si="13"/>
        <v>0</v>
      </c>
      <c r="S60" s="252">
        <f t="shared" si="4"/>
        <v>375126890.44000006</v>
      </c>
      <c r="T60" s="475">
        <f t="shared" si="3"/>
        <v>6.5807117121605518</v>
      </c>
    </row>
    <row r="61" spans="1:21">
      <c r="A61" s="144">
        <v>7511</v>
      </c>
      <c r="B61" s="561" t="str">
        <f>+VLOOKUP($A61,Master!$D$29:$G$225,4,FALSE)</f>
        <v>Pozajmice i krediti od domaćih izvora</v>
      </c>
      <c r="C61" s="562"/>
      <c r="D61" s="562"/>
      <c r="E61" s="562"/>
      <c r="F61" s="562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52000000</v>
      </c>
      <c r="R61" s="211">
        <v>0</v>
      </c>
      <c r="S61" s="250">
        <f t="shared" si="4"/>
        <v>52000000</v>
      </c>
      <c r="T61" s="472">
        <f t="shared" si="3"/>
        <v>0.91221668654831234</v>
      </c>
    </row>
    <row r="62" spans="1:21">
      <c r="A62" s="144">
        <v>7512</v>
      </c>
      <c r="B62" s="537" t="str">
        <f>+VLOOKUP($A62,Master!$D$29:$G$225,4,FALSE)</f>
        <v>Pozajmice i krediti od inostranih izvora</v>
      </c>
      <c r="C62" s="538"/>
      <c r="D62" s="538"/>
      <c r="E62" s="538"/>
      <c r="F62" s="538"/>
      <c r="G62" s="211">
        <v>12789994.92</v>
      </c>
      <c r="H62" s="211">
        <v>10460525.210000001</v>
      </c>
      <c r="I62" s="211">
        <v>1259301.6499999999</v>
      </c>
      <c r="J62" s="211">
        <v>8146150.04</v>
      </c>
      <c r="K62" s="211">
        <v>11238716.789999999</v>
      </c>
      <c r="L62" s="211">
        <v>12964517.649999999</v>
      </c>
      <c r="M62" s="211">
        <v>8206743.4400000004</v>
      </c>
      <c r="N62" s="211">
        <v>2667369.89</v>
      </c>
      <c r="O62" s="211">
        <v>2641596.2200000002</v>
      </c>
      <c r="P62" s="211">
        <v>287581.34000000003</v>
      </c>
      <c r="Q62" s="211">
        <v>1563937.52</v>
      </c>
      <c r="R62" s="211">
        <v>0</v>
      </c>
      <c r="S62" s="250">
        <f t="shared" si="4"/>
        <v>72226434.669999987</v>
      </c>
      <c r="T62" s="472">
        <f t="shared" si="3"/>
        <v>1.2670415176127987</v>
      </c>
    </row>
    <row r="63" spans="1:21">
      <c r="A63" s="144">
        <v>72</v>
      </c>
      <c r="B63" s="537" t="str">
        <f>+VLOOKUP($A63,Master!$D$29:$G$225,4,FALSE)</f>
        <v>Primici od prodaje imovine</v>
      </c>
      <c r="C63" s="538"/>
      <c r="D63" s="538"/>
      <c r="E63" s="538"/>
      <c r="F63" s="538"/>
      <c r="G63" s="211">
        <v>710212.98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313064.5</v>
      </c>
      <c r="O63" s="211">
        <v>705089.56</v>
      </c>
      <c r="P63" s="211">
        <v>574867.06000000006</v>
      </c>
      <c r="Q63" s="211">
        <v>363375.9</v>
      </c>
      <c r="R63" s="211">
        <v>0</v>
      </c>
      <c r="S63" s="250">
        <f t="shared" si="4"/>
        <v>4366747.16</v>
      </c>
      <c r="T63" s="472">
        <f t="shared" si="3"/>
        <v>7.6604223563258717E-2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42632651.449999981</v>
      </c>
      <c r="H64" s="225">
        <f t="shared" ref="H64:L64" si="14">-H59-SUM(H61:H63)</f>
        <v>29862251.220000014</v>
      </c>
      <c r="I64" s="225">
        <f t="shared" si="14"/>
        <v>-21929569.110000025</v>
      </c>
      <c r="J64" s="225">
        <f t="shared" si="14"/>
        <v>69340392.219999909</v>
      </c>
      <c r="K64" s="225">
        <f t="shared" si="14"/>
        <v>19361862.209999986</v>
      </c>
      <c r="L64" s="225">
        <f t="shared" si="14"/>
        <v>9227312.5699999928</v>
      </c>
      <c r="M64" s="225">
        <f t="shared" ref="M64:R64" si="15">-M59-SUM(M61:M63)</f>
        <v>34392850.430000037</v>
      </c>
      <c r="N64" s="225">
        <f t="shared" si="15"/>
        <v>-37449755.069999956</v>
      </c>
      <c r="O64" s="225">
        <f t="shared" si="15"/>
        <v>33243288.680000007</v>
      </c>
      <c r="P64" s="225">
        <f t="shared" si="15"/>
        <v>25280205.030000024</v>
      </c>
      <c r="Q64" s="225">
        <f t="shared" si="15"/>
        <v>42572218.980000004</v>
      </c>
      <c r="R64" s="225">
        <f t="shared" si="15"/>
        <v>0</v>
      </c>
      <c r="S64" s="253">
        <f>+SUM(G64:R64)</f>
        <v>246533708.60999995</v>
      </c>
      <c r="T64" s="476">
        <f t="shared" si="3"/>
        <v>4.324849284436179</v>
      </c>
    </row>
    <row r="65" spans="7:18">
      <c r="R65" s="312"/>
    </row>
    <row r="67" spans="7:18" hidden="1">
      <c r="G67" s="311"/>
    </row>
    <row r="68" spans="7:18" ht="9" hidden="1" customHeight="1"/>
    <row r="69" spans="7:18" hidden="1"/>
    <row r="70" spans="7:18" hidden="1"/>
    <row r="71" spans="7:18" hidden="1"/>
    <row r="72" spans="7:18" hidden="1"/>
    <row r="73" spans="7:18" hidden="1"/>
    <row r="74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6">+CONCATENATE(G6,"p")</f>
        <v>2022-01p</v>
      </c>
      <c r="H80" s="68" t="str">
        <f t="shared" si="16"/>
        <v>2022-02p</v>
      </c>
      <c r="I80" s="68" t="str">
        <f t="shared" si="16"/>
        <v>2022-03p</v>
      </c>
      <c r="J80" s="68" t="str">
        <f t="shared" si="16"/>
        <v>2022-04p</v>
      </c>
      <c r="K80" s="68" t="str">
        <f t="shared" si="16"/>
        <v>2022-05p</v>
      </c>
      <c r="L80" s="68" t="str">
        <f t="shared" si="16"/>
        <v>2022-06p</v>
      </c>
      <c r="M80" s="68" t="str">
        <f t="shared" si="16"/>
        <v>2022-07p</v>
      </c>
      <c r="N80" s="68" t="str">
        <f t="shared" si="16"/>
        <v>2022-08p</v>
      </c>
      <c r="O80" s="68" t="str">
        <f t="shared" si="16"/>
        <v>2022-09p</v>
      </c>
      <c r="P80" s="68" t="str">
        <f t="shared" si="16"/>
        <v>2022-10p</v>
      </c>
      <c r="Q80" s="68" t="str">
        <f t="shared" si="16"/>
        <v>2022-11p</v>
      </c>
      <c r="R80" s="68" t="str">
        <f t="shared" si="16"/>
        <v>2022-12p</v>
      </c>
    </row>
    <row r="81" spans="1:26" ht="15.75" customHeight="1" thickBot="1">
      <c r="B81" s="589" t="str">
        <f>+Master!G252</f>
        <v>Plan ostvarenja budžeta</v>
      </c>
      <c r="C81" s="590"/>
      <c r="D81" s="590"/>
      <c r="E81" s="590"/>
      <c r="F81" s="590"/>
      <c r="G81" s="574">
        <v>2022</v>
      </c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6"/>
      <c r="S81" s="107" t="str">
        <f>+S7</f>
        <v>BDP</v>
      </c>
      <c r="T81" s="108">
        <v>5700400000</v>
      </c>
    </row>
    <row r="82" spans="1:26" ht="15.75" customHeight="1">
      <c r="B82" s="591"/>
      <c r="C82" s="592"/>
      <c r="D82" s="592"/>
      <c r="E82" s="592"/>
      <c r="F82" s="593"/>
      <c r="G82" s="71" t="str">
        <f t="shared" ref="G82:R82" si="17">+G8</f>
        <v>Januar</v>
      </c>
      <c r="H82" s="71" t="str">
        <f t="shared" si="17"/>
        <v>Februar</v>
      </c>
      <c r="I82" s="71" t="str">
        <f t="shared" si="17"/>
        <v>Mart</v>
      </c>
      <c r="J82" s="71" t="str">
        <f t="shared" si="17"/>
        <v>April</v>
      </c>
      <c r="K82" s="71" t="str">
        <f t="shared" si="17"/>
        <v>Maj</v>
      </c>
      <c r="L82" s="71" t="str">
        <f t="shared" si="17"/>
        <v>Jun</v>
      </c>
      <c r="M82" s="71" t="str">
        <f t="shared" si="17"/>
        <v>Jul</v>
      </c>
      <c r="N82" s="71" t="str">
        <f t="shared" si="17"/>
        <v>Avgust</v>
      </c>
      <c r="O82" s="71" t="str">
        <f t="shared" si="17"/>
        <v>Septembar</v>
      </c>
      <c r="P82" s="71" t="str">
        <f t="shared" si="17"/>
        <v>Oktobar</v>
      </c>
      <c r="Q82" s="71" t="str">
        <f t="shared" si="17"/>
        <v>Novembar</v>
      </c>
      <c r="R82" s="71" t="str">
        <f t="shared" si="17"/>
        <v>Decembar</v>
      </c>
      <c r="S82" s="574" t="str">
        <f>+Master!G246</f>
        <v>Jan - Dec</v>
      </c>
      <c r="T82" s="576">
        <f>+T8</f>
        <v>0</v>
      </c>
    </row>
    <row r="83" spans="1:26" ht="13.5" thickBot="1">
      <c r="B83" s="594"/>
      <c r="C83" s="595"/>
      <c r="D83" s="595"/>
      <c r="E83" s="595"/>
      <c r="F83" s="596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6" ht="13.5" thickBot="1">
      <c r="A84" s="116" t="str">
        <f t="shared" ref="A84:A138" si="18">+CONCATENATE(A10,"p")</f>
        <v>7p</v>
      </c>
      <c r="B84" s="583" t="str">
        <f>+VLOOKUP(LEFT($A84,LEN(A84)-1)*1,Master!$D$29:$G$225,4,FALSE)</f>
        <v>Prihodi budžeta</v>
      </c>
      <c r="C84" s="584"/>
      <c r="D84" s="584"/>
      <c r="E84" s="584"/>
      <c r="F84" s="584"/>
      <c r="G84" s="93">
        <f t="shared" ref="G84:R84" si="19">+G85+G93+SUM(G98:G102)</f>
        <v>107815206.69999999</v>
      </c>
      <c r="H84" s="93">
        <f t="shared" si="19"/>
        <v>124649774.65000001</v>
      </c>
      <c r="I84" s="93">
        <f t="shared" si="19"/>
        <v>184180987.21000001</v>
      </c>
      <c r="J84" s="93">
        <f t="shared" si="19"/>
        <v>181957324.32000002</v>
      </c>
      <c r="K84" s="93">
        <f t="shared" si="19"/>
        <v>154730235.27000001</v>
      </c>
      <c r="L84" s="93">
        <f t="shared" si="19"/>
        <v>169061326.09000003</v>
      </c>
      <c r="M84" s="93">
        <f t="shared" si="19"/>
        <v>165802775.70999998</v>
      </c>
      <c r="N84" s="93">
        <f t="shared" si="19"/>
        <v>194390474.26999995</v>
      </c>
      <c r="O84" s="93">
        <f t="shared" si="19"/>
        <v>175603806.03</v>
      </c>
      <c r="P84" s="93">
        <f t="shared" si="19"/>
        <v>140445093.07000002</v>
      </c>
      <c r="Q84" s="93">
        <f t="shared" si="19"/>
        <v>136281404.65000004</v>
      </c>
      <c r="R84" s="93">
        <f t="shared" si="19"/>
        <v>196108732.88999999</v>
      </c>
      <c r="S84" s="453">
        <f>+SUM(G84:R84)</f>
        <v>1931027140.8600001</v>
      </c>
      <c r="T84" s="477">
        <f>+S84/$T$81*100</f>
        <v>33.875291924426357</v>
      </c>
      <c r="U84" s="258"/>
    </row>
    <row r="85" spans="1:26">
      <c r="A85" s="116" t="str">
        <f t="shared" si="18"/>
        <v>711p</v>
      </c>
      <c r="B85" s="585" t="str">
        <f>+VLOOKUP(LEFT($A85,LEN(A85)-1)*1,Master!$D$29:$G$225,4,FALSE)</f>
        <v>Porezi</v>
      </c>
      <c r="C85" s="586"/>
      <c r="D85" s="586"/>
      <c r="E85" s="586"/>
      <c r="F85" s="586"/>
      <c r="G85" s="79">
        <f t="shared" ref="G85:R85" si="20">+SUM(G86:G92)</f>
        <v>80559495.530000001</v>
      </c>
      <c r="H85" s="79">
        <f t="shared" si="20"/>
        <v>83215985.099999994</v>
      </c>
      <c r="I85" s="79">
        <f t="shared" si="20"/>
        <v>136363333.32000002</v>
      </c>
      <c r="J85" s="79">
        <f t="shared" si="20"/>
        <v>133978505.54000001</v>
      </c>
      <c r="K85" s="79">
        <f t="shared" si="20"/>
        <v>112630389.3</v>
      </c>
      <c r="L85" s="79">
        <f t="shared" si="20"/>
        <v>115551273.18000002</v>
      </c>
      <c r="M85" s="79">
        <f t="shared" si="20"/>
        <v>118591394.48</v>
      </c>
      <c r="N85" s="79">
        <f t="shared" si="20"/>
        <v>138239036.15999997</v>
      </c>
      <c r="O85" s="79">
        <f t="shared" si="20"/>
        <v>121261181.33999999</v>
      </c>
      <c r="P85" s="79">
        <f t="shared" si="20"/>
        <v>82469774.326666653</v>
      </c>
      <c r="Q85" s="79">
        <f t="shared" si="20"/>
        <v>76569750.026666671</v>
      </c>
      <c r="R85" s="80">
        <f t="shared" si="20"/>
        <v>98169750.026666671</v>
      </c>
      <c r="S85" s="111">
        <f t="shared" ref="S85:S137" si="21">+SUM(G85:R85)</f>
        <v>1297599868.3300002</v>
      </c>
      <c r="T85" s="463">
        <f t="shared" ref="T85:T138" si="22">+S85/$T$81*100</f>
        <v>22.763312545259986</v>
      </c>
      <c r="V85" s="311"/>
    </row>
    <row r="86" spans="1:26">
      <c r="A86" s="116" t="str">
        <f t="shared" si="18"/>
        <v>7111p</v>
      </c>
      <c r="B86" s="587" t="str">
        <f>+VLOOKUP(LEFT($A86,LEN(A86)-1)*1,Master!$D$29:$G$228,4,FALSE)</f>
        <v>Porez na dohodak fizičkih lica</v>
      </c>
      <c r="C86" s="588"/>
      <c r="D86" s="588"/>
      <c r="E86" s="588"/>
      <c r="F86" s="588"/>
      <c r="G86" s="87">
        <v>6139790.5700000003</v>
      </c>
      <c r="H86" s="87">
        <v>7672775.8099999996</v>
      </c>
      <c r="I86" s="87">
        <v>6664350.6399999997</v>
      </c>
      <c r="J86" s="87">
        <v>8050769.3899999997</v>
      </c>
      <c r="K86" s="87">
        <v>8176244.7699999996</v>
      </c>
      <c r="L86" s="87">
        <v>7322347.5800000001</v>
      </c>
      <c r="M86" s="87">
        <v>8156090.4900000002</v>
      </c>
      <c r="N86" s="87">
        <v>7377958</v>
      </c>
      <c r="O86" s="87">
        <v>5598868.9900000002</v>
      </c>
      <c r="P86" s="87">
        <v>7376898.6899999995</v>
      </c>
      <c r="Q86" s="87">
        <v>6576898.6899999995</v>
      </c>
      <c r="R86" s="87">
        <v>15676898.689999999</v>
      </c>
      <c r="S86" s="112">
        <f t="shared" si="21"/>
        <v>94789892.310000002</v>
      </c>
      <c r="T86" s="464">
        <f t="shared" si="22"/>
        <v>1.6628638746403763</v>
      </c>
      <c r="V86" s="311"/>
    </row>
    <row r="87" spans="1:26">
      <c r="A87" s="116" t="str">
        <f t="shared" si="18"/>
        <v>7112p</v>
      </c>
      <c r="B87" s="587" t="str">
        <f>+VLOOKUP(LEFT($A87,LEN(A87)-1)*1,Master!$D$29:$G$228,4,FALSE)</f>
        <v>Porez na dobit pravnih lica</v>
      </c>
      <c r="C87" s="588"/>
      <c r="D87" s="588"/>
      <c r="E87" s="588"/>
      <c r="F87" s="588"/>
      <c r="G87" s="87">
        <v>395935.5</v>
      </c>
      <c r="H87" s="87">
        <v>2173083.29</v>
      </c>
      <c r="I87" s="87">
        <v>38679260.32</v>
      </c>
      <c r="J87" s="87">
        <v>28771681.68</v>
      </c>
      <c r="K87" s="87">
        <v>2149499.0699999998</v>
      </c>
      <c r="L87" s="87">
        <v>3024620.31</v>
      </c>
      <c r="M87" s="87">
        <v>1873254.93</v>
      </c>
      <c r="N87" s="87">
        <v>2349199.71</v>
      </c>
      <c r="O87" s="87">
        <v>2622669.34</v>
      </c>
      <c r="P87" s="87">
        <v>448381.46333333803</v>
      </c>
      <c r="Q87" s="87">
        <v>348381.46333333803</v>
      </c>
      <c r="R87" s="87">
        <v>1448381.463333338</v>
      </c>
      <c r="S87" s="112">
        <f t="shared" si="21"/>
        <v>84284348.540000007</v>
      </c>
      <c r="T87" s="464">
        <f t="shared" si="22"/>
        <v>1.4785690221738825</v>
      </c>
      <c r="V87" s="311"/>
    </row>
    <row r="88" spans="1:26">
      <c r="A88" s="116" t="str">
        <f t="shared" si="18"/>
        <v>7113p</v>
      </c>
      <c r="B88" s="587" t="str">
        <f>+VLOOKUP(LEFT($A88,LEN(A88)-1)*1,Master!$D$29:$G$228,4,FALSE)</f>
        <v>Porez na promet nepokretnosti</v>
      </c>
      <c r="C88" s="588"/>
      <c r="D88" s="588"/>
      <c r="E88" s="588"/>
      <c r="F88" s="588"/>
      <c r="G88" s="87">
        <v>146340.34</v>
      </c>
      <c r="H88" s="87">
        <v>168193.65</v>
      </c>
      <c r="I88" s="87">
        <v>233459.66</v>
      </c>
      <c r="J88" s="87">
        <v>245580.28</v>
      </c>
      <c r="K88" s="87">
        <v>189584.64000000001</v>
      </c>
      <c r="L88" s="87">
        <v>263126.03999999998</v>
      </c>
      <c r="M88" s="87">
        <v>180172.4</v>
      </c>
      <c r="N88" s="87">
        <v>55084.76</v>
      </c>
      <c r="O88" s="87">
        <v>0</v>
      </c>
      <c r="P88" s="87">
        <v>24.3</v>
      </c>
      <c r="Q88" s="87">
        <v>0</v>
      </c>
      <c r="R88" s="87">
        <v>0</v>
      </c>
      <c r="S88" s="112">
        <f t="shared" si="21"/>
        <v>1481566.07</v>
      </c>
      <c r="T88" s="464">
        <f t="shared" si="22"/>
        <v>2.5990563293803944E-2</v>
      </c>
      <c r="V88" s="311"/>
    </row>
    <row r="89" spans="1:26">
      <c r="A89" s="116" t="str">
        <f t="shared" si="18"/>
        <v>7114p</v>
      </c>
      <c r="B89" s="587" t="str">
        <f>+VLOOKUP(LEFT($A89,LEN(A89)-1)*1,Master!$D$29:$G$228,4,FALSE)</f>
        <v>Porez na dodatu vrijednost</v>
      </c>
      <c r="C89" s="588"/>
      <c r="D89" s="588"/>
      <c r="E89" s="588"/>
      <c r="F89" s="588"/>
      <c r="G89" s="87">
        <v>50270008.859999999</v>
      </c>
      <c r="H89" s="87">
        <v>54121445.460000001</v>
      </c>
      <c r="I89" s="87">
        <v>67019753.909999996</v>
      </c>
      <c r="J89" s="87">
        <v>73487462.640000001</v>
      </c>
      <c r="K89" s="87">
        <v>76474660.090000004</v>
      </c>
      <c r="L89" s="87">
        <v>79678383.590000004</v>
      </c>
      <c r="M89" s="87">
        <v>83883709.769999996</v>
      </c>
      <c r="N89" s="87">
        <v>95638013.599999994</v>
      </c>
      <c r="O89" s="87">
        <v>84609670.859999999</v>
      </c>
      <c r="P89" s="87">
        <v>49878315.989999972</v>
      </c>
      <c r="Q89" s="87">
        <v>44878315.990000002</v>
      </c>
      <c r="R89" s="87">
        <v>54878315.990000002</v>
      </c>
      <c r="S89" s="112">
        <f t="shared" si="21"/>
        <v>814818056.75000012</v>
      </c>
      <c r="T89" s="464">
        <f t="shared" si="22"/>
        <v>14.294050535927305</v>
      </c>
      <c r="V89" s="311"/>
    </row>
    <row r="90" spans="1:26">
      <c r="A90" s="116" t="str">
        <f t="shared" si="18"/>
        <v>7115p</v>
      </c>
      <c r="B90" s="587" t="str">
        <f>+VLOOKUP(LEFT($A90,LEN(A90)-1)*1,Master!$D$29:$G$228,4,FALSE)</f>
        <v>Akcize</v>
      </c>
      <c r="C90" s="588"/>
      <c r="D90" s="588"/>
      <c r="E90" s="588"/>
      <c r="F90" s="588"/>
      <c r="G90" s="87">
        <v>21096875.199999999</v>
      </c>
      <c r="H90" s="87">
        <v>16062530.34</v>
      </c>
      <c r="I90" s="87">
        <v>19528829.140000001</v>
      </c>
      <c r="J90" s="87">
        <v>19259652.579999998</v>
      </c>
      <c r="K90" s="87">
        <v>21309575.899999999</v>
      </c>
      <c r="L90" s="87">
        <v>20484664.210000001</v>
      </c>
      <c r="M90" s="87">
        <v>19630528.800000001</v>
      </c>
      <c r="N90" s="87">
        <v>27418018.539999999</v>
      </c>
      <c r="O90" s="87">
        <v>23606498.559999999</v>
      </c>
      <c r="P90" s="87">
        <v>23617898.436666675</v>
      </c>
      <c r="Q90" s="87">
        <v>23617898.436666675</v>
      </c>
      <c r="R90" s="87">
        <v>25317898.436666675</v>
      </c>
      <c r="S90" s="112">
        <f t="shared" si="21"/>
        <v>260950868.58000001</v>
      </c>
      <c r="T90" s="464">
        <f t="shared" si="22"/>
        <v>4.577764167075995</v>
      </c>
      <c r="V90" s="311"/>
      <c r="X90" s="257"/>
      <c r="Y90" s="257"/>
      <c r="Z90" s="257"/>
    </row>
    <row r="91" spans="1:26">
      <c r="A91" s="116" t="str">
        <f t="shared" si="18"/>
        <v>7116p</v>
      </c>
      <c r="B91" s="587" t="str">
        <f>+VLOOKUP(LEFT($A91,LEN(A91)-1)*1,Master!$D$29:$G$228,4,FALSE)</f>
        <v>Porez na međunarodnu trgovinu i transakcije</v>
      </c>
      <c r="C91" s="588"/>
      <c r="D91" s="588"/>
      <c r="E91" s="588"/>
      <c r="F91" s="588"/>
      <c r="G91" s="87">
        <v>1689510.83</v>
      </c>
      <c r="H91" s="87">
        <v>2149003.6</v>
      </c>
      <c r="I91" s="87">
        <v>3284454.25</v>
      </c>
      <c r="J91" s="87">
        <v>3111315.33</v>
      </c>
      <c r="K91" s="87">
        <v>3394780.34</v>
      </c>
      <c r="L91" s="87">
        <v>3720198.33</v>
      </c>
      <c r="M91" s="87">
        <v>3648629.78</v>
      </c>
      <c r="N91" s="87">
        <v>4253554.42</v>
      </c>
      <c r="O91" s="87">
        <v>3769936.82</v>
      </c>
      <c r="P91" s="87">
        <v>215355.98999999961</v>
      </c>
      <c r="Q91" s="87">
        <v>215355.98999999961</v>
      </c>
      <c r="R91" s="87">
        <v>215355.98999999961</v>
      </c>
      <c r="S91" s="112">
        <f t="shared" si="21"/>
        <v>29667451.669999998</v>
      </c>
      <c r="T91" s="464">
        <f t="shared" si="22"/>
        <v>0.52044508578345383</v>
      </c>
      <c r="V91" s="311"/>
    </row>
    <row r="92" spans="1:26">
      <c r="A92" s="116" t="str">
        <f t="shared" si="18"/>
        <v>7118p</v>
      </c>
      <c r="B92" s="587" t="str">
        <f>+VLOOKUP(LEFT($A92,LEN(A92)-1)*1,Master!$D$29:$G$228,4,FALSE)</f>
        <v>Ostali državni porezi</v>
      </c>
      <c r="C92" s="588"/>
      <c r="D92" s="588"/>
      <c r="E92" s="588"/>
      <c r="F92" s="588"/>
      <c r="G92" s="87">
        <v>821034.23</v>
      </c>
      <c r="H92" s="87">
        <v>868952.95</v>
      </c>
      <c r="I92" s="87">
        <v>953225.4</v>
      </c>
      <c r="J92" s="87">
        <v>1052043.6399999999</v>
      </c>
      <c r="K92" s="87">
        <v>936044.49</v>
      </c>
      <c r="L92" s="87">
        <v>1057933.1200000001</v>
      </c>
      <c r="M92" s="87">
        <v>1219008.31</v>
      </c>
      <c r="N92" s="87">
        <v>1147207.1299999999</v>
      </c>
      <c r="O92" s="87">
        <v>1053536.77</v>
      </c>
      <c r="P92" s="87">
        <v>932899.45666666597</v>
      </c>
      <c r="Q92" s="87">
        <v>932899.45666666597</v>
      </c>
      <c r="R92" s="87">
        <v>632899.45666666597</v>
      </c>
      <c r="S92" s="112">
        <f t="shared" si="21"/>
        <v>11607684.409999996</v>
      </c>
      <c r="T92" s="464">
        <f t="shared" si="22"/>
        <v>0.2036292963651673</v>
      </c>
      <c r="V92" s="311"/>
    </row>
    <row r="93" spans="1:26">
      <c r="A93" s="116" t="str">
        <f t="shared" si="18"/>
        <v>712p</v>
      </c>
      <c r="B93" s="597" t="str">
        <f>+VLOOKUP(LEFT($A93,LEN(A93)-1)*1,Master!$D$29:$G$228,4,FALSE)</f>
        <v>Doprinosi</v>
      </c>
      <c r="C93" s="598"/>
      <c r="D93" s="598"/>
      <c r="E93" s="598"/>
      <c r="F93" s="598"/>
      <c r="G93" s="81">
        <f>+SUM(G94:G97)</f>
        <v>11731802.159999998</v>
      </c>
      <c r="H93" s="81">
        <f t="shared" ref="H93:R93" si="23">+SUM(H94:H97)</f>
        <v>34984293.990000002</v>
      </c>
      <c r="I93" s="480">
        <f t="shared" si="23"/>
        <v>37056759.600000001</v>
      </c>
      <c r="J93" s="81">
        <f t="shared" si="23"/>
        <v>37592490.479999997</v>
      </c>
      <c r="K93" s="81">
        <f t="shared" si="23"/>
        <v>33463530.389999997</v>
      </c>
      <c r="L93" s="81">
        <f t="shared" si="23"/>
        <v>37796292.359999999</v>
      </c>
      <c r="M93" s="81">
        <f t="shared" si="23"/>
        <v>36710432.280000001</v>
      </c>
      <c r="N93" s="81">
        <f t="shared" si="23"/>
        <v>39015024.850000001</v>
      </c>
      <c r="O93" s="81">
        <f t="shared" si="23"/>
        <v>38998261.349999994</v>
      </c>
      <c r="P93" s="81">
        <f t="shared" si="23"/>
        <v>46105466.860000037</v>
      </c>
      <c r="Q93" s="81">
        <f t="shared" si="23"/>
        <v>45141802.740000039</v>
      </c>
      <c r="R93" s="82">
        <f t="shared" si="23"/>
        <v>79469130.979999989</v>
      </c>
      <c r="S93" s="113">
        <f t="shared" si="21"/>
        <v>478065288.03999996</v>
      </c>
      <c r="T93" s="465">
        <f t="shared" si="22"/>
        <v>8.3865217886464105</v>
      </c>
      <c r="V93" s="311"/>
    </row>
    <row r="94" spans="1:26">
      <c r="A94" s="116" t="str">
        <f t="shared" si="18"/>
        <v>7121p</v>
      </c>
      <c r="B94" s="587" t="str">
        <f>+VLOOKUP(LEFT($A94,LEN(A94)-1)*1,Master!$D$29:$G$228,4,FALSE)</f>
        <v>Doprinosi za penzijsko i invalidsko osiguranje</v>
      </c>
      <c r="C94" s="588"/>
      <c r="D94" s="588"/>
      <c r="E94" s="588"/>
      <c r="F94" s="588"/>
      <c r="G94" s="87">
        <v>7550452.8499999996</v>
      </c>
      <c r="H94" s="87">
        <v>24366605.109999999</v>
      </c>
      <c r="I94" s="87">
        <v>31891479.559999999</v>
      </c>
      <c r="J94" s="87">
        <v>32988975.75</v>
      </c>
      <c r="K94" s="87">
        <v>29598378.829999998</v>
      </c>
      <c r="L94" s="87">
        <v>33851315.109999999</v>
      </c>
      <c r="M94" s="87">
        <v>32996526.960000001</v>
      </c>
      <c r="N94" s="87">
        <v>35394821.75</v>
      </c>
      <c r="O94" s="87">
        <v>35762026.799999997</v>
      </c>
      <c r="P94" s="87">
        <v>41374533.736666702</v>
      </c>
      <c r="Q94" s="87">
        <v>40410869.616666704</v>
      </c>
      <c r="R94" s="87">
        <v>72638197.856666654</v>
      </c>
      <c r="S94" s="112">
        <f t="shared" si="21"/>
        <v>418824183.93000007</v>
      </c>
      <c r="T94" s="464">
        <f t="shared" si="22"/>
        <v>7.3472771021331846</v>
      </c>
      <c r="V94" s="311"/>
      <c r="W94" s="311"/>
    </row>
    <row r="95" spans="1:26">
      <c r="A95" s="116" t="str">
        <f t="shared" si="18"/>
        <v>7122p</v>
      </c>
      <c r="B95" s="587" t="str">
        <f>+VLOOKUP(LEFT($A95,LEN(A95)-1)*1,Master!$D$29:$G$228,4,FALSE)</f>
        <v>Doprinosi za zdravstveno osiguranje</v>
      </c>
      <c r="C95" s="588"/>
      <c r="D95" s="588"/>
      <c r="E95" s="588"/>
      <c r="F95" s="588"/>
      <c r="G95" s="87">
        <v>3618221.62</v>
      </c>
      <c r="H95" s="87">
        <v>8815681.4700000007</v>
      </c>
      <c r="I95" s="87">
        <v>2582574.44</v>
      </c>
      <c r="J95" s="87">
        <v>1899377.01</v>
      </c>
      <c r="K95" s="87">
        <v>1480944.7</v>
      </c>
      <c r="L95" s="87">
        <v>1150315.93</v>
      </c>
      <c r="M95" s="87">
        <v>951006.28</v>
      </c>
      <c r="N95" s="87">
        <v>823067.88</v>
      </c>
      <c r="O95" s="87">
        <v>668162.97</v>
      </c>
      <c r="P95" s="87">
        <v>162054.15333333486</v>
      </c>
      <c r="Q95" s="87">
        <v>162054.15333333501</v>
      </c>
      <c r="R95" s="87">
        <v>162054.15333333486</v>
      </c>
      <c r="S95" s="112">
        <f t="shared" si="21"/>
        <v>22475514.760000005</v>
      </c>
      <c r="T95" s="464">
        <f t="shared" si="22"/>
        <v>0.39427960774682491</v>
      </c>
      <c r="V95" s="311"/>
    </row>
    <row r="96" spans="1:26">
      <c r="A96" s="116" t="str">
        <f t="shared" si="18"/>
        <v>7123p</v>
      </c>
      <c r="B96" s="587" t="str">
        <f>+VLOOKUP(LEFT($A96,LEN(A96)-1)*1,Master!$D$29:$G$228,4,FALSE)</f>
        <v>Doprinosi za osiguranje od nezaposlenosti</v>
      </c>
      <c r="C96" s="588"/>
      <c r="D96" s="588"/>
      <c r="E96" s="588"/>
      <c r="F96" s="588"/>
      <c r="G96" s="87">
        <v>333527.59999999998</v>
      </c>
      <c r="H96" s="87">
        <v>1107968.99</v>
      </c>
      <c r="I96" s="87">
        <v>1459655.88</v>
      </c>
      <c r="J96" s="87">
        <v>1501790.24</v>
      </c>
      <c r="K96" s="87">
        <v>1379492.12</v>
      </c>
      <c r="L96" s="87">
        <v>1561408.27</v>
      </c>
      <c r="M96" s="87">
        <v>1571588.31</v>
      </c>
      <c r="N96" s="87">
        <v>1597593.61</v>
      </c>
      <c r="O96" s="87">
        <v>1507262.14</v>
      </c>
      <c r="P96" s="87">
        <v>2577754.3266666699</v>
      </c>
      <c r="Q96" s="87">
        <v>2677754.3266666699</v>
      </c>
      <c r="R96" s="87">
        <v>3377754.3266666699</v>
      </c>
      <c r="S96" s="112">
        <f t="shared" si="21"/>
        <v>20653550.140000008</v>
      </c>
      <c r="T96" s="464">
        <f t="shared" si="22"/>
        <v>0.36231755911865848</v>
      </c>
      <c r="V96" s="311"/>
    </row>
    <row r="97" spans="1:23">
      <c r="A97" s="116" t="str">
        <f t="shared" si="18"/>
        <v>7124p</v>
      </c>
      <c r="B97" s="587" t="str">
        <f>+VLOOKUP(LEFT($A97,LEN(A97)-1)*1,Master!$D$29:$G$228,4,FALSE)</f>
        <v>Ostali doprinosi</v>
      </c>
      <c r="C97" s="588"/>
      <c r="D97" s="588"/>
      <c r="E97" s="588"/>
      <c r="F97" s="588"/>
      <c r="G97" s="87">
        <v>229600.09</v>
      </c>
      <c r="H97" s="87">
        <v>694038.42</v>
      </c>
      <c r="I97" s="87">
        <v>1123049.72</v>
      </c>
      <c r="J97" s="87">
        <v>1202347.48</v>
      </c>
      <c r="K97" s="87">
        <v>1004714.74</v>
      </c>
      <c r="L97" s="87">
        <v>1233253.05</v>
      </c>
      <c r="M97" s="87">
        <v>1191310.73</v>
      </c>
      <c r="N97" s="87">
        <v>1199541.6100000001</v>
      </c>
      <c r="O97" s="87">
        <v>1060809.44</v>
      </c>
      <c r="P97" s="87">
        <v>1991124.6433333298</v>
      </c>
      <c r="Q97" s="87">
        <v>1891124.6433333298</v>
      </c>
      <c r="R97" s="87">
        <v>3291124.6433333298</v>
      </c>
      <c r="S97" s="112">
        <f t="shared" si="21"/>
        <v>16112039.209999993</v>
      </c>
      <c r="T97" s="464">
        <f t="shared" si="22"/>
        <v>0.28264751964774393</v>
      </c>
      <c r="V97" s="311"/>
    </row>
    <row r="98" spans="1:23">
      <c r="A98" s="116" t="str">
        <f t="shared" si="18"/>
        <v>713p</v>
      </c>
      <c r="B98" s="597" t="str">
        <f>+VLOOKUP(LEFT($A98,LEN(A98)-1)*1,Master!$D$29:$G$228,4,FALSE)</f>
        <v>Takse</v>
      </c>
      <c r="C98" s="598"/>
      <c r="D98" s="598"/>
      <c r="E98" s="598"/>
      <c r="F98" s="598"/>
      <c r="G98" s="83">
        <v>635258.53</v>
      </c>
      <c r="H98" s="83">
        <v>808672.01</v>
      </c>
      <c r="I98" s="83">
        <v>976895.25</v>
      </c>
      <c r="J98" s="83">
        <v>1014885.9700000001</v>
      </c>
      <c r="K98" s="83">
        <v>989967.5199999999</v>
      </c>
      <c r="L98" s="83">
        <v>1292686.0099999998</v>
      </c>
      <c r="M98" s="83">
        <v>1450241.7799999998</v>
      </c>
      <c r="N98" s="83">
        <v>1794328.3</v>
      </c>
      <c r="O98" s="83">
        <v>1183872.1599999999</v>
      </c>
      <c r="P98" s="83">
        <v>1076581.8733333331</v>
      </c>
      <c r="Q98" s="83">
        <v>876581.87333333003</v>
      </c>
      <c r="R98" s="83">
        <v>1276581.87333333</v>
      </c>
      <c r="S98" s="113">
        <f t="shared" si="21"/>
        <v>13376553.149999993</v>
      </c>
      <c r="T98" s="465">
        <f t="shared" si="22"/>
        <v>0.23465990369096892</v>
      </c>
      <c r="V98" s="311"/>
    </row>
    <row r="99" spans="1:23">
      <c r="A99" s="116" t="str">
        <f t="shared" si="18"/>
        <v>714p</v>
      </c>
      <c r="B99" s="597" t="str">
        <f>+VLOOKUP(LEFT($A99,LEN(A99)-1)*1,Master!$D$29:$G$228,4,FALSE)</f>
        <v>Naknade</v>
      </c>
      <c r="C99" s="598"/>
      <c r="D99" s="598"/>
      <c r="E99" s="598"/>
      <c r="F99" s="598"/>
      <c r="G99" s="83">
        <v>12538803.32</v>
      </c>
      <c r="H99" s="83">
        <v>2358745.7999999998</v>
      </c>
      <c r="I99" s="83">
        <v>2432089.7200000002</v>
      </c>
      <c r="J99" s="83">
        <v>3083781.29</v>
      </c>
      <c r="K99" s="83">
        <v>2678608.52</v>
      </c>
      <c r="L99" s="83">
        <v>4570368.01</v>
      </c>
      <c r="M99" s="83">
        <v>3736951.12</v>
      </c>
      <c r="N99" s="83">
        <v>3318573.4699999997</v>
      </c>
      <c r="O99" s="83">
        <v>9160845.5500000007</v>
      </c>
      <c r="P99" s="83">
        <v>3515025.5066666701</v>
      </c>
      <c r="Q99" s="83">
        <v>3115025.5066666701</v>
      </c>
      <c r="R99" s="83">
        <v>4215025.5066666696</v>
      </c>
      <c r="S99" s="113">
        <f t="shared" si="21"/>
        <v>54723843.32</v>
      </c>
      <c r="T99" s="465">
        <f t="shared" si="22"/>
        <v>0.96000005824152701</v>
      </c>
      <c r="V99" s="311"/>
    </row>
    <row r="100" spans="1:23">
      <c r="A100" s="116" t="str">
        <f t="shared" si="18"/>
        <v>715p</v>
      </c>
      <c r="B100" s="597" t="str">
        <f>+VLOOKUP(LEFT($A100,LEN(A100)-1)*1,Master!$D$29:$G$228,4,FALSE)</f>
        <v>Ostali prihodi</v>
      </c>
      <c r="C100" s="598"/>
      <c r="D100" s="598"/>
      <c r="E100" s="598"/>
      <c r="F100" s="598"/>
      <c r="G100" s="83">
        <v>1280630.6100000001</v>
      </c>
      <c r="H100" s="83">
        <v>1589565.7</v>
      </c>
      <c r="I100" s="83">
        <v>1733963.47</v>
      </c>
      <c r="J100" s="83">
        <v>3432683.27</v>
      </c>
      <c r="K100" s="83">
        <v>3422423.95</v>
      </c>
      <c r="L100" s="83">
        <v>2748963.77</v>
      </c>
      <c r="M100" s="83">
        <v>3152431.28</v>
      </c>
      <c r="N100" s="83">
        <v>3601917.47</v>
      </c>
      <c r="O100" s="83">
        <v>2166236.2000000002</v>
      </c>
      <c r="P100" s="83">
        <v>2305486.89</v>
      </c>
      <c r="Q100" s="83">
        <v>2005486.8900000001</v>
      </c>
      <c r="R100" s="83">
        <v>3205486.89</v>
      </c>
      <c r="S100" s="113">
        <f t="shared" si="21"/>
        <v>30645276.390000001</v>
      </c>
      <c r="T100" s="465">
        <f t="shared" si="22"/>
        <v>0.53759870167005819</v>
      </c>
      <c r="V100" s="311"/>
    </row>
    <row r="101" spans="1:23">
      <c r="A101" s="116" t="str">
        <f t="shared" si="18"/>
        <v>73p</v>
      </c>
      <c r="B101" s="597" t="str">
        <f>+VLOOKUP(LEFT($A101,LEN(A101)-1)*1,Master!$D$29:$G$228,4,FALSE)</f>
        <v>Primici od otplate kredita i sredstva prenesena iz prethodne godine</v>
      </c>
      <c r="C101" s="598"/>
      <c r="D101" s="598"/>
      <c r="E101" s="598"/>
      <c r="F101" s="598"/>
      <c r="G101" s="83">
        <v>124509.95</v>
      </c>
      <c r="H101" s="83">
        <v>574574.73</v>
      </c>
      <c r="I101" s="83">
        <v>672855.19</v>
      </c>
      <c r="J101" s="83">
        <v>750452.36</v>
      </c>
      <c r="K101" s="83">
        <v>894295.88</v>
      </c>
      <c r="L101" s="83">
        <v>3753999.56</v>
      </c>
      <c r="M101" s="83">
        <v>308101.69</v>
      </c>
      <c r="N101" s="83">
        <v>1524959.660000002</v>
      </c>
      <c r="O101" s="83">
        <v>1144155.6099999999</v>
      </c>
      <c r="P101" s="83">
        <v>0</v>
      </c>
      <c r="Q101" s="83">
        <v>0</v>
      </c>
      <c r="R101" s="83">
        <v>0</v>
      </c>
      <c r="S101" s="113">
        <f t="shared" si="21"/>
        <v>9747904.6300000027</v>
      </c>
      <c r="T101" s="465">
        <f t="shared" si="22"/>
        <v>0.17100387043014531</v>
      </c>
      <c r="V101" s="311"/>
      <c r="W101" s="311"/>
    </row>
    <row r="102" spans="1:23" ht="13.5" thickBot="1">
      <c r="A102" s="116" t="str">
        <f t="shared" si="18"/>
        <v>74p</v>
      </c>
      <c r="B102" s="599" t="str">
        <f>+VLOOKUP(LEFT($A102,LEN(A102)-1)*1,Master!$D$29:$G$228,4,FALSE)</f>
        <v>Donacije i transferi</v>
      </c>
      <c r="C102" s="600"/>
      <c r="D102" s="600"/>
      <c r="E102" s="600"/>
      <c r="F102" s="600"/>
      <c r="G102" s="83">
        <v>944706.6</v>
      </c>
      <c r="H102" s="83">
        <v>1117937.32</v>
      </c>
      <c r="I102" s="83">
        <v>4945090.66</v>
      </c>
      <c r="J102" s="83">
        <v>2104525.41</v>
      </c>
      <c r="K102" s="83">
        <v>651019.71</v>
      </c>
      <c r="L102" s="83">
        <v>3347743.2</v>
      </c>
      <c r="M102" s="83">
        <v>1853223.08</v>
      </c>
      <c r="N102" s="83">
        <v>6896634.3600000003</v>
      </c>
      <c r="O102" s="83">
        <v>1689253.82</v>
      </c>
      <c r="P102" s="83">
        <v>4972757.6133333296</v>
      </c>
      <c r="Q102" s="83">
        <v>8572757.6133333296</v>
      </c>
      <c r="R102" s="83">
        <v>9772757.6133333296</v>
      </c>
      <c r="S102" s="114">
        <f t="shared" si="21"/>
        <v>46868406.999999985</v>
      </c>
      <c r="T102" s="466">
        <f t="shared" si="22"/>
        <v>0.82219505648726388</v>
      </c>
      <c r="V102" s="311"/>
    </row>
    <row r="103" spans="1:23" ht="13.5" thickBot="1">
      <c r="A103" s="116" t="str">
        <f t="shared" si="18"/>
        <v>4p</v>
      </c>
      <c r="B103" s="583" t="str">
        <f>+VLOOKUP(LEFT($A103,LEN(A103)-1)*1,Master!$D$29:$G$228,4,FALSE)</f>
        <v>Izdaci budžeta</v>
      </c>
      <c r="C103" s="584"/>
      <c r="D103" s="584"/>
      <c r="E103" s="584"/>
      <c r="F103" s="584"/>
      <c r="G103" s="93">
        <f t="shared" ref="G103:R103" si="24">+G104+G114+G120+SUM(G121:G125)</f>
        <v>135523250.91000003</v>
      </c>
      <c r="H103" s="93">
        <f t="shared" si="24"/>
        <v>150834089.17000002</v>
      </c>
      <c r="I103" s="93">
        <f t="shared" si="24"/>
        <v>152224116.23999998</v>
      </c>
      <c r="J103" s="93">
        <f t="shared" si="24"/>
        <v>202240908.68999994</v>
      </c>
      <c r="K103" s="93">
        <f t="shared" si="24"/>
        <v>146275241.75</v>
      </c>
      <c r="L103" s="93">
        <f t="shared" si="24"/>
        <v>179868475.11000001</v>
      </c>
      <c r="M103" s="93">
        <f t="shared" si="24"/>
        <v>178564947.84</v>
      </c>
      <c r="N103" s="93">
        <f t="shared" si="24"/>
        <v>147040975.11000001</v>
      </c>
      <c r="O103" s="93">
        <f t="shared" si="24"/>
        <v>202134465.49000001</v>
      </c>
      <c r="P103" s="93">
        <f t="shared" si="24"/>
        <v>289006911.81666666</v>
      </c>
      <c r="Q103" s="93">
        <f t="shared" si="24"/>
        <v>289006911.81666666</v>
      </c>
      <c r="R103" s="93">
        <f t="shared" si="24"/>
        <v>311543750.08666664</v>
      </c>
      <c r="S103" s="451">
        <f>+SUM(G103:R103)</f>
        <v>2384264044.0300002</v>
      </c>
      <c r="T103" s="478">
        <f t="shared" si="22"/>
        <v>41.826258578871659</v>
      </c>
      <c r="V103" s="291"/>
    </row>
    <row r="104" spans="1:23">
      <c r="A104" s="116" t="str">
        <f t="shared" si="18"/>
        <v>41p</v>
      </c>
      <c r="B104" s="601" t="str">
        <f>+VLOOKUP(LEFT($A104,LEN(A104)-1)*1,Master!$D$29:$G$228,4,FALSE)</f>
        <v>Tekući izdaci</v>
      </c>
      <c r="C104" s="602"/>
      <c r="D104" s="602"/>
      <c r="E104" s="602"/>
      <c r="F104" s="602"/>
      <c r="G104" s="85">
        <f t="shared" ref="G104:R104" si="25">+SUM(G105:G113)</f>
        <v>50898622.75</v>
      </c>
      <c r="H104" s="85">
        <f t="shared" si="25"/>
        <v>61674016.410000004</v>
      </c>
      <c r="I104" s="85">
        <f t="shared" si="25"/>
        <v>59813922.179999992</v>
      </c>
      <c r="J104" s="85">
        <f t="shared" si="25"/>
        <v>96816184.329999983</v>
      </c>
      <c r="K104" s="85">
        <f t="shared" si="25"/>
        <v>58712954.390000008</v>
      </c>
      <c r="L104" s="85">
        <f t="shared" si="25"/>
        <v>71887625.940000013</v>
      </c>
      <c r="M104" s="85">
        <f t="shared" si="25"/>
        <v>67839356.109999999</v>
      </c>
      <c r="N104" s="85">
        <f t="shared" si="25"/>
        <v>64016075.760000005</v>
      </c>
      <c r="O104" s="85">
        <f t="shared" si="25"/>
        <v>80374470.550000012</v>
      </c>
      <c r="P104" s="85">
        <f t="shared" si="25"/>
        <v>107720251.61000003</v>
      </c>
      <c r="Q104" s="85">
        <f t="shared" si="25"/>
        <v>107720251.61000003</v>
      </c>
      <c r="R104" s="86">
        <f t="shared" si="25"/>
        <v>130257088.88000003</v>
      </c>
      <c r="S104" s="111">
        <f t="shared" si="21"/>
        <v>957730820.51999998</v>
      </c>
      <c r="T104" s="463">
        <f t="shared" si="22"/>
        <v>16.801116071152901</v>
      </c>
      <c r="V104" s="291"/>
      <c r="W104" s="291"/>
    </row>
    <row r="105" spans="1:23">
      <c r="A105" s="116" t="str">
        <f t="shared" si="18"/>
        <v>411p</v>
      </c>
      <c r="B105" s="587" t="str">
        <f>+VLOOKUP(LEFT($A105,LEN(A105)-1)*1,Master!$D$29:$G$228,4,FALSE)</f>
        <v>Bruto zarade i doprinosi na teret poslodavca</v>
      </c>
      <c r="C105" s="588"/>
      <c r="D105" s="588"/>
      <c r="E105" s="588"/>
      <c r="F105" s="588"/>
      <c r="G105" s="87">
        <v>44240125.009999998</v>
      </c>
      <c r="H105" s="87">
        <v>44550830.43</v>
      </c>
      <c r="I105" s="87">
        <v>40375934.009999998</v>
      </c>
      <c r="J105" s="87">
        <v>46977114.019999973</v>
      </c>
      <c r="K105" s="87">
        <v>41754372.079999998</v>
      </c>
      <c r="L105" s="87">
        <v>47101871.300000019</v>
      </c>
      <c r="M105" s="87">
        <v>44920963.490000002</v>
      </c>
      <c r="N105" s="87">
        <v>43889720.369999997</v>
      </c>
      <c r="O105" s="87">
        <v>44535467.409999996</v>
      </c>
      <c r="P105" s="87">
        <v>53967463.813333347</v>
      </c>
      <c r="Q105" s="87">
        <v>53967463.813333347</v>
      </c>
      <c r="R105" s="87">
        <v>53967463.813333347</v>
      </c>
      <c r="S105" s="112">
        <f t="shared" si="21"/>
        <v>560248789.56000006</v>
      </c>
      <c r="T105" s="464">
        <f t="shared" si="22"/>
        <v>9.828236431829346</v>
      </c>
      <c r="V105" s="311"/>
    </row>
    <row r="106" spans="1:23">
      <c r="A106" s="116" t="str">
        <f t="shared" si="18"/>
        <v>412p</v>
      </c>
      <c r="B106" s="587" t="str">
        <f>+VLOOKUP(LEFT($A106,LEN(A106)-1)*1,Master!$D$29:$G$228,4,FALSE)</f>
        <v>Ostala lična primanja</v>
      </c>
      <c r="C106" s="588"/>
      <c r="D106" s="588"/>
      <c r="E106" s="588"/>
      <c r="F106" s="588"/>
      <c r="G106" s="87">
        <v>137001.32999999999</v>
      </c>
      <c r="H106" s="87">
        <v>1212395.8600000001</v>
      </c>
      <c r="I106" s="87">
        <v>946225.55</v>
      </c>
      <c r="J106" s="87">
        <v>1448549.91</v>
      </c>
      <c r="K106" s="87">
        <v>1078145.3399999999</v>
      </c>
      <c r="L106" s="87">
        <v>2203226.2300000004</v>
      </c>
      <c r="M106" s="87">
        <v>1651284.02</v>
      </c>
      <c r="N106" s="87">
        <v>1322412.92</v>
      </c>
      <c r="O106" s="87">
        <v>1530315.4199999992</v>
      </c>
      <c r="P106" s="87">
        <v>2596726.726666667</v>
      </c>
      <c r="Q106" s="87">
        <v>2596726.726666667</v>
      </c>
      <c r="R106" s="87">
        <v>2586888.726666667</v>
      </c>
      <c r="S106" s="112">
        <f t="shared" si="21"/>
        <v>19309898.760000002</v>
      </c>
      <c r="T106" s="464">
        <f t="shared" si="22"/>
        <v>0.33874638200828017</v>
      </c>
      <c r="V106" s="311"/>
    </row>
    <row r="107" spans="1:23">
      <c r="A107" s="116" t="str">
        <f t="shared" si="18"/>
        <v>413p</v>
      </c>
      <c r="B107" s="587" t="str">
        <f>+VLOOKUP(LEFT($A107,LEN(A107)-1)*1,Master!$D$29:$G$228,4,FALSE)</f>
        <v>Rashodi za materijal</v>
      </c>
      <c r="C107" s="588"/>
      <c r="D107" s="588"/>
      <c r="E107" s="588"/>
      <c r="F107" s="588"/>
      <c r="G107" s="87">
        <v>140825.03</v>
      </c>
      <c r="H107" s="87">
        <v>3489117.82</v>
      </c>
      <c r="I107" s="87">
        <v>2628375.67</v>
      </c>
      <c r="J107" s="87">
        <v>2038640.9</v>
      </c>
      <c r="K107" s="87">
        <v>1012773.5900000001</v>
      </c>
      <c r="L107" s="87">
        <v>4898255.55</v>
      </c>
      <c r="M107" s="87">
        <v>2338020.8000000012</v>
      </c>
      <c r="N107" s="87">
        <v>4632464.3099999996</v>
      </c>
      <c r="O107" s="87">
        <v>2320647.6999999997</v>
      </c>
      <c r="P107" s="87">
        <v>8236382.3600000003</v>
      </c>
      <c r="Q107" s="87">
        <v>8236382.3600000003</v>
      </c>
      <c r="R107" s="87">
        <v>8210640.7600000063</v>
      </c>
      <c r="S107" s="112">
        <f t="shared" si="21"/>
        <v>48182526.850000001</v>
      </c>
      <c r="T107" s="464">
        <f t="shared" si="22"/>
        <v>0.84524817293523258</v>
      </c>
      <c r="V107" s="311"/>
    </row>
    <row r="108" spans="1:23">
      <c r="A108" s="116" t="str">
        <f t="shared" si="18"/>
        <v>414p</v>
      </c>
      <c r="B108" s="587" t="str">
        <f>+VLOOKUP(LEFT($A108,LEN(A108)-1)*1,Master!$D$29:$G$228,4,FALSE)</f>
        <v>Rashodi za usluge</v>
      </c>
      <c r="C108" s="588"/>
      <c r="D108" s="588"/>
      <c r="E108" s="588"/>
      <c r="F108" s="588"/>
      <c r="G108" s="87">
        <v>1088181.68</v>
      </c>
      <c r="H108" s="87">
        <v>2912682.95</v>
      </c>
      <c r="I108" s="87">
        <v>4471137.08</v>
      </c>
      <c r="J108" s="87">
        <v>6152655.29</v>
      </c>
      <c r="K108" s="87">
        <v>2627348.3200000003</v>
      </c>
      <c r="L108" s="87">
        <v>5667722.6900000004</v>
      </c>
      <c r="M108" s="87">
        <v>3971417.36</v>
      </c>
      <c r="N108" s="87">
        <v>4243743.3099999996</v>
      </c>
      <c r="O108" s="87">
        <v>4864024.1500000004</v>
      </c>
      <c r="P108" s="87">
        <v>10058637.546666674</v>
      </c>
      <c r="Q108" s="87">
        <v>10058637.546666674</v>
      </c>
      <c r="R108" s="87">
        <v>10058637.546666674</v>
      </c>
      <c r="S108" s="112">
        <f t="shared" si="21"/>
        <v>66174825.470000021</v>
      </c>
      <c r="T108" s="464">
        <f t="shared" si="22"/>
        <v>1.1608803850606979</v>
      </c>
      <c r="V108" s="311"/>
    </row>
    <row r="109" spans="1:23">
      <c r="A109" s="116" t="str">
        <f t="shared" si="18"/>
        <v>415p</v>
      </c>
      <c r="B109" s="587" t="str">
        <f>+VLOOKUP(LEFT($A109,LEN(A109)-1)*1,Master!$D$29:$G$228,4,FALSE)</f>
        <v>Rashodi za tekuće održavanje</v>
      </c>
      <c r="C109" s="588"/>
      <c r="D109" s="588"/>
      <c r="E109" s="588"/>
      <c r="F109" s="588"/>
      <c r="G109" s="87">
        <v>51153.02</v>
      </c>
      <c r="H109" s="87">
        <v>1786959.03</v>
      </c>
      <c r="I109" s="87">
        <v>1812618.69</v>
      </c>
      <c r="J109" s="87">
        <v>1718005.5900000003</v>
      </c>
      <c r="K109" s="87">
        <v>1522624.21</v>
      </c>
      <c r="L109" s="87">
        <v>1758456.5100000002</v>
      </c>
      <c r="M109" s="87">
        <v>1898548.19</v>
      </c>
      <c r="N109" s="87">
        <v>1129451.4900000002</v>
      </c>
      <c r="O109" s="87">
        <v>2940859.11</v>
      </c>
      <c r="P109" s="87">
        <v>4461159.9499999993</v>
      </c>
      <c r="Q109" s="87">
        <v>4461159.9499999993</v>
      </c>
      <c r="R109" s="87">
        <v>4461159.9499999993</v>
      </c>
      <c r="S109" s="112">
        <f t="shared" si="21"/>
        <v>28002155.689999998</v>
      </c>
      <c r="T109" s="464">
        <f t="shared" si="22"/>
        <v>0.49123141691811095</v>
      </c>
      <c r="V109" s="311"/>
    </row>
    <row r="110" spans="1:23">
      <c r="A110" s="116" t="str">
        <f t="shared" si="18"/>
        <v>416p</v>
      </c>
      <c r="B110" s="587" t="str">
        <f>+VLOOKUP(LEFT($A110,LEN(A110)-1)*1,Master!$D$29:$G$228,4,FALSE)</f>
        <v>Kamate</v>
      </c>
      <c r="C110" s="588"/>
      <c r="D110" s="588"/>
      <c r="E110" s="588"/>
      <c r="F110" s="588"/>
      <c r="G110" s="87">
        <v>3854762.25</v>
      </c>
      <c r="H110" s="87">
        <v>1270344.19</v>
      </c>
      <c r="I110" s="87">
        <v>949082.56</v>
      </c>
      <c r="J110" s="87">
        <v>27195621.07</v>
      </c>
      <c r="K110" s="87">
        <v>4588473.78</v>
      </c>
      <c r="L110" s="87">
        <v>1216799.03</v>
      </c>
      <c r="M110" s="87">
        <v>3784062.82</v>
      </c>
      <c r="N110" s="87">
        <v>1331665.0299999998</v>
      </c>
      <c r="O110" s="87">
        <v>13564532.83</v>
      </c>
      <c r="P110" s="87">
        <v>4036426.7599999993</v>
      </c>
      <c r="Q110" s="87">
        <v>4036426.7599999993</v>
      </c>
      <c r="R110" s="87">
        <v>26608843.629999999</v>
      </c>
      <c r="S110" s="112">
        <f t="shared" si="21"/>
        <v>92437040.709999993</v>
      </c>
      <c r="T110" s="464">
        <f t="shared" si="22"/>
        <v>1.6215886729001472</v>
      </c>
      <c r="V110" s="311"/>
    </row>
    <row r="111" spans="1:23">
      <c r="A111" s="116" t="str">
        <f t="shared" si="18"/>
        <v>417p</v>
      </c>
      <c r="B111" s="587" t="str">
        <f>+VLOOKUP(LEFT($A111,LEN(A111)-1)*1,Master!$D$29:$G$228,4,FALSE)</f>
        <v>Renta</v>
      </c>
      <c r="C111" s="588"/>
      <c r="D111" s="588"/>
      <c r="E111" s="588"/>
      <c r="F111" s="588"/>
      <c r="G111" s="87">
        <v>222069.04</v>
      </c>
      <c r="H111" s="87">
        <v>743329.49</v>
      </c>
      <c r="I111" s="87">
        <v>821318.4</v>
      </c>
      <c r="J111" s="87">
        <v>1247632.42</v>
      </c>
      <c r="K111" s="87">
        <v>498993.7</v>
      </c>
      <c r="L111" s="87">
        <v>995508.2</v>
      </c>
      <c r="M111" s="87">
        <v>1038790.1100000001</v>
      </c>
      <c r="N111" s="87">
        <v>884250.45000000007</v>
      </c>
      <c r="O111" s="87">
        <v>1095625.8400000003</v>
      </c>
      <c r="P111" s="87">
        <v>1375364.1133333328</v>
      </c>
      <c r="Q111" s="87">
        <v>1375364.1133333328</v>
      </c>
      <c r="R111" s="87">
        <v>1375364.1133333328</v>
      </c>
      <c r="S111" s="112">
        <f t="shared" si="21"/>
        <v>11673609.99</v>
      </c>
      <c r="T111" s="464">
        <f t="shared" si="22"/>
        <v>0.20478580432952073</v>
      </c>
      <c r="V111" s="311"/>
    </row>
    <row r="112" spans="1:23">
      <c r="A112" s="116" t="str">
        <f t="shared" si="18"/>
        <v>418p</v>
      </c>
      <c r="B112" s="587" t="str">
        <f>+VLOOKUP(LEFT($A112,LEN(A112)-1)*1,Master!$D$29:$G$228,4,FALSE)</f>
        <v>Subvencije</v>
      </c>
      <c r="C112" s="588"/>
      <c r="D112" s="588"/>
      <c r="E112" s="588"/>
      <c r="F112" s="588"/>
      <c r="G112" s="87">
        <v>511006.04</v>
      </c>
      <c r="H112" s="87">
        <v>2686343.5</v>
      </c>
      <c r="I112" s="87">
        <v>4730535.5999999996</v>
      </c>
      <c r="J112" s="87">
        <v>6972651.8400000008</v>
      </c>
      <c r="K112" s="87">
        <v>2647649.44</v>
      </c>
      <c r="L112" s="87">
        <v>3319529.0100000002</v>
      </c>
      <c r="M112" s="87">
        <v>3592301.72</v>
      </c>
      <c r="N112" s="87">
        <v>3747108.6899999995</v>
      </c>
      <c r="O112" s="87">
        <v>6868760.4699999997</v>
      </c>
      <c r="P112" s="87">
        <v>10584907.556666669</v>
      </c>
      <c r="Q112" s="87">
        <v>10584907.556666669</v>
      </c>
      <c r="R112" s="87">
        <v>10584907.556666669</v>
      </c>
      <c r="S112" s="112">
        <f t="shared" si="21"/>
        <v>66830608.980000019</v>
      </c>
      <c r="T112" s="464">
        <f t="shared" si="22"/>
        <v>1.1723845516104137</v>
      </c>
      <c r="V112" s="311"/>
    </row>
    <row r="113" spans="1:22">
      <c r="A113" s="116" t="str">
        <f t="shared" si="18"/>
        <v>419p</v>
      </c>
      <c r="B113" s="587" t="str">
        <f>+VLOOKUP(LEFT($A113,LEN(A113)-1)*1,Master!$D$29:$G$228,4,FALSE)</f>
        <v>Ostali izdaci</v>
      </c>
      <c r="C113" s="588"/>
      <c r="D113" s="588"/>
      <c r="E113" s="588"/>
      <c r="F113" s="588"/>
      <c r="G113" s="87">
        <v>653499.35</v>
      </c>
      <c r="H113" s="87">
        <v>3022013.14</v>
      </c>
      <c r="I113" s="87">
        <v>3078694.62</v>
      </c>
      <c r="J113" s="87">
        <v>3065313.290000001</v>
      </c>
      <c r="K113" s="87">
        <v>2982573.9299999988</v>
      </c>
      <c r="L113" s="87">
        <v>4726257.419999999</v>
      </c>
      <c r="M113" s="87">
        <v>4643967.5999999996</v>
      </c>
      <c r="N113" s="87">
        <v>2835259.1899999995</v>
      </c>
      <c r="O113" s="87">
        <v>2654237.6199999996</v>
      </c>
      <c r="P113" s="87">
        <v>12403182.783333331</v>
      </c>
      <c r="Q113" s="87">
        <v>12403182.783333331</v>
      </c>
      <c r="R113" s="87">
        <v>12403182.783333331</v>
      </c>
      <c r="S113" s="112">
        <f t="shared" si="21"/>
        <v>64871364.50999999</v>
      </c>
      <c r="T113" s="464">
        <f t="shared" si="22"/>
        <v>1.1380142535611533</v>
      </c>
      <c r="V113" s="311"/>
    </row>
    <row r="114" spans="1:22">
      <c r="A114" s="116" t="str">
        <f t="shared" si="18"/>
        <v>42p</v>
      </c>
      <c r="B114" s="607" t="str">
        <f>+VLOOKUP(LEFT($A114,LEN(A114)-1)*1,Master!$D$29:$G$228,4,FALSE)</f>
        <v>Transferi za socijalnu zaštitu</v>
      </c>
      <c r="C114" s="608"/>
      <c r="D114" s="608"/>
      <c r="E114" s="608"/>
      <c r="F114" s="608"/>
      <c r="G114" s="84">
        <f t="shared" ref="G114:R114" si="26">+SUM(G115:G119)</f>
        <v>43461857.619999997</v>
      </c>
      <c r="H114" s="84">
        <f t="shared" si="26"/>
        <v>49030666.979999997</v>
      </c>
      <c r="I114" s="84">
        <f t="shared" si="26"/>
        <v>50283198.670000002</v>
      </c>
      <c r="J114" s="84">
        <f t="shared" si="26"/>
        <v>49157743.099999957</v>
      </c>
      <c r="K114" s="84">
        <f t="shared" si="26"/>
        <v>51083547.040000007</v>
      </c>
      <c r="L114" s="84">
        <f t="shared" si="26"/>
        <v>53813247.140000008</v>
      </c>
      <c r="M114" s="84">
        <f t="shared" si="26"/>
        <v>55873905.100000001</v>
      </c>
      <c r="N114" s="84">
        <f t="shared" si="26"/>
        <v>54392412.859999999</v>
      </c>
      <c r="O114" s="84">
        <f t="shared" si="26"/>
        <v>55114295.500000015</v>
      </c>
      <c r="P114" s="84">
        <f t="shared" si="26"/>
        <v>78609110.530000016</v>
      </c>
      <c r="Q114" s="84">
        <f t="shared" si="26"/>
        <v>78609110.530000016</v>
      </c>
      <c r="R114" s="84">
        <f t="shared" si="26"/>
        <v>78609110.530000016</v>
      </c>
      <c r="S114" s="113">
        <f t="shared" si="21"/>
        <v>698038205.5999999</v>
      </c>
      <c r="T114" s="465">
        <f t="shared" si="22"/>
        <v>12.245424980703106</v>
      </c>
      <c r="V114" s="311"/>
    </row>
    <row r="115" spans="1:22">
      <c r="A115" s="116" t="str">
        <f t="shared" si="18"/>
        <v>421p</v>
      </c>
      <c r="B115" s="587" t="str">
        <f>+VLOOKUP(LEFT($A115,LEN(A115)-1)*1,Master!$D$29:$G$228,4,FALSE)</f>
        <v>Prava iz oblasti socijalne zaštite</v>
      </c>
      <c r="C115" s="588"/>
      <c r="D115" s="588"/>
      <c r="E115" s="588"/>
      <c r="F115" s="588"/>
      <c r="G115" s="87">
        <v>8200110.4000000004</v>
      </c>
      <c r="H115" s="87">
        <v>8172331.5999999996</v>
      </c>
      <c r="I115" s="87">
        <v>8605052.6899999995</v>
      </c>
      <c r="J115" s="87">
        <v>8606006.9800000004</v>
      </c>
      <c r="K115" s="87">
        <v>11845768.039999999</v>
      </c>
      <c r="L115" s="87">
        <v>11977864.439999999</v>
      </c>
      <c r="M115" s="87">
        <v>11864302.59</v>
      </c>
      <c r="N115" s="87">
        <v>12016260.289999999</v>
      </c>
      <c r="O115" s="87">
        <v>12319371.459999999</v>
      </c>
      <c r="P115" s="87">
        <v>17084310.503333334</v>
      </c>
      <c r="Q115" s="87">
        <v>17084310.503333334</v>
      </c>
      <c r="R115" s="87">
        <v>17084310.503333334</v>
      </c>
      <c r="S115" s="112">
        <f t="shared" si="21"/>
        <v>144860000</v>
      </c>
      <c r="T115" s="464">
        <f t="shared" si="22"/>
        <v>2.5412251771805487</v>
      </c>
      <c r="V115" s="311"/>
    </row>
    <row r="116" spans="1:22">
      <c r="A116" s="116" t="str">
        <f t="shared" si="18"/>
        <v>422p</v>
      </c>
      <c r="B116" s="587" t="str">
        <f>+VLOOKUP(LEFT($A116,LEN(A116)-1)*1,Master!$D$29:$G$228,4,FALSE)</f>
        <v>Sredstva za tehnološke viškove</v>
      </c>
      <c r="C116" s="588"/>
      <c r="D116" s="588"/>
      <c r="E116" s="588"/>
      <c r="F116" s="588"/>
      <c r="G116" s="87">
        <v>0</v>
      </c>
      <c r="H116" s="87">
        <v>2498429.92</v>
      </c>
      <c r="I116" s="87">
        <v>2440778.17</v>
      </c>
      <c r="J116" s="87">
        <v>2410229.4499999997</v>
      </c>
      <c r="K116" s="87">
        <v>2318949.15</v>
      </c>
      <c r="L116" s="87">
        <v>2335079.0099999998</v>
      </c>
      <c r="M116" s="87">
        <v>2195965.0099999998</v>
      </c>
      <c r="N116" s="87">
        <v>2189311.09</v>
      </c>
      <c r="O116" s="87">
        <v>2177499.94</v>
      </c>
      <c r="P116" s="87">
        <v>3824082.1866666665</v>
      </c>
      <c r="Q116" s="87">
        <v>3824082.1866666665</v>
      </c>
      <c r="R116" s="87">
        <v>3824082.1866666665</v>
      </c>
      <c r="S116" s="112">
        <f t="shared" si="21"/>
        <v>30038488.300000001</v>
      </c>
      <c r="T116" s="464">
        <f t="shared" si="22"/>
        <v>0.52695404357588937</v>
      </c>
      <c r="V116" s="311"/>
    </row>
    <row r="117" spans="1:22">
      <c r="A117" s="116" t="str">
        <f t="shared" si="18"/>
        <v>423p</v>
      </c>
      <c r="B117" s="587" t="str">
        <f>+VLOOKUP(LEFT($A117,LEN(A117)-1)*1,Master!$D$29:$G$228,4,FALSE)</f>
        <v>Prava iz oblasti penzijskog i invalidskog osiguranja</v>
      </c>
      <c r="C117" s="588"/>
      <c r="D117" s="588"/>
      <c r="E117" s="588"/>
      <c r="F117" s="588"/>
      <c r="G117" s="87">
        <v>35149513.420000002</v>
      </c>
      <c r="H117" s="87">
        <v>36354430.689999998</v>
      </c>
      <c r="I117" s="87">
        <v>36069832.590000004</v>
      </c>
      <c r="J117" s="87">
        <v>36181040.329999961</v>
      </c>
      <c r="K117" s="87">
        <v>35168591.790000007</v>
      </c>
      <c r="L117" s="87">
        <v>37894311.820000008</v>
      </c>
      <c r="M117" s="87">
        <v>37880340.310000002</v>
      </c>
      <c r="N117" s="87">
        <v>38069530.059999995</v>
      </c>
      <c r="O117" s="87">
        <v>38038058.110000014</v>
      </c>
      <c r="P117" s="87">
        <v>54747985.703333363</v>
      </c>
      <c r="Q117" s="87">
        <v>54747985.703333363</v>
      </c>
      <c r="R117" s="87">
        <v>54747985.703333363</v>
      </c>
      <c r="S117" s="112">
        <f t="shared" si="21"/>
        <v>495049606.23000014</v>
      </c>
      <c r="T117" s="464">
        <f t="shared" si="22"/>
        <v>8.6844713744649518</v>
      </c>
      <c r="V117" s="311"/>
    </row>
    <row r="118" spans="1:22">
      <c r="A118" s="116" t="str">
        <f t="shared" si="18"/>
        <v>424p</v>
      </c>
      <c r="B118" s="587" t="str">
        <f>+VLOOKUP(LEFT($A118,LEN(A118)-1)*1,Master!$D$29:$G$228,4,FALSE)</f>
        <v>Ostala prava iz oblasti zdravstvene zaštite</v>
      </c>
      <c r="C118" s="588"/>
      <c r="D118" s="588"/>
      <c r="E118" s="588"/>
      <c r="F118" s="588"/>
      <c r="G118" s="87">
        <v>103430</v>
      </c>
      <c r="H118" s="87">
        <v>1069904.71</v>
      </c>
      <c r="I118" s="87">
        <v>1609138.94</v>
      </c>
      <c r="J118" s="87">
        <v>1370159.43</v>
      </c>
      <c r="K118" s="87">
        <v>659345.03</v>
      </c>
      <c r="L118" s="87">
        <v>804103.22</v>
      </c>
      <c r="M118" s="87">
        <v>2611388.4699999997</v>
      </c>
      <c r="N118" s="87">
        <v>1036291.4600000001</v>
      </c>
      <c r="O118" s="87">
        <v>1292962.81</v>
      </c>
      <c r="P118" s="87">
        <v>1374407.6299999994</v>
      </c>
      <c r="Q118" s="87">
        <v>1374407.6299999994</v>
      </c>
      <c r="R118" s="87">
        <v>1374407.6299999994</v>
      </c>
      <c r="S118" s="112">
        <f t="shared" si="21"/>
        <v>14679946.959999997</v>
      </c>
      <c r="T118" s="464">
        <f t="shared" si="22"/>
        <v>0.25752485720300322</v>
      </c>
      <c r="V118" s="311"/>
    </row>
    <row r="119" spans="1:22">
      <c r="A119" s="116" t="str">
        <f t="shared" si="18"/>
        <v>425p</v>
      </c>
      <c r="B119" s="587" t="str">
        <f>+VLOOKUP(LEFT($A119,LEN(A119)-1)*1,Master!$D$29:$G$228,4,FALSE)</f>
        <v>Ostala prava iz zdravstvenog osiguranja</v>
      </c>
      <c r="C119" s="588"/>
      <c r="D119" s="588"/>
      <c r="E119" s="588"/>
      <c r="F119" s="588"/>
      <c r="G119" s="87">
        <v>8803.7999999999993</v>
      </c>
      <c r="H119" s="87">
        <v>935570.06</v>
      </c>
      <c r="I119" s="87">
        <v>1558396.28</v>
      </c>
      <c r="J119" s="87">
        <v>590306.91</v>
      </c>
      <c r="K119" s="87">
        <v>1090893.03</v>
      </c>
      <c r="L119" s="87">
        <v>801888.65</v>
      </c>
      <c r="M119" s="87">
        <v>1321908.72</v>
      </c>
      <c r="N119" s="87">
        <v>1081019.96</v>
      </c>
      <c r="O119" s="87">
        <v>1286403.18</v>
      </c>
      <c r="P119" s="87">
        <v>1578324.5066666668</v>
      </c>
      <c r="Q119" s="87">
        <v>1578324.5066666668</v>
      </c>
      <c r="R119" s="87">
        <v>1578324.5066666668</v>
      </c>
      <c r="S119" s="112">
        <f t="shared" si="21"/>
        <v>13410164.110000003</v>
      </c>
      <c r="T119" s="464">
        <f t="shared" si="22"/>
        <v>0.23524952827871734</v>
      </c>
      <c r="V119" s="311"/>
    </row>
    <row r="120" spans="1:22">
      <c r="A120" s="116" t="str">
        <f t="shared" si="18"/>
        <v>43p</v>
      </c>
      <c r="B120" s="603" t="str">
        <f>+VLOOKUP(LEFT($A120,LEN(A120)-1)*1,Master!$D$29:$G$228,4,FALSE)</f>
        <v xml:space="preserve">Transferi institucijama, pojedincima, nevladinom i javnom sektoru </v>
      </c>
      <c r="C120" s="604"/>
      <c r="D120" s="604"/>
      <c r="E120" s="604"/>
      <c r="F120" s="604"/>
      <c r="G120" s="83">
        <v>7351440.8700000001</v>
      </c>
      <c r="H120" s="83">
        <v>23788257.170000002</v>
      </c>
      <c r="I120" s="83">
        <v>30704364.969999999</v>
      </c>
      <c r="J120" s="83">
        <v>28731832.689999998</v>
      </c>
      <c r="K120" s="83">
        <v>16386723.549999999</v>
      </c>
      <c r="L120" s="83">
        <v>26579249.149999995</v>
      </c>
      <c r="M120" s="83">
        <v>21692065.57</v>
      </c>
      <c r="N120" s="83">
        <v>18751731.399999999</v>
      </c>
      <c r="O120" s="83">
        <v>29316367.350000001</v>
      </c>
      <c r="P120" s="83">
        <v>36220465.866666652</v>
      </c>
      <c r="Q120" s="83">
        <v>36220465.866666652</v>
      </c>
      <c r="R120" s="83">
        <v>36220465.866666652</v>
      </c>
      <c r="S120" s="113">
        <f>+SUM(G120:R120)</f>
        <v>311963430.31999999</v>
      </c>
      <c r="T120" s="465">
        <f t="shared" si="22"/>
        <v>5.4726585909760717</v>
      </c>
      <c r="V120" s="311"/>
    </row>
    <row r="121" spans="1:22">
      <c r="A121" s="116" t="str">
        <f t="shared" si="18"/>
        <v>44p</v>
      </c>
      <c r="B121" s="603" t="str">
        <f>+VLOOKUP(LEFT($A121,LEN(A121)-1)*1,Master!$D$29:$G$228,4,FALSE)</f>
        <v>Kapitalni izdaci</v>
      </c>
      <c r="C121" s="604"/>
      <c r="D121" s="604"/>
      <c r="E121" s="604"/>
      <c r="F121" s="604"/>
      <c r="G121" s="83">
        <v>16016474.34</v>
      </c>
      <c r="H121" s="83">
        <v>11650538.710000001</v>
      </c>
      <c r="I121" s="83">
        <v>7995861.7599999998</v>
      </c>
      <c r="J121" s="83">
        <v>25620437.929999996</v>
      </c>
      <c r="K121" s="83">
        <v>18640717.440000001</v>
      </c>
      <c r="L121" s="83">
        <v>23469892.199999999</v>
      </c>
      <c r="M121" s="83">
        <v>25045170.949999999</v>
      </c>
      <c r="N121" s="83">
        <v>7683091.5899999999</v>
      </c>
      <c r="O121" s="83">
        <v>16121479.17</v>
      </c>
      <c r="P121" s="83">
        <v>41814542.016666658</v>
      </c>
      <c r="Q121" s="83">
        <v>41814542.016666658</v>
      </c>
      <c r="R121" s="83">
        <v>41814542.016666658</v>
      </c>
      <c r="S121" s="113">
        <f>+SUM(G121:R121)</f>
        <v>277687290.13999993</v>
      </c>
      <c r="T121" s="465">
        <f t="shared" si="22"/>
        <v>4.8713649943863579</v>
      </c>
      <c r="U121" s="311"/>
      <c r="V121" s="311"/>
    </row>
    <row r="122" spans="1:22">
      <c r="A122" s="116" t="str">
        <f t="shared" si="18"/>
        <v>451p</v>
      </c>
      <c r="B122" s="605" t="str">
        <f>+VLOOKUP(LEFT($A122,LEN(A122)-1)*1,Master!$D$29:$G$228,4,FALSE)</f>
        <v>Pozajmice i krediti</v>
      </c>
      <c r="C122" s="606"/>
      <c r="D122" s="606"/>
      <c r="E122" s="606"/>
      <c r="F122" s="606"/>
      <c r="G122" s="87">
        <v>0</v>
      </c>
      <c r="H122" s="87">
        <v>248510</v>
      </c>
      <c r="I122" s="87">
        <v>1730</v>
      </c>
      <c r="J122" s="87">
        <v>302436</v>
      </c>
      <c r="K122" s="87">
        <v>260378</v>
      </c>
      <c r="L122" s="87">
        <v>700</v>
      </c>
      <c r="M122" s="87">
        <v>0</v>
      </c>
      <c r="N122" s="87">
        <v>350</v>
      </c>
      <c r="O122" s="87">
        <v>0</v>
      </c>
      <c r="P122" s="87">
        <v>619965.66666666674</v>
      </c>
      <c r="Q122" s="87">
        <v>619965.66666666674</v>
      </c>
      <c r="R122" s="87">
        <v>619965.66666666674</v>
      </c>
      <c r="S122" s="112">
        <f t="shared" si="21"/>
        <v>2674001</v>
      </c>
      <c r="T122" s="464">
        <f t="shared" si="22"/>
        <v>4.6909006385516809E-2</v>
      </c>
      <c r="U122" s="311"/>
      <c r="V122" s="311"/>
    </row>
    <row r="123" spans="1:22">
      <c r="A123" s="116" t="str">
        <f t="shared" si="18"/>
        <v>47p</v>
      </c>
      <c r="B123" s="605" t="str">
        <f>+VLOOKUP(LEFT($A123,LEN(A123)-1)*1,Master!$D$29:$G$228,4,FALSE)</f>
        <v>Rezerve</v>
      </c>
      <c r="C123" s="606"/>
      <c r="D123" s="606"/>
      <c r="E123" s="606"/>
      <c r="F123" s="606"/>
      <c r="G123" s="87">
        <v>265800</v>
      </c>
      <c r="H123" s="87">
        <v>495710</v>
      </c>
      <c r="I123" s="87">
        <v>1101664.26</v>
      </c>
      <c r="J123" s="87">
        <v>401200</v>
      </c>
      <c r="K123" s="87">
        <v>45800</v>
      </c>
      <c r="L123" s="87">
        <v>3114786.03</v>
      </c>
      <c r="M123" s="87">
        <v>5703477.5800000001</v>
      </c>
      <c r="N123" s="87">
        <v>1405979.19</v>
      </c>
      <c r="O123" s="87">
        <v>20100803.789999999</v>
      </c>
      <c r="P123" s="87">
        <v>22444044.24666667</v>
      </c>
      <c r="Q123" s="87">
        <v>22444044.24666667</v>
      </c>
      <c r="R123" s="87">
        <v>22444044.24666667</v>
      </c>
      <c r="S123" s="112">
        <f t="shared" si="21"/>
        <v>99967353.590000004</v>
      </c>
      <c r="T123" s="464">
        <f t="shared" si="22"/>
        <v>1.7536901549014106</v>
      </c>
      <c r="U123" s="311"/>
      <c r="V123" s="311"/>
    </row>
    <row r="124" spans="1:22">
      <c r="A124" s="116" t="str">
        <f t="shared" si="18"/>
        <v>462p</v>
      </c>
      <c r="B124" s="605" t="str">
        <f>+VLOOKUP(LEFT($A124,LEN(A124)-1)*1,Master!$D$29:$G$228,4,FALSE)</f>
        <v>Otplata garancija</v>
      </c>
      <c r="C124" s="606"/>
      <c r="D124" s="606"/>
      <c r="E124" s="606"/>
      <c r="F124" s="606"/>
      <c r="G124" s="87">
        <v>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1</v>
      </c>
      <c r="S124" s="112">
        <f t="shared" si="21"/>
        <v>1</v>
      </c>
      <c r="T124" s="464">
        <f t="shared" si="22"/>
        <v>1.7542628587467546E-8</v>
      </c>
      <c r="U124" s="311"/>
      <c r="V124" s="311"/>
    </row>
    <row r="125" spans="1:22">
      <c r="A125" s="117" t="str">
        <f t="shared" si="18"/>
        <v>4630p</v>
      </c>
      <c r="B125" s="605" t="str">
        <f>+VLOOKUP(LEFT($A125,LEN(A125)-1)*1,Master!$D$29:$G$228,4,FALSE)</f>
        <v>Otplata obaveza iz prethodnog perioda</v>
      </c>
      <c r="C125" s="606"/>
      <c r="D125" s="606"/>
      <c r="E125" s="606"/>
      <c r="F125" s="606"/>
      <c r="G125" s="87">
        <v>17529055.329999998</v>
      </c>
      <c r="H125" s="87">
        <v>3946389.9</v>
      </c>
      <c r="I125" s="87">
        <v>2323374.4</v>
      </c>
      <c r="J125" s="87">
        <v>1211074.6399999999</v>
      </c>
      <c r="K125" s="87">
        <v>1145121.3300000003</v>
      </c>
      <c r="L125" s="87">
        <v>1002974.65</v>
      </c>
      <c r="M125" s="87">
        <v>2410972.5299999993</v>
      </c>
      <c r="N125" s="87">
        <v>791334.30999999994</v>
      </c>
      <c r="O125" s="87">
        <v>1107049.1300000001</v>
      </c>
      <c r="P125" s="87">
        <v>1578531.8799999962</v>
      </c>
      <c r="Q125" s="87">
        <v>1578531.8799999962</v>
      </c>
      <c r="R125" s="87">
        <v>1578531.8799999962</v>
      </c>
      <c r="S125" s="103">
        <f>+SUM(G125:R125)</f>
        <v>36202941.859999977</v>
      </c>
      <c r="T125" s="472">
        <f t="shared" si="22"/>
        <v>0.63509476282366117</v>
      </c>
      <c r="U125" s="311"/>
      <c r="V125" s="311"/>
    </row>
    <row r="126" spans="1:22" ht="13.5" thickBot="1">
      <c r="A126" s="116" t="str">
        <f t="shared" si="18"/>
        <v>1005p</v>
      </c>
      <c r="B126" s="605" t="str">
        <f>+VLOOKUP(LEFT($A126,LEN(A126)-1)*1,Master!$D$29:$G$228,4,FALSE)</f>
        <v>Neto povećanje obaveza</v>
      </c>
      <c r="C126" s="606"/>
      <c r="D126" s="606"/>
      <c r="E126" s="606"/>
      <c r="F126" s="606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2"/>
        <v>0</v>
      </c>
      <c r="U126" s="311"/>
      <c r="V126" s="311"/>
    </row>
    <row r="127" spans="1:22" ht="13.5" thickBot="1">
      <c r="A127" s="117" t="str">
        <f t="shared" si="18"/>
        <v>1000p</v>
      </c>
      <c r="B127" s="613" t="str">
        <f>+VLOOKUP(LEFT($A127,LEN(A127)-1)*1,Master!$D$29:$G$225,4,FALSE)</f>
        <v>Suficit / deficit</v>
      </c>
      <c r="C127" s="614"/>
      <c r="D127" s="614"/>
      <c r="E127" s="614"/>
      <c r="F127" s="614"/>
      <c r="G127" s="93">
        <f t="shared" ref="G127:R127" si="27">+G84-G103</f>
        <v>-27708044.210000038</v>
      </c>
      <c r="H127" s="93">
        <f t="shared" si="27"/>
        <v>-26184314.520000011</v>
      </c>
      <c r="I127" s="93">
        <f t="shared" si="27"/>
        <v>31956870.970000029</v>
      </c>
      <c r="J127" s="93">
        <f t="shared" si="27"/>
        <v>-20283584.369999915</v>
      </c>
      <c r="K127" s="93">
        <f t="shared" si="27"/>
        <v>8454993.5200000107</v>
      </c>
      <c r="L127" s="93">
        <f t="shared" si="27"/>
        <v>-10807149.019999981</v>
      </c>
      <c r="M127" s="93">
        <f t="shared" si="27"/>
        <v>-12762172.130000025</v>
      </c>
      <c r="N127" s="93">
        <f t="shared" si="27"/>
        <v>47349499.159999937</v>
      </c>
      <c r="O127" s="93">
        <f t="shared" si="27"/>
        <v>-26530659.460000008</v>
      </c>
      <c r="P127" s="93">
        <f t="shared" si="27"/>
        <v>-148561818.74666664</v>
      </c>
      <c r="Q127" s="93">
        <f t="shared" si="27"/>
        <v>-152725507.16666663</v>
      </c>
      <c r="R127" s="93">
        <f t="shared" si="27"/>
        <v>-115435017.19666666</v>
      </c>
      <c r="S127" s="106">
        <f t="shared" si="21"/>
        <v>-453236903.1699999</v>
      </c>
      <c r="T127" s="470">
        <f t="shared" si="22"/>
        <v>-7.9509666544452999</v>
      </c>
      <c r="U127" s="311"/>
      <c r="V127" s="311"/>
    </row>
    <row r="128" spans="1:22" ht="13.5" thickBot="1">
      <c r="A128" s="117" t="str">
        <f t="shared" si="18"/>
        <v>1001p</v>
      </c>
      <c r="B128" s="615" t="str">
        <f>+VLOOKUP(LEFT($A128,LEN(A128)-1)*1,Master!$D$29:$G$225,4,FALSE)</f>
        <v>Primarni suficit/deficit</v>
      </c>
      <c r="C128" s="616"/>
      <c r="D128" s="616"/>
      <c r="E128" s="616"/>
      <c r="F128" s="616"/>
      <c r="G128" s="94">
        <f>+G127+G110</f>
        <v>-23853281.960000038</v>
      </c>
      <c r="H128" s="94">
        <f t="shared" ref="H128:R128" si="28">+H127+H110</f>
        <v>-24913970.330000009</v>
      </c>
      <c r="I128" s="94">
        <f t="shared" si="28"/>
        <v>32905953.530000027</v>
      </c>
      <c r="J128" s="94">
        <f t="shared" si="28"/>
        <v>6912036.7000000849</v>
      </c>
      <c r="K128" s="94">
        <f t="shared" si="28"/>
        <v>13043467.300000012</v>
      </c>
      <c r="L128" s="94">
        <f t="shared" si="28"/>
        <v>-9590349.9899999816</v>
      </c>
      <c r="M128" s="94">
        <f t="shared" si="28"/>
        <v>-8978109.3100000247</v>
      </c>
      <c r="N128" s="94">
        <f t="shared" si="28"/>
        <v>48681164.189999938</v>
      </c>
      <c r="O128" s="94">
        <f t="shared" si="28"/>
        <v>-12966126.630000008</v>
      </c>
      <c r="P128" s="94">
        <f t="shared" si="28"/>
        <v>-144525391.98666665</v>
      </c>
      <c r="Q128" s="94">
        <f t="shared" si="28"/>
        <v>-148689080.40666664</v>
      </c>
      <c r="R128" s="94">
        <f t="shared" si="28"/>
        <v>-88826173.566666663</v>
      </c>
      <c r="S128" s="106">
        <f t="shared" si="21"/>
        <v>-360799862.45999998</v>
      </c>
      <c r="T128" s="470">
        <f t="shared" si="22"/>
        <v>-6.3293779815451545</v>
      </c>
      <c r="U128" s="311"/>
      <c r="V128" s="311"/>
    </row>
    <row r="129" spans="1:22">
      <c r="A129" s="117" t="str">
        <f t="shared" si="18"/>
        <v>46p</v>
      </c>
      <c r="B129" s="607" t="str">
        <f>+VLOOKUP(LEFT($A129,LEN(A129)-1)*1,Master!$D$29:$G$225,4,FALSE)</f>
        <v>Otplata dugova</v>
      </c>
      <c r="C129" s="608"/>
      <c r="D129" s="608"/>
      <c r="E129" s="608"/>
      <c r="F129" s="608"/>
      <c r="G129" s="84">
        <f>+SUM(G130:G131)</f>
        <v>28431258.969999999</v>
      </c>
      <c r="H129" s="84">
        <f t="shared" ref="H129:R129" si="29">+SUM(H130:H131)</f>
        <v>14209001.130000001</v>
      </c>
      <c r="I129" s="84">
        <f t="shared" si="29"/>
        <v>11671682.99</v>
      </c>
      <c r="J129" s="84">
        <f t="shared" si="29"/>
        <v>57474225.629999995</v>
      </c>
      <c r="K129" s="84">
        <f t="shared" si="29"/>
        <v>39081986.149999999</v>
      </c>
      <c r="L129" s="84">
        <f t="shared" si="29"/>
        <v>11628176.57</v>
      </c>
      <c r="M129" s="484">
        <f t="shared" ref="M129" si="30">+SUM(M130:M131)</f>
        <v>30399609.420000002</v>
      </c>
      <c r="N129" s="84">
        <f t="shared" si="29"/>
        <v>13945467.43</v>
      </c>
      <c r="O129" s="84">
        <f t="shared" si="29"/>
        <v>10059315</v>
      </c>
      <c r="P129" s="84">
        <f t="shared" si="29"/>
        <v>5778395.2733333334</v>
      </c>
      <c r="Q129" s="84">
        <f t="shared" si="29"/>
        <v>32377155.383333333</v>
      </c>
      <c r="R129" s="84">
        <f t="shared" si="29"/>
        <v>37097385.81333334</v>
      </c>
      <c r="S129" s="104">
        <f t="shared" si="21"/>
        <v>292153659.76000005</v>
      </c>
      <c r="T129" s="471">
        <f t="shared" si="22"/>
        <v>5.1251431436390433</v>
      </c>
      <c r="U129" s="311"/>
      <c r="V129" s="311"/>
    </row>
    <row r="130" spans="1:22">
      <c r="A130" s="117" t="str">
        <f t="shared" si="18"/>
        <v>4611p</v>
      </c>
      <c r="B130" s="611" t="str">
        <f>+VLOOKUP(LEFT($A130,LEN(A130)-1)*1,Master!$D$29:$G$225,4,FALSE)</f>
        <v>Otplata hartija od vrijednosti i kredita rezidentima</v>
      </c>
      <c r="C130" s="612"/>
      <c r="D130" s="612"/>
      <c r="E130" s="612"/>
      <c r="F130" s="612"/>
      <c r="G130" s="96">
        <v>2390495.08</v>
      </c>
      <c r="H130" s="96">
        <v>3087670.22</v>
      </c>
      <c r="I130" s="96">
        <v>2560106.65</v>
      </c>
      <c r="J130" s="96">
        <v>4658647.9099999992</v>
      </c>
      <c r="K130" s="96">
        <v>8572190.1199999992</v>
      </c>
      <c r="L130" s="96">
        <v>713784.35</v>
      </c>
      <c r="M130" s="96">
        <v>2437648.0699999998</v>
      </c>
      <c r="N130" s="96">
        <v>2374633.7599999998</v>
      </c>
      <c r="O130" s="96">
        <v>722146.47000000009</v>
      </c>
      <c r="P130" s="96">
        <v>2457849.3233333332</v>
      </c>
      <c r="Q130" s="96">
        <v>9233144.0033333339</v>
      </c>
      <c r="R130" s="96">
        <v>720539.80333333823</v>
      </c>
      <c r="S130" s="103">
        <f t="shared" si="21"/>
        <v>39928855.759999998</v>
      </c>
      <c r="T130" s="472">
        <f t="shared" si="22"/>
        <v>0.70045708652024419</v>
      </c>
      <c r="U130" s="311"/>
      <c r="V130" s="311"/>
    </row>
    <row r="131" spans="1:22" ht="13.5" thickBot="1">
      <c r="A131" s="117" t="str">
        <f t="shared" si="18"/>
        <v>4612p</v>
      </c>
      <c r="B131" s="605" t="str">
        <f>+VLOOKUP(LEFT($A131,LEN(A131)-1)*1,Master!$D$29:$G$225,4,FALSE)</f>
        <v>Otplata hartija od vrijednosti i kredita nerezidentima</v>
      </c>
      <c r="C131" s="606"/>
      <c r="D131" s="606"/>
      <c r="E131" s="606"/>
      <c r="F131" s="606"/>
      <c r="G131" s="96">
        <v>26040763.890000001</v>
      </c>
      <c r="H131" s="96">
        <v>11121330.91</v>
      </c>
      <c r="I131" s="96">
        <v>9111576.3399999999</v>
      </c>
      <c r="J131" s="96">
        <v>52815577.719999999</v>
      </c>
      <c r="K131" s="96">
        <v>30509796.030000001</v>
      </c>
      <c r="L131" s="96">
        <v>10914392.220000001</v>
      </c>
      <c r="M131" s="96">
        <v>27961961.350000001</v>
      </c>
      <c r="N131" s="96">
        <v>11570833.67</v>
      </c>
      <c r="O131" s="96">
        <v>9337168.5299999993</v>
      </c>
      <c r="P131" s="96">
        <v>3320545.95</v>
      </c>
      <c r="Q131" s="96">
        <v>23144011.379999999</v>
      </c>
      <c r="R131" s="96">
        <v>36376846.010000005</v>
      </c>
      <c r="S131" s="103">
        <f t="shared" si="21"/>
        <v>252224804</v>
      </c>
      <c r="T131" s="472">
        <f t="shared" si="22"/>
        <v>4.424686057118798</v>
      </c>
      <c r="U131" s="311"/>
      <c r="V131" s="311"/>
    </row>
    <row r="132" spans="1:22" ht="13.5" thickBot="1">
      <c r="A132" s="117" t="str">
        <f t="shared" si="18"/>
        <v>4418p</v>
      </c>
      <c r="B132" s="583" t="str">
        <f>+VLOOKUP(LEFT($A132,LEN(A132)-1)*1,Master!$D$29:$G$225,4,FALSE)</f>
        <v>Izdaci za kupovinu hartija od vrijednosti</v>
      </c>
      <c r="C132" s="584"/>
      <c r="D132" s="584"/>
      <c r="E132" s="584"/>
      <c r="F132" s="584"/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3536336.666666667</v>
      </c>
      <c r="Q132" s="93">
        <v>3536336.666666667</v>
      </c>
      <c r="R132" s="93">
        <v>3536336.666666667</v>
      </c>
      <c r="S132" s="449">
        <f t="shared" si="21"/>
        <v>10609010</v>
      </c>
      <c r="T132" s="479">
        <f t="shared" si="22"/>
        <v>0.18610992211072908</v>
      </c>
      <c r="U132" s="311"/>
      <c r="V132" s="311"/>
    </row>
    <row r="133" spans="1:22" ht="13.5" thickBot="1">
      <c r="A133" s="117" t="str">
        <f t="shared" si="18"/>
        <v>1002p</v>
      </c>
      <c r="B133" s="609" t="str">
        <f>+VLOOKUP(LEFT($A133,LEN(A133)-1)*1,Master!$D$29:$G$225,4,FALSE)</f>
        <v>Nedostajuća sredstva</v>
      </c>
      <c r="C133" s="610"/>
      <c r="D133" s="610"/>
      <c r="E133" s="610"/>
      <c r="F133" s="610"/>
      <c r="G133" s="77">
        <f t="shared" ref="G133:R133" si="31">+G127-G129-G132</f>
        <v>-56139303.180000037</v>
      </c>
      <c r="H133" s="77">
        <f t="shared" si="31"/>
        <v>-40393315.650000013</v>
      </c>
      <c r="I133" s="77">
        <f t="shared" si="31"/>
        <v>20285187.980000027</v>
      </c>
      <c r="J133" s="77">
        <f t="shared" si="31"/>
        <v>-77757809.999999911</v>
      </c>
      <c r="K133" s="77">
        <f t="shared" si="31"/>
        <v>-30626992.629999988</v>
      </c>
      <c r="L133" s="77">
        <f t="shared" si="31"/>
        <v>-22435325.589999981</v>
      </c>
      <c r="M133" s="77">
        <f t="shared" si="31"/>
        <v>-43161781.550000027</v>
      </c>
      <c r="N133" s="77">
        <f t="shared" si="31"/>
        <v>33404031.729999937</v>
      </c>
      <c r="O133" s="77">
        <f t="shared" si="31"/>
        <v>-36589974.460000008</v>
      </c>
      <c r="P133" s="77">
        <f t="shared" si="31"/>
        <v>-157876550.68666664</v>
      </c>
      <c r="Q133" s="77">
        <f t="shared" si="31"/>
        <v>-188638999.21666661</v>
      </c>
      <c r="R133" s="77">
        <f t="shared" si="31"/>
        <v>-156068739.67666665</v>
      </c>
      <c r="S133" s="109">
        <f t="shared" si="21"/>
        <v>-755999572.92999983</v>
      </c>
      <c r="T133" s="474">
        <f t="shared" si="22"/>
        <v>-13.26221972019507</v>
      </c>
      <c r="U133" s="311"/>
      <c r="V133" s="311"/>
    </row>
    <row r="134" spans="1:22" ht="13.5" thickBot="1">
      <c r="A134" s="117" t="str">
        <f t="shared" si="18"/>
        <v>1003p</v>
      </c>
      <c r="B134" s="583" t="str">
        <f>+VLOOKUP(LEFT($A134,LEN(A134)-1)*1,Master!$D$29:$G$225,4,FALSE)</f>
        <v>Finansiranje</v>
      </c>
      <c r="C134" s="584"/>
      <c r="D134" s="584"/>
      <c r="E134" s="584"/>
      <c r="F134" s="584"/>
      <c r="G134" s="93">
        <f t="shared" ref="G134:R134" si="32">+SUM(G135:G138)</f>
        <v>56139303.180000037</v>
      </c>
      <c r="H134" s="93">
        <f t="shared" si="32"/>
        <v>40393315.650000013</v>
      </c>
      <c r="I134" s="93">
        <f t="shared" si="32"/>
        <v>-20285187.980000027</v>
      </c>
      <c r="J134" s="93">
        <f t="shared" si="32"/>
        <v>77757809.999999911</v>
      </c>
      <c r="K134" s="93">
        <f t="shared" si="32"/>
        <v>30626992.629999988</v>
      </c>
      <c r="L134" s="93">
        <f t="shared" si="32"/>
        <v>22435325.589999981</v>
      </c>
      <c r="M134" s="93">
        <f t="shared" si="32"/>
        <v>43161781.550000027</v>
      </c>
      <c r="N134" s="93">
        <f t="shared" si="32"/>
        <v>-33404031.729999937</v>
      </c>
      <c r="O134" s="93">
        <f t="shared" si="32"/>
        <v>36589974.460000008</v>
      </c>
      <c r="P134" s="93">
        <f t="shared" si="32"/>
        <v>157876550.68666664</v>
      </c>
      <c r="Q134" s="93">
        <f t="shared" si="32"/>
        <v>188638999.21666661</v>
      </c>
      <c r="R134" s="93">
        <f t="shared" si="32"/>
        <v>156068739.67666665</v>
      </c>
      <c r="S134" s="110">
        <f t="shared" si="21"/>
        <v>755999572.92999983</v>
      </c>
      <c r="T134" s="475">
        <f t="shared" si="22"/>
        <v>13.26221972019507</v>
      </c>
      <c r="U134" s="311"/>
      <c r="V134" s="311"/>
    </row>
    <row r="135" spans="1:22">
      <c r="A135" s="117" t="str">
        <f t="shared" si="18"/>
        <v>7511p</v>
      </c>
      <c r="B135" s="611" t="str">
        <f>+VLOOKUP(LEFT($A135,LEN(A135)-1)*1,Master!$D$29:$G$225,4,FALSE)</f>
        <v>Pozajmice i krediti od domaćih izvora</v>
      </c>
      <c r="C135" s="612"/>
      <c r="D135" s="612"/>
      <c r="E135" s="612"/>
      <c r="F135" s="61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116666666.66666667</v>
      </c>
      <c r="Q135" s="96">
        <v>116666666.66666667</v>
      </c>
      <c r="R135" s="96">
        <v>116666666.66666667</v>
      </c>
      <c r="S135" s="103">
        <f t="shared" si="21"/>
        <v>350000000</v>
      </c>
      <c r="T135" s="472">
        <f t="shared" si="22"/>
        <v>6.1399200056136412</v>
      </c>
      <c r="U135" s="311"/>
      <c r="V135" s="311"/>
    </row>
    <row r="136" spans="1:22">
      <c r="A136" s="117" t="str">
        <f t="shared" si="18"/>
        <v>7512p</v>
      </c>
      <c r="B136" s="605" t="str">
        <f>+VLOOKUP(LEFT($A136,LEN(A136)-1)*1,Master!$D$29:$G$225,4,FALSE)</f>
        <v>Pozajmice i krediti od inostranih izvora</v>
      </c>
      <c r="C136" s="606"/>
      <c r="D136" s="606"/>
      <c r="E136" s="606"/>
      <c r="F136" s="606"/>
      <c r="G136" s="96">
        <v>12789994.92</v>
      </c>
      <c r="H136" s="96">
        <v>10460525.210000001</v>
      </c>
      <c r="I136" s="96">
        <v>1259301.6499999999</v>
      </c>
      <c r="J136" s="96">
        <v>8146150.04</v>
      </c>
      <c r="K136" s="96">
        <v>11238716.789999999</v>
      </c>
      <c r="L136" s="96">
        <v>12964517.649999999</v>
      </c>
      <c r="M136" s="96">
        <v>8206743.4400000004</v>
      </c>
      <c r="N136" s="96">
        <v>2667369.89</v>
      </c>
      <c r="O136" s="96">
        <v>2025946.22</v>
      </c>
      <c r="P136" s="96">
        <v>10080244.730000004</v>
      </c>
      <c r="Q136" s="96">
        <v>10080244.730000004</v>
      </c>
      <c r="R136" s="96">
        <v>10080244.730000004</v>
      </c>
      <c r="S136" s="103">
        <f t="shared" si="21"/>
        <v>100000000</v>
      </c>
      <c r="T136" s="472">
        <f t="shared" si="22"/>
        <v>1.7542628587467544</v>
      </c>
      <c r="U136" s="311"/>
      <c r="V136" s="311"/>
    </row>
    <row r="137" spans="1:22">
      <c r="A137" s="117" t="str">
        <f t="shared" si="18"/>
        <v>72p</v>
      </c>
      <c r="B137" s="605" t="str">
        <f>+VLOOKUP(LEFT($A137,LEN(A137)-1)*1,Master!$D$29:$G$225,4,FALSE)</f>
        <v>Primici od prodaje imovine</v>
      </c>
      <c r="C137" s="606"/>
      <c r="D137" s="606"/>
      <c r="E137" s="606"/>
      <c r="F137" s="606"/>
      <c r="G137" s="96">
        <v>710212.98</v>
      </c>
      <c r="H137" s="96">
        <v>70539.22</v>
      </c>
      <c r="I137" s="96">
        <v>383792.48</v>
      </c>
      <c r="J137" s="96">
        <v>766267.74</v>
      </c>
      <c r="K137" s="96">
        <v>26413.63</v>
      </c>
      <c r="L137" s="96">
        <v>243495.38999999998</v>
      </c>
      <c r="M137" s="96">
        <v>209628.7</v>
      </c>
      <c r="N137" s="96">
        <v>313064.5</v>
      </c>
      <c r="O137" s="96">
        <v>705089.56</v>
      </c>
      <c r="P137" s="96">
        <v>857165.2666666666</v>
      </c>
      <c r="Q137" s="96">
        <v>857165.2666666666</v>
      </c>
      <c r="R137" s="96">
        <v>857165.2666666666</v>
      </c>
      <c r="S137" s="103">
        <f t="shared" si="21"/>
        <v>6000000</v>
      </c>
      <c r="T137" s="472">
        <f t="shared" si="22"/>
        <v>0.10525577152480528</v>
      </c>
      <c r="U137" s="311"/>
      <c r="V137" s="311"/>
    </row>
    <row r="138" spans="1:22" ht="13.5" thickBot="1">
      <c r="A138" s="117" t="str">
        <f t="shared" si="18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42639095.280000038</v>
      </c>
      <c r="H138" s="97">
        <f t="shared" si="33"/>
        <v>29862251.220000014</v>
      </c>
      <c r="I138" s="97">
        <f t="shared" si="33"/>
        <v>-21928282.110000025</v>
      </c>
      <c r="J138" s="97">
        <f t="shared" si="33"/>
        <v>68845392.219999909</v>
      </c>
      <c r="K138" s="97">
        <f t="shared" si="33"/>
        <v>19361862.209999986</v>
      </c>
      <c r="L138" s="97">
        <f t="shared" si="33"/>
        <v>9227312.5499999821</v>
      </c>
      <c r="M138" s="97">
        <f t="shared" si="33"/>
        <v>34745409.410000026</v>
      </c>
      <c r="N138" s="97">
        <f t="shared" si="33"/>
        <v>-36384466.119999938</v>
      </c>
      <c r="O138" s="97">
        <f t="shared" si="33"/>
        <v>33858938.680000007</v>
      </c>
      <c r="P138" s="97">
        <f t="shared" si="33"/>
        <v>30272474.023333296</v>
      </c>
      <c r="Q138" s="97">
        <f t="shared" si="33"/>
        <v>61034922.553333268</v>
      </c>
      <c r="R138" s="97">
        <f t="shared" si="33"/>
        <v>28464663.013333306</v>
      </c>
      <c r="S138" s="105">
        <f>+SUM(G138:R138)</f>
        <v>299999572.92999989</v>
      </c>
      <c r="T138" s="476">
        <f t="shared" si="22"/>
        <v>5.2627810843098715</v>
      </c>
      <c r="U138" s="311"/>
      <c r="V138" s="311"/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5"/>
    </row>
    <row r="145" spans="19:19">
      <c r="S145" s="311"/>
    </row>
    <row r="146" spans="19:19">
      <c r="S146" s="311"/>
    </row>
  </sheetData>
  <sheetProtection algorithmName="SHA-512" hashValue="8BDMqUkFYAmBCWVouAyAWS5alGld67fE+EmmsTm1+/XE2KS10l+cETNIN146oTuacU0mPnEtavcBJyjrCwjOiw==" saltValue="4Kzf+VQsDAiWsuUp/0JPRA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X146"/>
  <sheetViews>
    <sheetView zoomScaleNormal="100" workbookViewId="0">
      <pane ySplit="1" topLeftCell="A29" activePane="bottomLeft" state="frozen"/>
      <selection pane="bottomLeft" activeCell="U30" sqref="U3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23" width="11.28515625" style="258" bestFit="1" customWidth="1"/>
    <col min="24" max="24" width="10.42578125" style="258" bestFit="1" customWidth="1"/>
    <col min="25" max="16384" width="9.140625" style="258"/>
  </cols>
  <sheetData>
    <row r="1" spans="1:22" s="1" customFormat="1" ht="3" customHeight="1">
      <c r="A1" s="69"/>
    </row>
    <row r="2" spans="1:22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498"/>
      <c r="M2" s="126"/>
      <c r="N2" s="126"/>
      <c r="O2" s="126"/>
      <c r="P2" s="126"/>
      <c r="Q2" s="126"/>
      <c r="R2" s="126"/>
      <c r="S2" s="126"/>
      <c r="T2" s="126"/>
    </row>
    <row r="3" spans="1:22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2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498"/>
      <c r="T4" s="362"/>
    </row>
    <row r="5" spans="1:22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2" ht="13.5" thickBot="1">
      <c r="A6" s="144"/>
      <c r="B6" s="233"/>
      <c r="C6" s="233"/>
      <c r="D6" s="233"/>
      <c r="E6" s="233"/>
      <c r="F6" s="233"/>
      <c r="G6" s="234" t="s">
        <v>812</v>
      </c>
      <c r="H6" s="234" t="s">
        <v>813</v>
      </c>
      <c r="I6" s="234" t="s">
        <v>814</v>
      </c>
      <c r="J6" s="234" t="s">
        <v>815</v>
      </c>
      <c r="K6" s="234" t="s">
        <v>816</v>
      </c>
      <c r="L6" s="234" t="s">
        <v>817</v>
      </c>
      <c r="M6" s="234" t="s">
        <v>818</v>
      </c>
      <c r="N6" s="234" t="s">
        <v>819</v>
      </c>
      <c r="O6" s="234" t="s">
        <v>820</v>
      </c>
      <c r="P6" s="234" t="s">
        <v>821</v>
      </c>
      <c r="Q6" s="234" t="s">
        <v>822</v>
      </c>
      <c r="R6" s="234" t="s">
        <v>823</v>
      </c>
      <c r="S6" s="233"/>
      <c r="T6" s="233"/>
    </row>
    <row r="7" spans="1:22" ht="15" customHeight="1" thickBot="1">
      <c r="A7" s="144"/>
      <c r="B7" s="567" t="str">
        <f>+Master!G251</f>
        <v>Ostvarenje budžeta</v>
      </c>
      <c r="C7" s="548"/>
      <c r="D7" s="548"/>
      <c r="E7" s="548"/>
      <c r="F7" s="548"/>
      <c r="G7" s="556">
        <v>2021</v>
      </c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60"/>
      <c r="S7" s="235" t="str">
        <f>+Master!G248</f>
        <v>BDP</v>
      </c>
      <c r="T7" s="236">
        <v>4955116000</v>
      </c>
    </row>
    <row r="8" spans="1:22" ht="16.5" customHeight="1">
      <c r="A8" s="144"/>
      <c r="B8" s="549"/>
      <c r="C8" s="550"/>
      <c r="D8" s="550"/>
      <c r="E8" s="550"/>
      <c r="F8" s="55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56" t="str">
        <f>+Master!G246</f>
        <v>Jan - Dec</v>
      </c>
      <c r="T8" s="560"/>
    </row>
    <row r="9" spans="1:22" ht="13.5" thickBot="1">
      <c r="A9" s="144"/>
      <c r="B9" s="552"/>
      <c r="C9" s="553"/>
      <c r="D9" s="553"/>
      <c r="E9" s="553"/>
      <c r="F9" s="55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2" ht="13.5" thickBot="1">
      <c r="A10" s="150">
        <v>7</v>
      </c>
      <c r="B10" s="515" t="str">
        <f>+VLOOKUP($A10,Master!$D$29:$G$225,4,FALSE)</f>
        <v>Prihodi budžeta</v>
      </c>
      <c r="C10" s="516"/>
      <c r="D10" s="516"/>
      <c r="E10" s="516"/>
      <c r="F10" s="516"/>
      <c r="G10" s="151">
        <f>+G11+G19+SUM(G24:G28)</f>
        <v>88645153.460000008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158977216.27000001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248407354.71000004</v>
      </c>
      <c r="S10" s="239">
        <f>+SUM(G10:R10)</f>
        <v>1911382039.5400002</v>
      </c>
      <c r="T10" s="462">
        <f>+S10/$T$7*100</f>
        <v>38.573911075744746</v>
      </c>
      <c r="U10" s="502"/>
      <c r="V10" s="311"/>
    </row>
    <row r="11" spans="1:22">
      <c r="A11" s="150">
        <v>711</v>
      </c>
      <c r="B11" s="517" t="str">
        <f>+VLOOKUP($A11,Master!$D$29:$G$225,4,FALSE)</f>
        <v>Porezi</v>
      </c>
      <c r="C11" s="518"/>
      <c r="D11" s="518"/>
      <c r="E11" s="518"/>
      <c r="F11" s="518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23.891956383059448</v>
      </c>
      <c r="U11" s="502"/>
    </row>
    <row r="12" spans="1:22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2.560268438720708</v>
      </c>
      <c r="U12" s="502"/>
      <c r="V12" s="311"/>
    </row>
    <row r="13" spans="1:22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1.5078097963801451</v>
      </c>
      <c r="U13" s="502"/>
      <c r="V13" s="311"/>
    </row>
    <row r="14" spans="1:22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4.1941576544323081E-2</v>
      </c>
      <c r="U14" s="502"/>
      <c r="V14" s="311"/>
    </row>
    <row r="15" spans="1:22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13.964317316486637</v>
      </c>
      <c r="U15" s="502"/>
      <c r="V15" s="311"/>
    </row>
    <row r="16" spans="1:22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5.0194161985309727</v>
      </c>
      <c r="U16" s="502"/>
      <c r="V16" s="311"/>
    </row>
    <row r="17" spans="1:23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0.57105912495287692</v>
      </c>
      <c r="U17" s="502"/>
      <c r="V17" s="311"/>
    </row>
    <row r="18" spans="1:23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0.22714393144378461</v>
      </c>
      <c r="U18" s="502"/>
      <c r="V18" s="311"/>
    </row>
    <row r="19" spans="1:23">
      <c r="A19" s="150">
        <v>712</v>
      </c>
      <c r="B19" s="523" t="str">
        <f>+VLOOKUP($A19,Master!$D$29:$G$225,4,FALSE)</f>
        <v>Doprinosi</v>
      </c>
      <c r="C19" s="524"/>
      <c r="D19" s="524"/>
      <c r="E19" s="524"/>
      <c r="F19" s="524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11.18997272031573</v>
      </c>
      <c r="U19" s="502"/>
      <c r="V19" s="311"/>
    </row>
    <row r="20" spans="1:23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6.9370373979135911</v>
      </c>
      <c r="U20" s="502"/>
      <c r="V20" s="311"/>
    </row>
    <row r="21" spans="1:23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3.6440413633101629</v>
      </c>
      <c r="U21" s="502"/>
      <c r="V21" s="311"/>
    </row>
    <row r="22" spans="1:23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0.33014029217479474</v>
      </c>
      <c r="U22" s="502"/>
      <c r="V22" s="311"/>
    </row>
    <row r="23" spans="1:23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0.27875366691718217</v>
      </c>
      <c r="U23" s="502"/>
      <c r="V23" s="311"/>
      <c r="W23" s="305"/>
    </row>
    <row r="24" spans="1:23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0.25512858891699003</v>
      </c>
      <c r="U24" s="502"/>
      <c r="V24" s="311"/>
      <c r="W24" s="305"/>
    </row>
    <row r="25" spans="1:23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1.0311573327445815</v>
      </c>
      <c r="U25" s="502"/>
      <c r="V25" s="311"/>
    </row>
    <row r="26" spans="1:23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v>1525496.18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9339583.0500000007</v>
      </c>
      <c r="S26" s="243">
        <f t="shared" si="4"/>
        <v>59316558.349999994</v>
      </c>
      <c r="T26" s="465">
        <f t="shared" si="3"/>
        <v>1.1970770886090254</v>
      </c>
      <c r="U26" s="502"/>
      <c r="V26" s="311"/>
    </row>
    <row r="27" spans="1:23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0.20386092131849184</v>
      </c>
      <c r="U27" s="502"/>
      <c r="V27" s="311"/>
    </row>
    <row r="28" spans="1:23" ht="13.5" thickBot="1">
      <c r="A28" s="150">
        <v>74</v>
      </c>
      <c r="B28" s="525" t="str">
        <f>+VLOOKUP($A28,Master!$D$29:$G$225,4,FALSE)</f>
        <v>Donacije i transferi</v>
      </c>
      <c r="C28" s="526"/>
      <c r="D28" s="526"/>
      <c r="E28" s="526"/>
      <c r="F28" s="526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2485028.85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18559406.670000002</v>
      </c>
      <c r="S28" s="243">
        <f t="shared" si="4"/>
        <v>39876694.439999998</v>
      </c>
      <c r="T28" s="466">
        <f t="shared" si="3"/>
        <v>0.80475804078047819</v>
      </c>
      <c r="U28" s="502"/>
      <c r="V28" s="311"/>
    </row>
    <row r="29" spans="1:23" ht="13.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>+G30+G40+G46+SUM(G47:G51)</f>
        <v>127396828.25</v>
      </c>
      <c r="H29" s="151">
        <f t="shared" ref="H29:R29" si="6">+H30+H40+H46+SUM(H47:H51)</f>
        <v>157167837.01000002</v>
      </c>
      <c r="I29" s="151">
        <f t="shared" si="6"/>
        <v>164445477.49000001</v>
      </c>
      <c r="J29" s="151">
        <f t="shared" si="6"/>
        <v>184229402.44</v>
      </c>
      <c r="K29" s="151">
        <f t="shared" si="6"/>
        <v>156160617.69999999</v>
      </c>
      <c r="L29" s="151">
        <f t="shared" si="6"/>
        <v>155954573.21000001</v>
      </c>
      <c r="M29" s="151">
        <f t="shared" si="6"/>
        <v>153615847.25999999</v>
      </c>
      <c r="N29" s="151">
        <f t="shared" si="6"/>
        <v>129238299.72999999</v>
      </c>
      <c r="O29" s="151">
        <f t="shared" si="6"/>
        <v>178825524.81</v>
      </c>
      <c r="P29" s="151">
        <f t="shared" si="6"/>
        <v>157199480.03</v>
      </c>
      <c r="Q29" s="151">
        <f t="shared" si="6"/>
        <v>171968946.21000004</v>
      </c>
      <c r="R29" s="151">
        <f t="shared" si="6"/>
        <v>274697551.67000002</v>
      </c>
      <c r="S29" s="245">
        <f t="shared" si="4"/>
        <v>2010900385.8100002</v>
      </c>
      <c r="T29" s="467">
        <f t="shared" si="3"/>
        <v>40.582306969402943</v>
      </c>
    </row>
    <row r="30" spans="1:23">
      <c r="A30" s="150">
        <v>41</v>
      </c>
      <c r="B30" s="531" t="str">
        <f>+VLOOKUP($A30,Master!$D$29:$G$225,4,FALSE)</f>
        <v>Tekući izdaci</v>
      </c>
      <c r="C30" s="532"/>
      <c r="D30" s="532"/>
      <c r="E30" s="532"/>
      <c r="F30" s="532"/>
      <c r="G30" s="187">
        <f t="shared" ref="G30:R30" si="7">+SUM(G31:G39)</f>
        <v>51210284.650000006</v>
      </c>
      <c r="H30" s="187">
        <f t="shared" si="7"/>
        <v>62965413.100000009</v>
      </c>
      <c r="I30" s="187">
        <f t="shared" si="7"/>
        <v>74935995.659999996</v>
      </c>
      <c r="J30" s="187">
        <f t="shared" si="7"/>
        <v>90496993.260000005</v>
      </c>
      <c r="K30" s="187">
        <f t="shared" si="7"/>
        <v>68124731.88000001</v>
      </c>
      <c r="L30" s="187">
        <f t="shared" si="7"/>
        <v>67097102.760000005</v>
      </c>
      <c r="M30" s="187">
        <f t="shared" si="7"/>
        <v>63481997.489999995</v>
      </c>
      <c r="N30" s="187">
        <f t="shared" si="7"/>
        <v>55427957.800000004</v>
      </c>
      <c r="O30" s="187">
        <f t="shared" si="7"/>
        <v>78413496.099999994</v>
      </c>
      <c r="P30" s="187">
        <f t="shared" si="7"/>
        <v>65409325.240000002</v>
      </c>
      <c r="Q30" s="187">
        <f t="shared" si="7"/>
        <v>70426763.63000001</v>
      </c>
      <c r="R30" s="246">
        <f t="shared" si="7"/>
        <v>127800869.73000002</v>
      </c>
      <c r="S30" s="424">
        <f t="shared" si="4"/>
        <v>875790931.30000007</v>
      </c>
      <c r="T30" s="463">
        <f t="shared" si="3"/>
        <v>17.67447888808254</v>
      </c>
      <c r="U30" s="242"/>
    </row>
    <row r="31" spans="1:23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43464407.469999999</v>
      </c>
      <c r="P31" s="163">
        <v>44324596.259999998</v>
      </c>
      <c r="Q31" s="163">
        <v>42746815.590000004</v>
      </c>
      <c r="R31" s="163">
        <v>47109142.439999998</v>
      </c>
      <c r="S31" s="242">
        <f t="shared" si="4"/>
        <v>535131409.99000007</v>
      </c>
      <c r="T31" s="464">
        <f t="shared" si="3"/>
        <v>10.799573814013639</v>
      </c>
      <c r="U31" s="502"/>
      <c r="V31" s="311"/>
      <c r="W31" s="311"/>
    </row>
    <row r="32" spans="1:23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v>108603.95</v>
      </c>
      <c r="H32" s="163">
        <v>889477.21</v>
      </c>
      <c r="I32" s="163">
        <v>864515.21</v>
      </c>
      <c r="J32" s="163">
        <v>1093625.3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11275170.26</v>
      </c>
      <c r="T32" s="464">
        <f t="shared" si="3"/>
        <v>0.22754604049632743</v>
      </c>
      <c r="U32" s="502"/>
      <c r="V32" s="311"/>
    </row>
    <row r="33" spans="1:24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v>596838.26</v>
      </c>
      <c r="H33" s="163">
        <v>1661848.94</v>
      </c>
      <c r="I33" s="163">
        <v>2846541.08</v>
      </c>
      <c r="J33" s="163">
        <v>2296904.4900000002</v>
      </c>
      <c r="K33" s="163">
        <v>3107444.27</v>
      </c>
      <c r="L33" s="163">
        <v>3282627.05</v>
      </c>
      <c r="M33" s="163">
        <v>1182931.33</v>
      </c>
      <c r="N33" s="163">
        <v>1969996.33</v>
      </c>
      <c r="O33" s="163">
        <v>2482311.52</v>
      </c>
      <c r="P33" s="163">
        <v>3816798.21</v>
      </c>
      <c r="Q33" s="163">
        <v>3299098.02</v>
      </c>
      <c r="R33" s="163">
        <v>8911018.8100000042</v>
      </c>
      <c r="S33" s="242">
        <f t="shared" si="4"/>
        <v>35454358.310000002</v>
      </c>
      <c r="T33" s="464">
        <f t="shared" si="3"/>
        <v>0.71551015778439897</v>
      </c>
      <c r="U33" s="502"/>
      <c r="V33" s="502"/>
      <c r="W33" s="503"/>
      <c r="X33" s="503"/>
    </row>
    <row r="34" spans="1:24" s="361" customFormat="1">
      <c r="A34" s="360">
        <v>414</v>
      </c>
      <c r="B34" s="568" t="str">
        <f>+VLOOKUP($A34,Master!$D$29:$G$225,4,FALSE)</f>
        <v>Rashodi za usluge</v>
      </c>
      <c r="C34" s="569"/>
      <c r="D34" s="569"/>
      <c r="E34" s="569"/>
      <c r="F34" s="569"/>
      <c r="G34" s="163">
        <v>1050676.99</v>
      </c>
      <c r="H34" s="163">
        <v>2622012.9300000002</v>
      </c>
      <c r="I34" s="163">
        <v>3354519.16</v>
      </c>
      <c r="J34" s="163">
        <v>6154506.5599999996</v>
      </c>
      <c r="K34" s="163">
        <v>5017598.9000000004</v>
      </c>
      <c r="L34" s="163">
        <v>3879531.65</v>
      </c>
      <c r="M34" s="163">
        <v>6369348.1299999999</v>
      </c>
      <c r="N34" s="163">
        <v>4219891.16</v>
      </c>
      <c r="O34" s="163">
        <v>4939166.8</v>
      </c>
      <c r="P34" s="163">
        <v>4343483.78</v>
      </c>
      <c r="Q34" s="163">
        <v>4786018.53</v>
      </c>
      <c r="R34" s="163">
        <v>13024531.369999999</v>
      </c>
      <c r="S34" s="242">
        <f t="shared" si="4"/>
        <v>59761285.959999993</v>
      </c>
      <c r="T34" s="464">
        <f t="shared" si="3"/>
        <v>1.2060522086667596</v>
      </c>
      <c r="U34" s="502"/>
    </row>
    <row r="35" spans="1:24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v>189404.04</v>
      </c>
      <c r="H35" s="163">
        <v>914551.09</v>
      </c>
      <c r="I35" s="163">
        <v>2439729.2400000002</v>
      </c>
      <c r="J35" s="163">
        <v>1685725.93</v>
      </c>
      <c r="K35" s="163">
        <v>1714591.59</v>
      </c>
      <c r="L35" s="163">
        <v>1668289.12</v>
      </c>
      <c r="M35" s="163">
        <v>1673838.33</v>
      </c>
      <c r="N35" s="163">
        <v>625484.89</v>
      </c>
      <c r="O35" s="163">
        <v>2494776.16</v>
      </c>
      <c r="P35" s="163">
        <v>1622294.67</v>
      </c>
      <c r="Q35" s="163">
        <v>2048358.48</v>
      </c>
      <c r="R35" s="163">
        <v>4621532.54</v>
      </c>
      <c r="S35" s="242">
        <f t="shared" si="4"/>
        <v>21698576.079999998</v>
      </c>
      <c r="T35" s="464">
        <f t="shared" si="3"/>
        <v>0.43790248462397247</v>
      </c>
      <c r="U35" s="502"/>
      <c r="V35" s="311"/>
    </row>
    <row r="36" spans="1:24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2.3018412117899971</v>
      </c>
      <c r="U36" s="502"/>
      <c r="V36" s="311"/>
    </row>
    <row r="37" spans="1:24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v>38595.83</v>
      </c>
      <c r="H37" s="163">
        <v>967161.85</v>
      </c>
      <c r="I37" s="163">
        <v>803228.89</v>
      </c>
      <c r="J37" s="163">
        <v>789217.3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2324906.65</v>
      </c>
      <c r="S37" s="242">
        <f t="shared" si="4"/>
        <v>11191030.690000001</v>
      </c>
      <c r="T37" s="464">
        <f t="shared" si="3"/>
        <v>0.22584800618189366</v>
      </c>
      <c r="U37" s="502"/>
      <c r="V37" s="311"/>
    </row>
    <row r="38" spans="1:24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1281724.1100000001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48518773.370000005</v>
      </c>
      <c r="T38" s="464">
        <f t="shared" si="3"/>
        <v>0.97916523790764953</v>
      </c>
      <c r="U38" s="502"/>
      <c r="V38" s="311"/>
    </row>
    <row r="39" spans="1:24" s="361" customFormat="1">
      <c r="A39" s="360">
        <v>419</v>
      </c>
      <c r="B39" s="568" t="str">
        <f>+VLOOKUP($A39,Master!$D$29:$G$225,4,FALSE)</f>
        <v>Ostali izdaci</v>
      </c>
      <c r="C39" s="569"/>
      <c r="D39" s="569"/>
      <c r="E39" s="569"/>
      <c r="F39" s="569"/>
      <c r="G39" s="163">
        <v>792964.83</v>
      </c>
      <c r="H39" s="163">
        <v>2319532.63</v>
      </c>
      <c r="I39" s="163">
        <v>3429558.98</v>
      </c>
      <c r="J39" s="163">
        <v>2707945.17</v>
      </c>
      <c r="K39" s="163">
        <v>2591070.98</v>
      </c>
      <c r="L39" s="163">
        <v>2772575.41</v>
      </c>
      <c r="M39" s="163">
        <v>1894788.62</v>
      </c>
      <c r="N39" s="163">
        <v>1967072.1</v>
      </c>
      <c r="O39" s="163">
        <v>3561249.92</v>
      </c>
      <c r="P39" s="163">
        <v>2997458.83</v>
      </c>
      <c r="Q39" s="163">
        <v>4014303.11</v>
      </c>
      <c r="R39" s="163">
        <v>9652903.8800000008</v>
      </c>
      <c r="S39" s="242">
        <f t="shared" si="4"/>
        <v>38701424.460000001</v>
      </c>
      <c r="T39" s="464">
        <f t="shared" si="3"/>
        <v>0.78103972661790366</v>
      </c>
      <c r="U39" s="502"/>
      <c r="V39" s="311"/>
    </row>
    <row r="40" spans="1:24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50150725.600000001</v>
      </c>
      <c r="S40" s="487">
        <f t="shared" si="4"/>
        <v>567405550.29999983</v>
      </c>
      <c r="T40" s="488">
        <f t="shared" si="3"/>
        <v>11.450903476326282</v>
      </c>
      <c r="U40" s="242"/>
    </row>
    <row r="41" spans="1:24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1.7140635518926299</v>
      </c>
      <c r="U41" s="502"/>
      <c r="V41" s="311"/>
    </row>
    <row r="42" spans="1:24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0.46593113723271062</v>
      </c>
      <c r="U42" s="502"/>
      <c r="V42" s="311"/>
    </row>
    <row r="43" spans="1:24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8.6982387251882702</v>
      </c>
      <c r="U43" s="502"/>
      <c r="V43" s="311"/>
    </row>
    <row r="44" spans="1:24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0.34464044212083023</v>
      </c>
      <c r="U44" s="502"/>
      <c r="V44" s="311"/>
    </row>
    <row r="45" spans="1:24" s="361" customFormat="1">
      <c r="A45" s="360">
        <v>425</v>
      </c>
      <c r="B45" s="570" t="str">
        <f>+VLOOKUP($A45,Master!$D$29:$G$225,4,FALSE)</f>
        <v>Ostala prava iz zdravstvenog osiguranja</v>
      </c>
      <c r="C45" s="571"/>
      <c r="D45" s="571"/>
      <c r="E45" s="571"/>
      <c r="F45" s="571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1188285.17</v>
      </c>
      <c r="S45" s="242">
        <f t="shared" si="4"/>
        <v>11299132.18</v>
      </c>
      <c r="T45" s="464">
        <f t="shared" si="3"/>
        <v>0.22802961989184509</v>
      </c>
      <c r="U45" s="502"/>
      <c r="V45" s="311"/>
    </row>
    <row r="46" spans="1:24">
      <c r="A46" s="150">
        <v>43</v>
      </c>
      <c r="B46" s="533" t="str">
        <f>+VLOOKUP($A46,Master!$D$29:$G$225,4,FALSE)</f>
        <v xml:space="preserve">Transferi institucijama, pojedincima, nevladinom i javnom sektoru </v>
      </c>
      <c r="C46" s="534"/>
      <c r="D46" s="534"/>
      <c r="E46" s="534"/>
      <c r="F46" s="534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18906470.68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29427111.050000001</v>
      </c>
      <c r="S46" s="243">
        <f t="shared" si="4"/>
        <v>257066480.46000004</v>
      </c>
      <c r="T46" s="465">
        <f t="shared" si="3"/>
        <v>5.1879003530896153</v>
      </c>
      <c r="U46" s="502"/>
      <c r="V46" s="311"/>
    </row>
    <row r="47" spans="1:24">
      <c r="A47" s="150">
        <v>44</v>
      </c>
      <c r="B47" s="533" t="str">
        <f>+VLOOKUP($A47,Master!$D$29:$G$225,4,FALSE)</f>
        <v>Kapitalni izdaci</v>
      </c>
      <c r="C47" s="534"/>
      <c r="D47" s="534"/>
      <c r="E47" s="534"/>
      <c r="F47" s="534"/>
      <c r="G47" s="175">
        <v>11603510.130000001</v>
      </c>
      <c r="H47" s="175">
        <v>4574318.42</v>
      </c>
      <c r="I47" s="175">
        <v>8279888.46</v>
      </c>
      <c r="J47" s="175">
        <v>16938736.609999999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59175879.799999997</v>
      </c>
      <c r="S47" s="243">
        <f t="shared" si="4"/>
        <v>204168284.12</v>
      </c>
      <c r="T47" s="465">
        <f t="shared" si="3"/>
        <v>4.1203532696308223</v>
      </c>
      <c r="U47" s="502"/>
      <c r="V47" s="311"/>
    </row>
    <row r="48" spans="1:24">
      <c r="A48" s="150">
        <v>451</v>
      </c>
      <c r="B48" s="572" t="str">
        <f>+VLOOKUP($A48,Master!$D$29:$G$225,4,FALSE)</f>
        <v>Pozajmice i krediti</v>
      </c>
      <c r="C48" s="573"/>
      <c r="D48" s="573"/>
      <c r="E48" s="573"/>
      <c r="F48" s="573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2.6548783116278205E-2</v>
      </c>
      <c r="U48" s="502"/>
      <c r="V48" s="311"/>
    </row>
    <row r="49" spans="1:22" s="361" customFormat="1">
      <c r="A49" s="360">
        <v>47</v>
      </c>
      <c r="B49" s="577" t="str">
        <f>+VLOOKUP($A49,Master!$D$29:$G$225,4,FALSE)</f>
        <v>Rezerve</v>
      </c>
      <c r="C49" s="578"/>
      <c r="D49" s="578"/>
      <c r="E49" s="578"/>
      <c r="F49" s="578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1.4375075259590291</v>
      </c>
      <c r="U49" s="502"/>
      <c r="V49" s="311"/>
    </row>
    <row r="50" spans="1:22" ht="13.5" thickBot="1">
      <c r="A50" s="150">
        <v>462</v>
      </c>
      <c r="B50" s="539" t="str">
        <f>+VLOOKUP($A50,Master!$D$29:$G$225,4,FALSE)</f>
        <v>Otplata garancija</v>
      </c>
      <c r="C50" s="540"/>
      <c r="D50" s="540"/>
      <c r="E50" s="540"/>
      <c r="F50" s="540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0.15562202943382153</v>
      </c>
      <c r="U50" s="502"/>
      <c r="V50" s="311"/>
    </row>
    <row r="51" spans="1:22" ht="13.5" thickBot="1">
      <c r="A51" s="144">
        <v>4630</v>
      </c>
      <c r="B51" s="579" t="str">
        <f>+VLOOKUP($A51,Master!$D$29:$G$225,4,TRUE)</f>
        <v>Otplata obaveza iz prethodnog perioda</v>
      </c>
      <c r="C51" s="580"/>
      <c r="D51" s="580"/>
      <c r="E51" s="580"/>
      <c r="F51" s="580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2905903.4</v>
      </c>
      <c r="S51" s="425">
        <f>+SUM(G51:R51)</f>
        <v>26212199.129999999</v>
      </c>
      <c r="T51" s="468">
        <f t="shared" si="3"/>
        <v>0.52899264376454558</v>
      </c>
      <c r="U51" s="502"/>
      <c r="V51" s="311"/>
    </row>
    <row r="52" spans="1:22" ht="13.5" thickBot="1">
      <c r="A52" s="70">
        <v>1005</v>
      </c>
      <c r="B52" s="581" t="str">
        <f>+VLOOKUP($A52,Master!$D$29:$G$227,4,FALSE)</f>
        <v>Neto povećanje obaveza</v>
      </c>
      <c r="C52" s="582"/>
      <c r="D52" s="582"/>
      <c r="E52" s="582"/>
      <c r="F52" s="582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1"/>
    </row>
    <row r="53" spans="1:22" ht="13.5" thickBot="1">
      <c r="A53" s="144">
        <v>1000</v>
      </c>
      <c r="B53" s="541" t="str">
        <f>+VLOOKUP($A53,Master!$D$29:$G$225,4,FALSE)</f>
        <v>Suficit / deficit</v>
      </c>
      <c r="C53" s="542"/>
      <c r="D53" s="542"/>
      <c r="E53" s="542"/>
      <c r="F53" s="542"/>
      <c r="G53" s="151">
        <f t="shared" ref="G53:R53" si="9">+G10-G29</f>
        <v>-38751674.789999992</v>
      </c>
      <c r="H53" s="151">
        <f t="shared" si="9"/>
        <v>-51565783.740000024</v>
      </c>
      <c r="I53" s="151">
        <f t="shared" si="9"/>
        <v>-10252721.300000012</v>
      </c>
      <c r="J53" s="151">
        <f t="shared" si="9"/>
        <v>-40133895.059999973</v>
      </c>
      <c r="K53" s="151">
        <f t="shared" si="9"/>
        <v>-19579024.299999982</v>
      </c>
      <c r="L53" s="151">
        <f t="shared" si="9"/>
        <v>3022643.0600000024</v>
      </c>
      <c r="M53" s="151">
        <f t="shared" si="9"/>
        <v>40483691.370000005</v>
      </c>
      <c r="N53" s="151">
        <f t="shared" si="9"/>
        <v>60867446.030000001</v>
      </c>
      <c r="O53" s="151">
        <f t="shared" si="9"/>
        <v>-6754932.9099999964</v>
      </c>
      <c r="P53" s="151">
        <f t="shared" si="9"/>
        <v>2802069.7200000286</v>
      </c>
      <c r="Q53" s="151">
        <f t="shared" si="9"/>
        <v>-13365967.390000045</v>
      </c>
      <c r="R53" s="151">
        <f t="shared" si="9"/>
        <v>-26290196.959999979</v>
      </c>
      <c r="S53" s="248">
        <f t="shared" si="4"/>
        <v>-99518346.269999951</v>
      </c>
      <c r="T53" s="470">
        <f t="shared" si="3"/>
        <v>-2.0083958936581898</v>
      </c>
      <c r="U53" s="502"/>
      <c r="V53" s="311"/>
    </row>
    <row r="54" spans="1:22" ht="13.5" thickBot="1">
      <c r="A54" s="144">
        <v>1001</v>
      </c>
      <c r="B54" s="543" t="str">
        <f>+VLOOKUP($A54,Master!$D$29:$G$225,4,FALSE)</f>
        <v>Primarni suficit/deficit</v>
      </c>
      <c r="C54" s="544"/>
      <c r="D54" s="544"/>
      <c r="E54" s="544"/>
      <c r="F54" s="544"/>
      <c r="G54" s="205">
        <f t="shared" ref="G54:R54" si="10">+G53+G36</f>
        <v>-31174189.719999991</v>
      </c>
      <c r="H54" s="205">
        <f t="shared" si="10"/>
        <v>-49601593.360000022</v>
      </c>
      <c r="I54" s="205">
        <f t="shared" si="10"/>
        <v>4535261.2699999884</v>
      </c>
      <c r="J54" s="205">
        <f t="shared" si="10"/>
        <v>-17365383.099999972</v>
      </c>
      <c r="K54" s="205">
        <f t="shared" si="10"/>
        <v>-12878723.459999982</v>
      </c>
      <c r="L54" s="205">
        <f t="shared" si="10"/>
        <v>8312697.4900000021</v>
      </c>
      <c r="M54" s="205">
        <f t="shared" si="10"/>
        <v>45020462.590000004</v>
      </c>
      <c r="N54" s="205">
        <f t="shared" si="10"/>
        <v>62523919.850000001</v>
      </c>
      <c r="O54" s="205">
        <f t="shared" si="10"/>
        <v>7496114.9100000039</v>
      </c>
      <c r="P54" s="205">
        <f t="shared" si="10"/>
        <v>4059984.8700000285</v>
      </c>
      <c r="Q54" s="205">
        <f t="shared" si="10"/>
        <v>-6793394.8900000453</v>
      </c>
      <c r="R54" s="205">
        <f t="shared" si="10"/>
        <v>405399.46000002325</v>
      </c>
      <c r="S54" s="248">
        <f t="shared" si="4"/>
        <v>14540555.910000049</v>
      </c>
      <c r="T54" s="470">
        <f t="shared" si="3"/>
        <v>0.29344531813180658</v>
      </c>
    </row>
    <row r="55" spans="1:22">
      <c r="A55" s="144">
        <v>46</v>
      </c>
      <c r="B55" s="565" t="str">
        <f>+VLOOKUP($A55,Master!$D$29:$G$225,4,FALSE)</f>
        <v>Otplata dugova</v>
      </c>
      <c r="C55" s="566"/>
      <c r="D55" s="566"/>
      <c r="E55" s="566"/>
      <c r="F55" s="566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8.8312247735471772</v>
      </c>
    </row>
    <row r="56" spans="1:22">
      <c r="A56" s="144">
        <v>4611</v>
      </c>
      <c r="B56" s="561" t="str">
        <f>+VLOOKUP($A56,Master!$D$29:$G$225,4,FALSE)</f>
        <v>Otplata hartija od vrijednosti i kredita rezidentima</v>
      </c>
      <c r="C56" s="562"/>
      <c r="D56" s="562"/>
      <c r="E56" s="562"/>
      <c r="F56" s="562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1.7216367645076323</v>
      </c>
      <c r="U56" s="502"/>
      <c r="V56" s="311"/>
    </row>
    <row r="57" spans="1:22" ht="13.5" thickBot="1">
      <c r="A57" s="144">
        <v>4612</v>
      </c>
      <c r="B57" s="537" t="str">
        <f>+VLOOKUP($A57,Master!$D$29:$G$225,4,FALSE)</f>
        <v>Otplata hartija od vrijednosti i kredita nerezidentima</v>
      </c>
      <c r="C57" s="538"/>
      <c r="D57" s="538"/>
      <c r="E57" s="538"/>
      <c r="F57" s="538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7.1095880090395456</v>
      </c>
      <c r="U57" s="502"/>
      <c r="V57" s="311"/>
    </row>
    <row r="58" spans="1:22" ht="13.5" thickBot="1">
      <c r="A58" s="144">
        <v>4418</v>
      </c>
      <c r="B58" s="529" t="str">
        <f>+VLOOKUP($A58,Master!$D$29:$G$225,4,FALSE)</f>
        <v>Izdaci za kupovinu hartija od vrijednosti</v>
      </c>
      <c r="C58" s="530"/>
      <c r="D58" s="530"/>
      <c r="E58" s="530"/>
      <c r="F58" s="530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1.0218610018413293E-2</v>
      </c>
    </row>
    <row r="59" spans="1:22" ht="13.5" thickBot="1">
      <c r="A59" s="144">
        <v>1002</v>
      </c>
      <c r="B59" s="563" t="str">
        <f>+VLOOKUP($A59,Master!$D$29:$G$225,4,FALSE)</f>
        <v>Nedostajuća sredstva</v>
      </c>
      <c r="C59" s="564"/>
      <c r="D59" s="564"/>
      <c r="E59" s="564"/>
      <c r="F59" s="564"/>
      <c r="G59" s="217">
        <f>+G53-G55-G58</f>
        <v>-62082443.609999992</v>
      </c>
      <c r="H59" s="217">
        <f t="shared" ref="H59:R59" si="12">+H53-H55-H58</f>
        <v>-75820805.090000033</v>
      </c>
      <c r="I59" s="217">
        <f t="shared" si="12"/>
        <v>-249036492.54000002</v>
      </c>
      <c r="J59" s="217">
        <f t="shared" si="12"/>
        <v>-72987358.319999963</v>
      </c>
      <c r="K59" s="217">
        <f t="shared" si="12"/>
        <v>-35861852.219999984</v>
      </c>
      <c r="L59" s="217">
        <f t="shared" si="12"/>
        <v>-12030240.539999999</v>
      </c>
      <c r="M59" s="217">
        <f t="shared" si="12"/>
        <v>15125016.220000003</v>
      </c>
      <c r="N59" s="217">
        <f t="shared" si="12"/>
        <v>47891395.07</v>
      </c>
      <c r="O59" s="217">
        <f t="shared" si="12"/>
        <v>-18091119.399999995</v>
      </c>
      <c r="P59" s="217">
        <f t="shared" si="12"/>
        <v>-5262997.0399999712</v>
      </c>
      <c r="Q59" s="217">
        <f t="shared" si="12"/>
        <v>-31113916.130000047</v>
      </c>
      <c r="R59" s="217">
        <f t="shared" si="12"/>
        <v>-38351308.399999976</v>
      </c>
      <c r="S59" s="251">
        <f t="shared" si="4"/>
        <v>-537622121.99999988</v>
      </c>
      <c r="T59" s="474">
        <f t="shared" si="3"/>
        <v>-10.849839277223779</v>
      </c>
    </row>
    <row r="60" spans="1:22" ht="13.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+SUM(G61:G64)</f>
        <v>62082443.609999992</v>
      </c>
      <c r="H60" s="151">
        <f t="shared" ref="H60:R60" si="13">+SUM(H61:H64)</f>
        <v>75820805.090000033</v>
      </c>
      <c r="I60" s="151">
        <f t="shared" si="13"/>
        <v>249036492.54000002</v>
      </c>
      <c r="J60" s="151">
        <f t="shared" si="13"/>
        <v>72987358.319999963</v>
      </c>
      <c r="K60" s="151">
        <f t="shared" si="13"/>
        <v>35861852.219999984</v>
      </c>
      <c r="L60" s="151">
        <f t="shared" si="13"/>
        <v>12030240.539999999</v>
      </c>
      <c r="M60" s="151">
        <f t="shared" si="13"/>
        <v>-15125016.220000003</v>
      </c>
      <c r="N60" s="151">
        <f t="shared" si="13"/>
        <v>-47891395.07</v>
      </c>
      <c r="O60" s="151">
        <f t="shared" si="13"/>
        <v>18091119.399999995</v>
      </c>
      <c r="P60" s="151">
        <f t="shared" si="13"/>
        <v>5262997.0399999712</v>
      </c>
      <c r="Q60" s="151">
        <f t="shared" si="13"/>
        <v>31113916.130000047</v>
      </c>
      <c r="R60" s="151">
        <f t="shared" si="13"/>
        <v>38351308.399999976</v>
      </c>
      <c r="S60" s="252">
        <f t="shared" si="4"/>
        <v>537622121.99999988</v>
      </c>
      <c r="T60" s="475">
        <f t="shared" si="3"/>
        <v>10.849839277223779</v>
      </c>
    </row>
    <row r="61" spans="1:22">
      <c r="A61" s="144">
        <v>7511</v>
      </c>
      <c r="B61" s="561" t="str">
        <f>+VLOOKUP($A61,Master!$D$29:$G$225,4,FALSE)</f>
        <v>Pozajmice i krediti od domaćih izvora</v>
      </c>
      <c r="C61" s="562"/>
      <c r="D61" s="562"/>
      <c r="E61" s="562"/>
      <c r="F61" s="562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6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  <c r="U61" s="502"/>
      <c r="V61" s="311"/>
    </row>
    <row r="62" spans="1:22">
      <c r="A62" s="144">
        <v>7512</v>
      </c>
      <c r="B62" s="537" t="str">
        <f>+VLOOKUP($A62,Master!$D$29:$G$225,4,FALSE)</f>
        <v>Pozajmice i krediti od inostranih izvora</v>
      </c>
      <c r="C62" s="538"/>
      <c r="D62" s="538"/>
      <c r="E62" s="538"/>
      <c r="F62" s="538"/>
      <c r="G62" s="211">
        <v>8076079.9500000002</v>
      </c>
      <c r="H62" s="211">
        <v>3769107.63</v>
      </c>
      <c r="I62" s="211">
        <v>1856107.06</v>
      </c>
      <c r="J62" s="211">
        <v>15210844.42</v>
      </c>
      <c r="K62" s="211">
        <v>3053139.49</v>
      </c>
      <c r="L62" s="211">
        <v>34333659.25</v>
      </c>
      <c r="M62" s="486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11705434.800000001</v>
      </c>
      <c r="R62" s="211">
        <v>19527458.25</v>
      </c>
      <c r="S62" s="250">
        <f t="shared" si="4"/>
        <v>123577703.63</v>
      </c>
      <c r="T62" s="472">
        <f t="shared" si="3"/>
        <v>2.4939416883479617</v>
      </c>
      <c r="U62" s="502"/>
      <c r="V62" s="311"/>
    </row>
    <row r="63" spans="1:22">
      <c r="A63" s="144">
        <v>72</v>
      </c>
      <c r="B63" s="537" t="str">
        <f>+VLOOKUP($A63,Master!$D$29:$G$225,4,FALSE)</f>
        <v>Primici od prodaje imovine</v>
      </c>
      <c r="C63" s="538"/>
      <c r="D63" s="538"/>
      <c r="E63" s="538"/>
      <c r="F63" s="538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6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8.9878385087251239E-2</v>
      </c>
      <c r="U63" s="502"/>
      <c r="V63" s="311"/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53971615.04999999</v>
      </c>
      <c r="H64" s="225">
        <f t="shared" ref="H64:R64" si="14">-H59-SUM(H61:H63)</f>
        <v>72022129.13000004</v>
      </c>
      <c r="I64" s="225">
        <f t="shared" si="14"/>
        <v>247128221.09000003</v>
      </c>
      <c r="J64" s="225">
        <f t="shared" si="14"/>
        <v>57737261.929999962</v>
      </c>
      <c r="K64" s="225">
        <f t="shared" si="14"/>
        <v>32511561.159999985</v>
      </c>
      <c r="L64" s="225">
        <f t="shared" si="14"/>
        <v>-22520097.910000004</v>
      </c>
      <c r="M64" s="225">
        <f t="shared" si="14"/>
        <v>-20685758.490000002</v>
      </c>
      <c r="N64" s="225">
        <f t="shared" si="14"/>
        <v>-53868225.990000002</v>
      </c>
      <c r="O64" s="225">
        <f t="shared" si="14"/>
        <v>10442616.949999996</v>
      </c>
      <c r="P64" s="225">
        <f t="shared" si="14"/>
        <v>-2470416.2500000289</v>
      </c>
      <c r="Q64" s="225">
        <f t="shared" si="14"/>
        <v>19304309.050000049</v>
      </c>
      <c r="R64" s="225">
        <f t="shared" si="14"/>
        <v>16017624.409999974</v>
      </c>
      <c r="S64" s="253">
        <f>+SUM(G64:R64)</f>
        <v>409590840.13</v>
      </c>
      <c r="T64" s="476">
        <f t="shared" si="3"/>
        <v>8.2660192037885682</v>
      </c>
    </row>
    <row r="65" spans="7:18">
      <c r="R65" s="312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9" t="str">
        <f>+Master!G252</f>
        <v>Plan ostvarenja budžeta</v>
      </c>
      <c r="C81" s="590"/>
      <c r="D81" s="590"/>
      <c r="E81" s="590"/>
      <c r="F81" s="590"/>
      <c r="G81" s="574">
        <v>2021</v>
      </c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6"/>
      <c r="S81" s="107" t="str">
        <f>+S7</f>
        <v>BDP</v>
      </c>
      <c r="T81" s="108">
        <v>4636600000</v>
      </c>
    </row>
    <row r="82" spans="1:21" ht="15.75" customHeight="1">
      <c r="B82" s="591"/>
      <c r="C82" s="592"/>
      <c r="D82" s="592"/>
      <c r="E82" s="592"/>
      <c r="F82" s="593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574" t="str">
        <f>+Master!G246</f>
        <v>Jan - Dec</v>
      </c>
      <c r="T82" s="576">
        <f>+T8</f>
        <v>0</v>
      </c>
    </row>
    <row r="83" spans="1:21" ht="13.5" thickBot="1">
      <c r="B83" s="594"/>
      <c r="C83" s="595"/>
      <c r="D83" s="595"/>
      <c r="E83" s="595"/>
      <c r="F83" s="596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617" t="str">
        <f>+VLOOKUP(LEFT($A84,LEN(A84)-1)*1,Master!$D$29:$G$225,4,FALSE)</f>
        <v>Prihodi budžeta</v>
      </c>
      <c r="C84" s="618"/>
      <c r="D84" s="618"/>
      <c r="E84" s="618"/>
      <c r="F84" s="618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85" t="str">
        <f>+VLOOKUP(LEFT($A85,LEN(A85)-1)*1,Master!$D$29:$G$225,4,FALSE)</f>
        <v>Porezi</v>
      </c>
      <c r="C85" s="586"/>
      <c r="D85" s="586"/>
      <c r="E85" s="586"/>
      <c r="F85" s="586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87" t="str">
        <f>+VLOOKUP(LEFT($A86,LEN(A86)-1)*1,Master!$D$29:$G$228,4,FALSE)</f>
        <v>Porez na dohodak fizičkih lica</v>
      </c>
      <c r="C86" s="588"/>
      <c r="D86" s="588"/>
      <c r="E86" s="588"/>
      <c r="F86" s="588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87" t="str">
        <f>+VLOOKUP(LEFT($A87,LEN(A87)-1)*1,Master!$D$29:$G$228,4,FALSE)</f>
        <v>Porez na dobit pravnih lica</v>
      </c>
      <c r="C87" s="588"/>
      <c r="D87" s="588"/>
      <c r="E87" s="588"/>
      <c r="F87" s="588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87" t="str">
        <f>+VLOOKUP(LEFT($A88,LEN(A88)-1)*1,Master!$D$29:$G$228,4,FALSE)</f>
        <v>Porez na promet nepokretnosti</v>
      </c>
      <c r="C88" s="588"/>
      <c r="D88" s="588"/>
      <c r="E88" s="588"/>
      <c r="F88" s="588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87" t="str">
        <f>+VLOOKUP(LEFT($A89,LEN(A89)-1)*1,Master!$D$29:$G$228,4,FALSE)</f>
        <v>Porez na dodatu vrijednost</v>
      </c>
      <c r="C89" s="588"/>
      <c r="D89" s="588"/>
      <c r="E89" s="588"/>
      <c r="F89" s="588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87" t="str">
        <f>+VLOOKUP(LEFT($A90,LEN(A90)-1)*1,Master!$D$29:$G$228,4,FALSE)</f>
        <v>Akcize</v>
      </c>
      <c r="C90" s="588"/>
      <c r="D90" s="588"/>
      <c r="E90" s="588"/>
      <c r="F90" s="588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87" t="str">
        <f>+VLOOKUP(LEFT($A91,LEN(A91)-1)*1,Master!$D$29:$G$228,4,FALSE)</f>
        <v>Porez na međunarodnu trgovinu i transakcije</v>
      </c>
      <c r="C91" s="588"/>
      <c r="D91" s="588"/>
      <c r="E91" s="588"/>
      <c r="F91" s="588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87" t="str">
        <f>+VLOOKUP(LEFT($A92,LEN(A92)-1)*1,Master!$D$29:$G$228,4,FALSE)</f>
        <v>Ostali državni porezi</v>
      </c>
      <c r="C92" s="588"/>
      <c r="D92" s="588"/>
      <c r="E92" s="588"/>
      <c r="F92" s="588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619" t="str">
        <f>+VLOOKUP(LEFT($A93,LEN(A93)-1)*1,Master!$D$29:$G$228,4,FALSE)</f>
        <v>Doprinosi</v>
      </c>
      <c r="C93" s="620"/>
      <c r="D93" s="620"/>
      <c r="E93" s="620"/>
      <c r="F93" s="620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87" t="str">
        <f>+VLOOKUP(LEFT($A94,LEN(A94)-1)*1,Master!$D$29:$G$228,4,FALSE)</f>
        <v>Doprinosi za penzijsko i invalidsko osiguranje</v>
      </c>
      <c r="C94" s="588"/>
      <c r="D94" s="588"/>
      <c r="E94" s="588"/>
      <c r="F94" s="588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87" t="str">
        <f>+VLOOKUP(LEFT($A95,LEN(A95)-1)*1,Master!$D$29:$G$228,4,FALSE)</f>
        <v>Doprinosi za zdravstveno osiguranje</v>
      </c>
      <c r="C95" s="588"/>
      <c r="D95" s="588"/>
      <c r="E95" s="588"/>
      <c r="F95" s="588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87" t="str">
        <f>+VLOOKUP(LEFT($A96,LEN(A96)-1)*1,Master!$D$29:$G$228,4,FALSE)</f>
        <v>Doprinosi za osiguranje od nezaposlenosti</v>
      </c>
      <c r="C96" s="588"/>
      <c r="D96" s="588"/>
      <c r="E96" s="588"/>
      <c r="F96" s="588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87" t="str">
        <f>+VLOOKUP(LEFT($A97,LEN(A97)-1)*1,Master!$D$29:$G$228,4,FALSE)</f>
        <v>Ostali doprinosi</v>
      </c>
      <c r="C97" s="588"/>
      <c r="D97" s="588"/>
      <c r="E97" s="588"/>
      <c r="F97" s="588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97" t="str">
        <f>+VLOOKUP(LEFT($A98,LEN(A98)-1)*1,Master!$D$29:$G$228,4,FALSE)</f>
        <v>Takse</v>
      </c>
      <c r="C98" s="598"/>
      <c r="D98" s="598"/>
      <c r="E98" s="598"/>
      <c r="F98" s="598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97" t="str">
        <f>+VLOOKUP(LEFT($A99,LEN(A99)-1)*1,Master!$D$29:$G$228,4,FALSE)</f>
        <v>Naknade</v>
      </c>
      <c r="C99" s="598"/>
      <c r="D99" s="598"/>
      <c r="E99" s="598"/>
      <c r="F99" s="598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97" t="str">
        <f>+VLOOKUP(LEFT($A100,LEN(A100)-1)*1,Master!$D$29:$G$228,4,FALSE)</f>
        <v>Ostali prihodi</v>
      </c>
      <c r="C100" s="598"/>
      <c r="D100" s="598"/>
      <c r="E100" s="598"/>
      <c r="F100" s="598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97" t="str">
        <f>+VLOOKUP(LEFT($A101,LEN(A101)-1)*1,Master!$D$29:$G$228,4,FALSE)</f>
        <v>Primici od otplate kredita i sredstva prenesena iz prethodne godine</v>
      </c>
      <c r="C101" s="598"/>
      <c r="D101" s="598"/>
      <c r="E101" s="598"/>
      <c r="F101" s="598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99" t="str">
        <f>+VLOOKUP(LEFT($A102,LEN(A102)-1)*1,Master!$D$29:$G$228,4,FALSE)</f>
        <v>Donacije i transferi</v>
      </c>
      <c r="C102" s="600"/>
      <c r="D102" s="600"/>
      <c r="E102" s="600"/>
      <c r="F102" s="600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83" t="str">
        <f>+VLOOKUP(LEFT($A103,LEN(A103)-1)*1,Master!$D$29:$G$228,4,FALSE)</f>
        <v>Izdaci budžeta</v>
      </c>
      <c r="C103" s="584"/>
      <c r="D103" s="584"/>
      <c r="E103" s="584"/>
      <c r="F103" s="584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601" t="str">
        <f>+VLOOKUP(LEFT($A104,LEN(A104)-1)*1,Master!$D$29:$G$228,4,FALSE)</f>
        <v>Tekući izdaci</v>
      </c>
      <c r="C104" s="602"/>
      <c r="D104" s="602"/>
      <c r="E104" s="602"/>
      <c r="F104" s="602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87" t="str">
        <f>+VLOOKUP(LEFT($A105,LEN(A105)-1)*1,Master!$D$29:$G$228,4,FALSE)</f>
        <v>Bruto zarade i doprinosi na teret poslodavca</v>
      </c>
      <c r="C105" s="588"/>
      <c r="D105" s="588"/>
      <c r="E105" s="588"/>
      <c r="F105" s="588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87" t="str">
        <f>+VLOOKUP(LEFT($A106,LEN(A106)-1)*1,Master!$D$29:$G$228,4,FALSE)</f>
        <v>Ostala lična primanja</v>
      </c>
      <c r="C106" s="588"/>
      <c r="D106" s="588"/>
      <c r="E106" s="588"/>
      <c r="F106" s="588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87" t="str">
        <f>+VLOOKUP(LEFT($A107,LEN(A107)-1)*1,Master!$D$29:$G$228,4,FALSE)</f>
        <v>Rashodi za materijal</v>
      </c>
      <c r="C107" s="588"/>
      <c r="D107" s="588"/>
      <c r="E107" s="588"/>
      <c r="F107" s="588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87" t="str">
        <f>+VLOOKUP(LEFT($A108,LEN(A108)-1)*1,Master!$D$29:$G$228,4,FALSE)</f>
        <v>Rashodi za usluge</v>
      </c>
      <c r="C108" s="588"/>
      <c r="D108" s="588"/>
      <c r="E108" s="588"/>
      <c r="F108" s="588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87" t="str">
        <f>+VLOOKUP(LEFT($A109,LEN(A109)-1)*1,Master!$D$29:$G$228,4,FALSE)</f>
        <v>Rashodi za tekuće održavanje</v>
      </c>
      <c r="C109" s="588"/>
      <c r="D109" s="588"/>
      <c r="E109" s="588"/>
      <c r="F109" s="588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87" t="str">
        <f>+VLOOKUP(LEFT($A110,LEN(A110)-1)*1,Master!$D$29:$G$228,4,FALSE)</f>
        <v>Kamate</v>
      </c>
      <c r="C110" s="588"/>
      <c r="D110" s="588"/>
      <c r="E110" s="588"/>
      <c r="F110" s="588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87" t="str">
        <f>+VLOOKUP(LEFT($A111,LEN(A111)-1)*1,Master!$D$29:$G$228,4,FALSE)</f>
        <v>Renta</v>
      </c>
      <c r="C111" s="588"/>
      <c r="D111" s="588"/>
      <c r="E111" s="588"/>
      <c r="F111" s="588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87" t="str">
        <f>+VLOOKUP(LEFT($A112,LEN(A112)-1)*1,Master!$D$29:$G$228,4,FALSE)</f>
        <v>Subvencije</v>
      </c>
      <c r="C112" s="588"/>
      <c r="D112" s="588"/>
      <c r="E112" s="588"/>
      <c r="F112" s="588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87" t="str">
        <f>+VLOOKUP(LEFT($A113,LEN(A113)-1)*1,Master!$D$29:$G$228,4,FALSE)</f>
        <v>Ostali izdaci</v>
      </c>
      <c r="C113" s="588"/>
      <c r="D113" s="588"/>
      <c r="E113" s="588"/>
      <c r="F113" s="588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607" t="str">
        <f>+VLOOKUP(LEFT($A114,LEN(A114)-1)*1,Master!$D$29:$G$228,4,FALSE)</f>
        <v>Transferi za socijalnu zaštitu</v>
      </c>
      <c r="C114" s="608"/>
      <c r="D114" s="608"/>
      <c r="E114" s="608"/>
      <c r="F114" s="608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87" t="str">
        <f>+VLOOKUP(LEFT($A115,LEN(A115)-1)*1,Master!$D$29:$G$228,4,FALSE)</f>
        <v>Prava iz oblasti socijalne zaštite</v>
      </c>
      <c r="C115" s="588"/>
      <c r="D115" s="588"/>
      <c r="E115" s="588"/>
      <c r="F115" s="588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87" t="str">
        <f>+VLOOKUP(LEFT($A116,LEN(A116)-1)*1,Master!$D$29:$G$228,4,FALSE)</f>
        <v>Sredstva za tehnološke viškove</v>
      </c>
      <c r="C116" s="588"/>
      <c r="D116" s="588"/>
      <c r="E116" s="588"/>
      <c r="F116" s="588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87" t="str">
        <f>+VLOOKUP(LEFT($A117,LEN(A117)-1)*1,Master!$D$29:$G$228,4,FALSE)</f>
        <v>Prava iz oblasti penzijskog i invalidskog osiguranja</v>
      </c>
      <c r="C117" s="588"/>
      <c r="D117" s="588"/>
      <c r="E117" s="588"/>
      <c r="F117" s="588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87" t="str">
        <f>+VLOOKUP(LEFT($A118,LEN(A118)-1)*1,Master!$D$29:$G$228,4,FALSE)</f>
        <v>Ostala prava iz oblasti zdravstvene zaštite</v>
      </c>
      <c r="C118" s="588"/>
      <c r="D118" s="588"/>
      <c r="E118" s="588"/>
      <c r="F118" s="588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87" t="str">
        <f>+VLOOKUP(LEFT($A119,LEN(A119)-1)*1,Master!$D$29:$G$228,4,FALSE)</f>
        <v>Ostala prava iz zdravstvenog osiguranja</v>
      </c>
      <c r="C119" s="588"/>
      <c r="D119" s="588"/>
      <c r="E119" s="588"/>
      <c r="F119" s="588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603" t="str">
        <f>+VLOOKUP(LEFT($A120,LEN(A120)-1)*1,Master!$D$29:$G$228,4,FALSE)</f>
        <v xml:space="preserve">Transferi institucijama, pojedincima, nevladinom i javnom sektoru </v>
      </c>
      <c r="C120" s="604"/>
      <c r="D120" s="604"/>
      <c r="E120" s="604"/>
      <c r="F120" s="604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603" t="str">
        <f>+VLOOKUP(LEFT($A121,LEN(A121)-1)*1,Master!$D$29:$G$228,4,FALSE)</f>
        <v>Kapitalni izdaci</v>
      </c>
      <c r="C121" s="604"/>
      <c r="D121" s="604"/>
      <c r="E121" s="604"/>
      <c r="F121" s="604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605" t="str">
        <f>+VLOOKUP(LEFT($A122,LEN(A122)-1)*1,Master!$D$29:$G$228,4,FALSE)</f>
        <v>Pozajmice i krediti</v>
      </c>
      <c r="C122" s="606"/>
      <c r="D122" s="606"/>
      <c r="E122" s="606"/>
      <c r="F122" s="606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605" t="str">
        <f>+VLOOKUP(LEFT($A123,LEN(A123)-1)*1,Master!$D$29:$G$228,4,FALSE)</f>
        <v>Rezerve</v>
      </c>
      <c r="C123" s="606"/>
      <c r="D123" s="606"/>
      <c r="E123" s="606"/>
      <c r="F123" s="606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605" t="str">
        <f>+VLOOKUP(LEFT($A124,LEN(A124)-1)*1,Master!$D$29:$G$228,4,FALSE)</f>
        <v>Otplata garancija</v>
      </c>
      <c r="C124" s="606"/>
      <c r="D124" s="606"/>
      <c r="E124" s="606"/>
      <c r="F124" s="606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605" t="str">
        <f>+VLOOKUP(LEFT($A125,LEN(A125)-1)*1,Master!$D$29:$G$228,4,FALSE)</f>
        <v>Otplata obaveza iz prethodnog perioda</v>
      </c>
      <c r="C125" s="606"/>
      <c r="D125" s="606"/>
      <c r="E125" s="606"/>
      <c r="F125" s="606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605" t="str">
        <f>+VLOOKUP(LEFT($A126,LEN(A126)-1)*1,Master!$D$29:$G$228,4,FALSE)</f>
        <v>Neto povećanje obaveza</v>
      </c>
      <c r="C126" s="606"/>
      <c r="D126" s="606"/>
      <c r="E126" s="606"/>
      <c r="F126" s="606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613" t="str">
        <f>+VLOOKUP(LEFT($A127,LEN(A127)-1)*1,Master!$D$29:$G$225,4,FALSE)</f>
        <v>Suficit / deficit</v>
      </c>
      <c r="C127" s="614"/>
      <c r="D127" s="614"/>
      <c r="E127" s="614"/>
      <c r="F127" s="614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15" t="str">
        <f>+VLOOKUP(LEFT($A128,LEN(A128)-1)*1,Master!$D$29:$G$225,4,FALSE)</f>
        <v>Primarni suficit/deficit</v>
      </c>
      <c r="C128" s="616"/>
      <c r="D128" s="616"/>
      <c r="E128" s="616"/>
      <c r="F128" s="616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607" t="str">
        <f>+VLOOKUP(LEFT($A129,LEN(A129)-1)*1,Master!$D$29:$G$225,4,FALSE)</f>
        <v>Otplata dugova</v>
      </c>
      <c r="C129" s="608"/>
      <c r="D129" s="608"/>
      <c r="E129" s="608"/>
      <c r="F129" s="608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4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611" t="str">
        <f>+VLOOKUP(LEFT($A130,LEN(A130)-1)*1,Master!$D$29:$G$225,4,FALSE)</f>
        <v>Otplata hartija od vrijednosti i kredita rezidentima</v>
      </c>
      <c r="C130" s="612"/>
      <c r="D130" s="612"/>
      <c r="E130" s="612"/>
      <c r="F130" s="612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3">
        <v>294018.01</v>
      </c>
      <c r="N130" s="483">
        <v>1750047.75</v>
      </c>
      <c r="O130" s="483">
        <v>2421267.87</v>
      </c>
      <c r="P130" s="483">
        <v>3875503.62</v>
      </c>
      <c r="Q130" s="483">
        <v>3741551.76</v>
      </c>
      <c r="R130" s="483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605" t="str">
        <f>+VLOOKUP(LEFT($A131,LEN(A131)-1)*1,Master!$D$29:$G$225,4,FALSE)</f>
        <v>Otplata hartija od vrijednosti i kredita nerezidentima</v>
      </c>
      <c r="C131" s="606"/>
      <c r="D131" s="606"/>
      <c r="E131" s="606"/>
      <c r="F131" s="606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3">
        <v>25464619.924741425</v>
      </c>
      <c r="N131" s="483">
        <v>3126864.3779565003</v>
      </c>
      <c r="O131" s="483">
        <v>11497770.422649164</v>
      </c>
      <c r="P131" s="483">
        <v>3625120.5096505</v>
      </c>
      <c r="Q131" s="483">
        <v>4121213.775667767</v>
      </c>
      <c r="R131" s="483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83" t="str">
        <f>+VLOOKUP(LEFT($A132,LEN(A132)-1)*1,Master!$D$29:$G$225,4,FALSE)</f>
        <v>Izdaci za kupovinu hartija od vrijednosti</v>
      </c>
      <c r="C132" s="584"/>
      <c r="D132" s="584"/>
      <c r="E132" s="584"/>
      <c r="F132" s="584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609" t="str">
        <f>+VLOOKUP(LEFT($A133,LEN(A133)-1)*1,Master!$D$29:$G$225,4,FALSE)</f>
        <v>Nedostajuća sredstva</v>
      </c>
      <c r="C133" s="610"/>
      <c r="D133" s="610"/>
      <c r="E133" s="610"/>
      <c r="F133" s="610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83" t="str">
        <f>+VLOOKUP(LEFT($A134,LEN(A134)-1)*1,Master!$D$29:$G$225,4,FALSE)</f>
        <v>Finansiranje</v>
      </c>
      <c r="C134" s="584"/>
      <c r="D134" s="584"/>
      <c r="E134" s="584"/>
      <c r="F134" s="584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611" t="str">
        <f>+VLOOKUP(LEFT($A135,LEN(A135)-1)*1,Master!$D$29:$G$225,4,FALSE)</f>
        <v>Pozajmice i krediti od domaćih izvora</v>
      </c>
      <c r="C135" s="612"/>
      <c r="D135" s="612"/>
      <c r="E135" s="612"/>
      <c r="F135" s="612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605" t="str">
        <f>+VLOOKUP(LEFT($A136,LEN(A136)-1)*1,Master!$D$29:$G$225,4,FALSE)</f>
        <v>Pozajmice i krediti od inostranih izvora</v>
      </c>
      <c r="C136" s="606"/>
      <c r="D136" s="606"/>
      <c r="E136" s="606"/>
      <c r="F136" s="606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605" t="str">
        <f>+VLOOKUP(LEFT($A137,LEN(A137)-1)*1,Master!$D$29:$G$225,4,FALSE)</f>
        <v>Primici od prodaje imovine</v>
      </c>
      <c r="C137" s="606"/>
      <c r="D137" s="606"/>
      <c r="E137" s="606"/>
      <c r="F137" s="606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5"/>
    </row>
    <row r="145" spans="19:19">
      <c r="S145" s="311"/>
    </row>
    <row r="146" spans="19:19">
      <c r="S146" s="311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498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67" t="str">
        <f>+Master!G251</f>
        <v>Ostvarenje budžeta</v>
      </c>
      <c r="C7" s="548"/>
      <c r="D7" s="548"/>
      <c r="E7" s="548"/>
      <c r="F7" s="548"/>
      <c r="G7" s="556">
        <v>2020</v>
      </c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60"/>
      <c r="S7" s="235" t="str">
        <f>+Master!G248</f>
        <v>BDP</v>
      </c>
      <c r="T7" s="236">
        <v>4185600000</v>
      </c>
    </row>
    <row r="8" spans="1:20" ht="16.5" customHeight="1">
      <c r="A8" s="144"/>
      <c r="B8" s="549"/>
      <c r="C8" s="550"/>
      <c r="D8" s="550"/>
      <c r="E8" s="550"/>
      <c r="F8" s="551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56" t="str">
        <f>+Master!G246</f>
        <v>Jan - Dec</v>
      </c>
      <c r="T8" s="560"/>
    </row>
    <row r="9" spans="1:20" ht="13.5" thickBot="1">
      <c r="A9" s="144"/>
      <c r="B9" s="552"/>
      <c r="C9" s="553"/>
      <c r="D9" s="553"/>
      <c r="E9" s="553"/>
      <c r="F9" s="55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15" t="str">
        <f>+VLOOKUP($A10,Master!$D$29:$G$225,4,FALSE)</f>
        <v>Prihodi budžeta</v>
      </c>
      <c r="C10" s="516"/>
      <c r="D10" s="516"/>
      <c r="E10" s="516"/>
      <c r="F10" s="516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17" t="str">
        <f>+VLOOKUP($A11,Master!$D$29:$G$225,4,FALSE)</f>
        <v>Porezi</v>
      </c>
      <c r="C11" s="518"/>
      <c r="D11" s="518"/>
      <c r="E11" s="518"/>
      <c r="F11" s="518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19" t="str">
        <f>+VLOOKUP($A12,Master!$D$29:$G$225,4,FALSE)</f>
        <v>Porez na dohodak fizičkih lica</v>
      </c>
      <c r="C12" s="520"/>
      <c r="D12" s="520"/>
      <c r="E12" s="520"/>
      <c r="F12" s="520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19" t="str">
        <f>+VLOOKUP($A13,Master!$D$29:$G$225,4,FALSE)</f>
        <v>Porez na dobit pravnih lica</v>
      </c>
      <c r="C13" s="520"/>
      <c r="D13" s="520"/>
      <c r="E13" s="520"/>
      <c r="F13" s="520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19" t="str">
        <f>+VLOOKUP($A14,Master!$D$29:$G$225,4,FALSE)</f>
        <v>Porez na promet nepokretnosti</v>
      </c>
      <c r="C14" s="520"/>
      <c r="D14" s="520"/>
      <c r="E14" s="520"/>
      <c r="F14" s="520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19" t="str">
        <f>+VLOOKUP($A15,Master!$D$29:$G$225,4,FALSE)</f>
        <v>Porez na dodatu vrijednost</v>
      </c>
      <c r="C15" s="520"/>
      <c r="D15" s="520"/>
      <c r="E15" s="520"/>
      <c r="F15" s="520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19" t="str">
        <f>+VLOOKUP($A16,Master!$D$29:$G$225,4,FALSE)</f>
        <v>Akcize</v>
      </c>
      <c r="C16" s="520"/>
      <c r="D16" s="520"/>
      <c r="E16" s="520"/>
      <c r="F16" s="520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19" t="str">
        <f>+VLOOKUP($A17,Master!$D$29:$G$225,4,FALSE)</f>
        <v>Porez na međunarodnu trgovinu i transakcije</v>
      </c>
      <c r="C17" s="520"/>
      <c r="D17" s="520"/>
      <c r="E17" s="520"/>
      <c r="F17" s="520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19" t="str">
        <f>+VLOOKUP($A18,Master!$D$29:$G$225,4,FALSE)</f>
        <v>Ostali državni porezi</v>
      </c>
      <c r="C18" s="520"/>
      <c r="D18" s="520"/>
      <c r="E18" s="520"/>
      <c r="F18" s="520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23" t="str">
        <f>+VLOOKUP($A19,Master!$D$29:$G$225,4,FALSE)</f>
        <v>Doprinosi</v>
      </c>
      <c r="C19" s="524"/>
      <c r="D19" s="524"/>
      <c r="E19" s="524"/>
      <c r="F19" s="524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19" t="str">
        <f>+VLOOKUP($A20,Master!$D$29:$G$225,4,FALSE)</f>
        <v>Doprinosi za penzijsko i invalidsko osiguranje</v>
      </c>
      <c r="C20" s="520"/>
      <c r="D20" s="520"/>
      <c r="E20" s="520"/>
      <c r="F20" s="520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19" t="str">
        <f>+VLOOKUP($A21,Master!$D$29:$G$225,4,FALSE)</f>
        <v>Doprinosi za zdravstveno osiguranje</v>
      </c>
      <c r="C21" s="520"/>
      <c r="D21" s="520"/>
      <c r="E21" s="520"/>
      <c r="F21" s="520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19" t="str">
        <f>+VLOOKUP($A22,Master!$D$29:$G$225,4,FALSE)</f>
        <v>Doprinosi za osiguranje od nezaposlenosti</v>
      </c>
      <c r="C22" s="520"/>
      <c r="D22" s="520"/>
      <c r="E22" s="520"/>
      <c r="F22" s="520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19" t="str">
        <f>+VLOOKUP($A23,Master!$D$29:$G$225,4,FALSE)</f>
        <v>Ostali doprinosi</v>
      </c>
      <c r="C23" s="520"/>
      <c r="D23" s="520"/>
      <c r="E23" s="520"/>
      <c r="F23" s="520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21" t="str">
        <f>+VLOOKUP($A24,Master!$D$29:$G$225,4,FALSE)</f>
        <v>Takse</v>
      </c>
      <c r="C24" s="522"/>
      <c r="D24" s="522"/>
      <c r="E24" s="522"/>
      <c r="F24" s="522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21" t="str">
        <f>+VLOOKUP($A25,Master!$D$29:$G$225,4,FALSE)</f>
        <v>Naknade</v>
      </c>
      <c r="C25" s="522"/>
      <c r="D25" s="522"/>
      <c r="E25" s="522"/>
      <c r="F25" s="522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21" t="str">
        <f>+VLOOKUP($A26,Master!$D$29:$G$225,4,FALSE)</f>
        <v>Ostali prihodi</v>
      </c>
      <c r="C26" s="522"/>
      <c r="D26" s="522"/>
      <c r="E26" s="522"/>
      <c r="F26" s="522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21" t="str">
        <f>+VLOOKUP($A27,Master!$D$29:$G$225,4,FALSE)</f>
        <v>Primici od otplate kredita i sredstva prenesena iz prethodne godine</v>
      </c>
      <c r="C27" s="522"/>
      <c r="D27" s="522"/>
      <c r="E27" s="522"/>
      <c r="F27" s="522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25" t="str">
        <f>+VLOOKUP($A28,Master!$D$29:$G$225,4,FALSE)</f>
        <v>Donacije i transferi</v>
      </c>
      <c r="C28" s="526"/>
      <c r="D28" s="526"/>
      <c r="E28" s="526"/>
      <c r="F28" s="526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27" t="str">
        <f>+VLOOKUP($A29,Master!$D$29:$G$225,4,FALSE)</f>
        <v>Izdaci budžeta</v>
      </c>
      <c r="C29" s="528"/>
      <c r="D29" s="528"/>
      <c r="E29" s="528"/>
      <c r="F29" s="528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31" t="str">
        <f>+VLOOKUP($A30,Master!$D$29:$G$225,4,FALSE)</f>
        <v>Tekući izdaci</v>
      </c>
      <c r="C30" s="532"/>
      <c r="D30" s="532"/>
      <c r="E30" s="532"/>
      <c r="F30" s="532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19" t="str">
        <f>+VLOOKUP($A31,Master!$D$29:$G$225,4,FALSE)</f>
        <v>Bruto zarade i doprinosi na teret poslodavca</v>
      </c>
      <c r="C31" s="520"/>
      <c r="D31" s="520"/>
      <c r="E31" s="520"/>
      <c r="F31" s="520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19" t="str">
        <f>+VLOOKUP($A32,Master!$D$29:$G$225,4,FALSE)</f>
        <v>Ostala lična primanja</v>
      </c>
      <c r="C32" s="520"/>
      <c r="D32" s="520"/>
      <c r="E32" s="520"/>
      <c r="F32" s="520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19" t="str">
        <f>+VLOOKUP($A33,Master!$D$29:$G$225,4,FALSE)</f>
        <v>Rashodi za materijal</v>
      </c>
      <c r="C33" s="520"/>
      <c r="D33" s="520"/>
      <c r="E33" s="520"/>
      <c r="F33" s="520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568" t="str">
        <f>+VLOOKUP($A34,Master!$D$29:$G$225,4,FALSE)</f>
        <v>Rashodi za usluge</v>
      </c>
      <c r="C34" s="569"/>
      <c r="D34" s="569"/>
      <c r="E34" s="569"/>
      <c r="F34" s="569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19" t="str">
        <f>+VLOOKUP($A35,Master!$D$29:$G$225,4,FALSE)</f>
        <v>Rashodi za tekuće održavanje</v>
      </c>
      <c r="C35" s="520"/>
      <c r="D35" s="520"/>
      <c r="E35" s="520"/>
      <c r="F35" s="520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19" t="str">
        <f>+VLOOKUP($A36,Master!$D$29:$G$225,4,FALSE)</f>
        <v>Kamate</v>
      </c>
      <c r="C36" s="520"/>
      <c r="D36" s="520"/>
      <c r="E36" s="520"/>
      <c r="F36" s="520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19" t="str">
        <f>+VLOOKUP($A37,Master!$D$29:$G$225,4,FALSE)</f>
        <v>Renta</v>
      </c>
      <c r="C37" s="520"/>
      <c r="D37" s="520"/>
      <c r="E37" s="520"/>
      <c r="F37" s="520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19" t="str">
        <f>+VLOOKUP($A38,Master!$D$29:$G$225,4,FALSE)</f>
        <v>Subvencije</v>
      </c>
      <c r="C38" s="520"/>
      <c r="D38" s="520"/>
      <c r="E38" s="520"/>
      <c r="F38" s="520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568" t="str">
        <f>+VLOOKUP($A39,Master!$D$29:$G$225,4,FALSE)</f>
        <v>Ostali izdaci</v>
      </c>
      <c r="C39" s="569"/>
      <c r="D39" s="569"/>
      <c r="E39" s="569"/>
      <c r="F39" s="569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35" t="str">
        <f>+VLOOKUP($A40,Master!$D$29:$G$225,4,FALSE)</f>
        <v>Transferi za socijalnu zaštitu</v>
      </c>
      <c r="C40" s="536"/>
      <c r="D40" s="536"/>
      <c r="E40" s="536"/>
      <c r="F40" s="536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19" t="str">
        <f>+VLOOKUP($A41,Master!$D$29:$G$225,4,FALSE)</f>
        <v>Prava iz oblasti socijalne zaštite</v>
      </c>
      <c r="C41" s="520"/>
      <c r="D41" s="520"/>
      <c r="E41" s="520"/>
      <c r="F41" s="520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19" t="str">
        <f>+VLOOKUP($A42,Master!$D$29:$G$225,4,FALSE)</f>
        <v>Sredstva za tehnološke viškove</v>
      </c>
      <c r="C42" s="520"/>
      <c r="D42" s="520"/>
      <c r="E42" s="520"/>
      <c r="F42" s="520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19" t="str">
        <f>+VLOOKUP($A43,Master!$D$29:$G$225,4,FALSE)</f>
        <v>Prava iz oblasti penzijskog i invalidskog osiguranja</v>
      </c>
      <c r="C43" s="520"/>
      <c r="D43" s="520"/>
      <c r="E43" s="520"/>
      <c r="F43" s="520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19" t="str">
        <f>+VLOOKUP($A44,Master!$D$29:$G$225,4,FALSE)</f>
        <v>Ostala prava iz oblasti zdravstvene zaštite</v>
      </c>
      <c r="C44" s="520"/>
      <c r="D44" s="520"/>
      <c r="E44" s="520"/>
      <c r="F44" s="520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570" t="str">
        <f>+VLOOKUP($A45,Master!$D$29:$G$225,4,FALSE)</f>
        <v>Ostala prava iz zdravstvenog osiguranja</v>
      </c>
      <c r="C45" s="571"/>
      <c r="D45" s="571"/>
      <c r="E45" s="571"/>
      <c r="F45" s="571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33" t="str">
        <f>+VLOOKUP($A46,Master!$D$29:$G$225,4,FALSE)</f>
        <v xml:space="preserve">Transferi institucijama, pojedincima, nevladinom i javnom sektoru </v>
      </c>
      <c r="C46" s="534"/>
      <c r="D46" s="534"/>
      <c r="E46" s="534"/>
      <c r="F46" s="534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33" t="str">
        <f>+VLOOKUP($A47,Master!$D$29:$G$225,4,FALSE)</f>
        <v>Kapitalni izdaci</v>
      </c>
      <c r="C47" s="534"/>
      <c r="D47" s="534"/>
      <c r="E47" s="534"/>
      <c r="F47" s="534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572" t="str">
        <f>+VLOOKUP($A48,Master!$D$29:$G$225,4,FALSE)</f>
        <v>Pozajmice i krediti</v>
      </c>
      <c r="C48" s="573"/>
      <c r="D48" s="573"/>
      <c r="E48" s="573"/>
      <c r="F48" s="573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577" t="str">
        <f>+VLOOKUP($A49,Master!$D$29:$G$225,4,FALSE)</f>
        <v>Rezerve</v>
      </c>
      <c r="C49" s="578"/>
      <c r="D49" s="578"/>
      <c r="E49" s="578"/>
      <c r="F49" s="578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39" t="str">
        <f>+VLOOKUP($A50,Master!$D$29:$G$225,4,FALSE)</f>
        <v>Otplata garancija</v>
      </c>
      <c r="C50" s="540"/>
      <c r="D50" s="540"/>
      <c r="E50" s="540"/>
      <c r="F50" s="540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579" t="str">
        <f>+VLOOKUP($A51,Master!$D$29:$G$225,4,TRUE)</f>
        <v>Otplata obaveza iz prethodnog perioda</v>
      </c>
      <c r="C51" s="580"/>
      <c r="D51" s="580"/>
      <c r="E51" s="580"/>
      <c r="F51" s="580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581" t="str">
        <f>+VLOOKUP($A52,Master!$D$29:$G$227,4,FALSE)</f>
        <v>Neto povećanje obaveza</v>
      </c>
      <c r="C52" s="582"/>
      <c r="D52" s="582"/>
      <c r="E52" s="582"/>
      <c r="F52" s="582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41" t="str">
        <f>+VLOOKUP($A53,Master!$D$29:$G$225,4,FALSE)</f>
        <v>Suficit / deficit</v>
      </c>
      <c r="C53" s="542"/>
      <c r="D53" s="542"/>
      <c r="E53" s="542"/>
      <c r="F53" s="542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43" t="str">
        <f>+VLOOKUP($A54,Master!$D$29:$G$225,4,FALSE)</f>
        <v>Primarni suficit/deficit</v>
      </c>
      <c r="C54" s="544"/>
      <c r="D54" s="544"/>
      <c r="E54" s="544"/>
      <c r="F54" s="544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65" t="str">
        <f>+VLOOKUP($A55,Master!$D$29:$G$225,4,FALSE)</f>
        <v>Otplata dugova</v>
      </c>
      <c r="C55" s="566"/>
      <c r="D55" s="566"/>
      <c r="E55" s="566"/>
      <c r="F55" s="566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61" t="str">
        <f>+VLOOKUP($A56,Master!$D$29:$G$225,4,FALSE)</f>
        <v>Otplata hartija od vrijednosti i kredita rezidentima</v>
      </c>
      <c r="C56" s="562"/>
      <c r="D56" s="562"/>
      <c r="E56" s="562"/>
      <c r="F56" s="562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37" t="str">
        <f>+VLOOKUP($A57,Master!$D$29:$G$225,4,FALSE)</f>
        <v>Otplata hartija od vrijednosti i kredita nerezidentima</v>
      </c>
      <c r="C57" s="538"/>
      <c r="D57" s="538"/>
      <c r="E57" s="538"/>
      <c r="F57" s="538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29" t="str">
        <f>+VLOOKUP($A58,Master!$D$29:$G$225,4,FALSE)</f>
        <v>Izdaci za kupovinu hartija od vrijednosti</v>
      </c>
      <c r="C58" s="530"/>
      <c r="D58" s="530"/>
      <c r="E58" s="530"/>
      <c r="F58" s="530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63" t="str">
        <f>+VLOOKUP($A59,Master!$D$29:$G$225,4,FALSE)</f>
        <v>Nedostajuća sredstva</v>
      </c>
      <c r="C59" s="564"/>
      <c r="D59" s="564"/>
      <c r="E59" s="564"/>
      <c r="F59" s="564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27" t="str">
        <f>+VLOOKUP($A60,Master!$D$29:$G$225,4,FALSE)</f>
        <v>Finansiranje</v>
      </c>
      <c r="C60" s="528"/>
      <c r="D60" s="528"/>
      <c r="E60" s="528"/>
      <c r="F60" s="528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61" t="str">
        <f>+VLOOKUP($A61,Master!$D$29:$G$225,4,FALSE)</f>
        <v>Pozajmice i krediti od domaćih izvora</v>
      </c>
      <c r="C61" s="562"/>
      <c r="D61" s="562"/>
      <c r="E61" s="562"/>
      <c r="F61" s="562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37" t="str">
        <f>+VLOOKUP($A62,Master!$D$29:$G$225,4,FALSE)</f>
        <v>Pozajmice i krediti od inostranih izvora</v>
      </c>
      <c r="C62" s="538"/>
      <c r="D62" s="538"/>
      <c r="E62" s="538"/>
      <c r="F62" s="538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37" t="str">
        <f>+VLOOKUP($A63,Master!$D$29:$G$225,4,FALSE)</f>
        <v>Primici od prodaje imovine</v>
      </c>
      <c r="C63" s="538"/>
      <c r="D63" s="538"/>
      <c r="E63" s="538"/>
      <c r="F63" s="538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9" t="str">
        <f>+Master!G252</f>
        <v>Plan ostvarenja budžeta</v>
      </c>
      <c r="C100" s="590"/>
      <c r="D100" s="590"/>
      <c r="E100" s="590"/>
      <c r="F100" s="590"/>
      <c r="G100" s="574">
        <v>2020</v>
      </c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6"/>
      <c r="S100" s="107" t="str">
        <f>+S7</f>
        <v>BDP</v>
      </c>
      <c r="T100" s="108">
        <v>4607300000</v>
      </c>
    </row>
    <row r="101" spans="1:21" ht="15.75" customHeight="1">
      <c r="B101" s="591"/>
      <c r="C101" s="592"/>
      <c r="D101" s="592"/>
      <c r="E101" s="592"/>
      <c r="F101" s="593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74" t="str">
        <f>+Master!G246</f>
        <v>Jan - Dec</v>
      </c>
      <c r="T101" s="576">
        <f>+T8</f>
        <v>0</v>
      </c>
    </row>
    <row r="102" spans="1:21" ht="13.5" thickBot="1">
      <c r="B102" s="594"/>
      <c r="C102" s="595"/>
      <c r="D102" s="595"/>
      <c r="E102" s="595"/>
      <c r="F102" s="596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617" t="str">
        <f>+VLOOKUP(LEFT($A103,LEN(A103)-1)*1,Master!$D$29:$G$225,4,FALSE)</f>
        <v>Prihodi budžeta</v>
      </c>
      <c r="C103" s="618"/>
      <c r="D103" s="618"/>
      <c r="E103" s="618"/>
      <c r="F103" s="618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85" t="str">
        <f>+VLOOKUP(LEFT($A104,LEN(A104)-1)*1,Master!$D$29:$G$225,4,FALSE)</f>
        <v>Porezi</v>
      </c>
      <c r="C104" s="586"/>
      <c r="D104" s="586"/>
      <c r="E104" s="586"/>
      <c r="F104" s="586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87" t="str">
        <f>+VLOOKUP(LEFT($A105,LEN(A105)-1)*1,Master!$D$29:$G$228,4,FALSE)</f>
        <v>Porez na dohodak fizičkih lica</v>
      </c>
      <c r="C105" s="588"/>
      <c r="D105" s="588"/>
      <c r="E105" s="588"/>
      <c r="F105" s="588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87" t="str">
        <f>+VLOOKUP(LEFT($A106,LEN(A106)-1)*1,Master!$D$29:$G$228,4,FALSE)</f>
        <v>Porez na dobit pravnih lica</v>
      </c>
      <c r="C106" s="588"/>
      <c r="D106" s="588"/>
      <c r="E106" s="588"/>
      <c r="F106" s="588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87" t="str">
        <f>+VLOOKUP(LEFT($A107,LEN(A107)-1)*1,Master!$D$29:$G$228,4,FALSE)</f>
        <v>Porez na promet nepokretnosti</v>
      </c>
      <c r="C107" s="588"/>
      <c r="D107" s="588"/>
      <c r="E107" s="588"/>
      <c r="F107" s="588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87" t="str">
        <f>+VLOOKUP(LEFT($A108,LEN(A108)-1)*1,Master!$D$29:$G$228,4,FALSE)</f>
        <v>Porez na dodatu vrijednost</v>
      </c>
      <c r="C108" s="588"/>
      <c r="D108" s="588"/>
      <c r="E108" s="588"/>
      <c r="F108" s="588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87" t="str">
        <f>+VLOOKUP(LEFT($A109,LEN(A109)-1)*1,Master!$D$29:$G$228,4,FALSE)</f>
        <v>Akcize</v>
      </c>
      <c r="C109" s="588"/>
      <c r="D109" s="588"/>
      <c r="E109" s="588"/>
      <c r="F109" s="588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87" t="str">
        <f>+VLOOKUP(LEFT($A110,LEN(A110)-1)*1,Master!$D$29:$G$228,4,FALSE)</f>
        <v>Porez na međunarodnu trgovinu i transakcije</v>
      </c>
      <c r="C110" s="588"/>
      <c r="D110" s="588"/>
      <c r="E110" s="588"/>
      <c r="F110" s="588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87" t="str">
        <f>+VLOOKUP(LEFT($A111,LEN(A111)-1)*1,Master!$D$29:$G$228,4,FALSE)</f>
        <v>Ostali državni porezi</v>
      </c>
      <c r="C111" s="588"/>
      <c r="D111" s="588"/>
      <c r="E111" s="588"/>
      <c r="F111" s="588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619" t="str">
        <f>+VLOOKUP(LEFT($A112,LEN(A112)-1)*1,Master!$D$29:$G$228,4,FALSE)</f>
        <v>Doprinosi</v>
      </c>
      <c r="C112" s="620"/>
      <c r="D112" s="620"/>
      <c r="E112" s="620"/>
      <c r="F112" s="620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87" t="str">
        <f>+VLOOKUP(LEFT($A113,LEN(A113)-1)*1,Master!$D$29:$G$228,4,FALSE)</f>
        <v>Doprinosi za penzijsko i invalidsko osiguranje</v>
      </c>
      <c r="C113" s="588"/>
      <c r="D113" s="588"/>
      <c r="E113" s="588"/>
      <c r="F113" s="588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87" t="str">
        <f>+VLOOKUP(LEFT($A114,LEN(A114)-1)*1,Master!$D$29:$G$228,4,FALSE)</f>
        <v>Doprinosi za zdravstveno osiguranje</v>
      </c>
      <c r="C114" s="588"/>
      <c r="D114" s="588"/>
      <c r="E114" s="588"/>
      <c r="F114" s="588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87" t="str">
        <f>+VLOOKUP(LEFT($A115,LEN(A115)-1)*1,Master!$D$29:$G$228,4,FALSE)</f>
        <v>Doprinosi za osiguranje od nezaposlenosti</v>
      </c>
      <c r="C115" s="588"/>
      <c r="D115" s="588"/>
      <c r="E115" s="588"/>
      <c r="F115" s="588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87" t="str">
        <f>+VLOOKUP(LEFT($A116,LEN(A116)-1)*1,Master!$D$29:$G$228,4,FALSE)</f>
        <v>Ostali doprinosi</v>
      </c>
      <c r="C116" s="588"/>
      <c r="D116" s="588"/>
      <c r="E116" s="588"/>
      <c r="F116" s="588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97" t="str">
        <f>+VLOOKUP(LEFT($A117,LEN(A117)-1)*1,Master!$D$29:$G$228,4,FALSE)</f>
        <v>Takse</v>
      </c>
      <c r="C117" s="598"/>
      <c r="D117" s="598"/>
      <c r="E117" s="598"/>
      <c r="F117" s="598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97" t="str">
        <f>+VLOOKUP(LEFT($A118,LEN(A118)-1)*1,Master!$D$29:$G$228,4,FALSE)</f>
        <v>Naknade</v>
      </c>
      <c r="C118" s="598"/>
      <c r="D118" s="598"/>
      <c r="E118" s="598"/>
      <c r="F118" s="598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97" t="str">
        <f>+VLOOKUP(LEFT($A119,LEN(A119)-1)*1,Master!$D$29:$G$228,4,FALSE)</f>
        <v>Ostali prihodi</v>
      </c>
      <c r="C119" s="598"/>
      <c r="D119" s="598"/>
      <c r="E119" s="598"/>
      <c r="F119" s="598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97" t="str">
        <f>+VLOOKUP(LEFT($A120,LEN(A120)-1)*1,Master!$D$29:$G$228,4,FALSE)</f>
        <v>Primici od otplate kredita i sredstva prenesena iz prethodne godine</v>
      </c>
      <c r="C120" s="598"/>
      <c r="D120" s="598"/>
      <c r="E120" s="598"/>
      <c r="F120" s="598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99" t="str">
        <f>+VLOOKUP(LEFT($A121,LEN(A121)-1)*1,Master!$D$29:$G$228,4,FALSE)</f>
        <v>Donacije i transferi</v>
      </c>
      <c r="C121" s="600"/>
      <c r="D121" s="600"/>
      <c r="E121" s="600"/>
      <c r="F121" s="600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83" t="str">
        <f>+VLOOKUP(LEFT($A122,LEN(A122)-1)*1,Master!$D$29:$G$228,4,FALSE)</f>
        <v>Izdaci budžeta</v>
      </c>
      <c r="C122" s="584"/>
      <c r="D122" s="584"/>
      <c r="E122" s="584"/>
      <c r="F122" s="584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601" t="str">
        <f>+VLOOKUP(LEFT($A123,LEN(A123)-1)*1,Master!$D$29:$G$228,4,FALSE)</f>
        <v>Tekući izdaci</v>
      </c>
      <c r="C123" s="602"/>
      <c r="D123" s="602"/>
      <c r="E123" s="602"/>
      <c r="F123" s="602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87" t="str">
        <f>+VLOOKUP(LEFT($A124,LEN(A124)-1)*1,Master!$D$29:$G$228,4,FALSE)</f>
        <v>Bruto zarade i doprinosi na teret poslodavca</v>
      </c>
      <c r="C124" s="588"/>
      <c r="D124" s="588"/>
      <c r="E124" s="588"/>
      <c r="F124" s="588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87" t="str">
        <f>+VLOOKUP(LEFT($A125,LEN(A125)-1)*1,Master!$D$29:$G$228,4,FALSE)</f>
        <v>Ostala lična primanja</v>
      </c>
      <c r="C125" s="588"/>
      <c r="D125" s="588"/>
      <c r="E125" s="588"/>
      <c r="F125" s="588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87" t="str">
        <f>+VLOOKUP(LEFT($A126,LEN(A126)-1)*1,Master!$D$29:$G$228,4,FALSE)</f>
        <v>Rashodi za materijal</v>
      </c>
      <c r="C126" s="588"/>
      <c r="D126" s="588"/>
      <c r="E126" s="588"/>
      <c r="F126" s="588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87" t="str">
        <f>+VLOOKUP(LEFT($A127,LEN(A127)-1)*1,Master!$D$29:$G$228,4,FALSE)</f>
        <v>Rashodi za usluge</v>
      </c>
      <c r="C127" s="588"/>
      <c r="D127" s="588"/>
      <c r="E127" s="588"/>
      <c r="F127" s="588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87" t="str">
        <f>+VLOOKUP(LEFT($A128,LEN(A128)-1)*1,Master!$D$29:$G$228,4,FALSE)</f>
        <v>Rashodi za tekuće održavanje</v>
      </c>
      <c r="C128" s="588"/>
      <c r="D128" s="588"/>
      <c r="E128" s="588"/>
      <c r="F128" s="588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87" t="str">
        <f>+VLOOKUP(LEFT($A129,LEN(A129)-1)*1,Master!$D$29:$G$228,4,FALSE)</f>
        <v>Kamate</v>
      </c>
      <c r="C129" s="588"/>
      <c r="D129" s="588"/>
      <c r="E129" s="588"/>
      <c r="F129" s="588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87" t="str">
        <f>+VLOOKUP(LEFT($A130,LEN(A130)-1)*1,Master!$D$29:$G$228,4,FALSE)</f>
        <v>Renta</v>
      </c>
      <c r="C130" s="588"/>
      <c r="D130" s="588"/>
      <c r="E130" s="588"/>
      <c r="F130" s="588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87" t="str">
        <f>+VLOOKUP(LEFT($A131,LEN(A131)-1)*1,Master!$D$29:$G$228,4,FALSE)</f>
        <v>Subvencije</v>
      </c>
      <c r="C131" s="588"/>
      <c r="D131" s="588"/>
      <c r="E131" s="588"/>
      <c r="F131" s="588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87" t="str">
        <f>+VLOOKUP(LEFT($A132,LEN(A132)-1)*1,Master!$D$29:$G$228,4,FALSE)</f>
        <v>Ostali izdaci</v>
      </c>
      <c r="C132" s="588"/>
      <c r="D132" s="588"/>
      <c r="E132" s="588"/>
      <c r="F132" s="588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607" t="str">
        <f>+VLOOKUP(LEFT($A133,LEN(A133)-1)*1,Master!$D$29:$G$228,4,FALSE)</f>
        <v>Transferi za socijalnu zaštitu</v>
      </c>
      <c r="C133" s="608"/>
      <c r="D133" s="608"/>
      <c r="E133" s="608"/>
      <c r="F133" s="608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87" t="str">
        <f>+VLOOKUP(LEFT($A134,LEN(A134)-1)*1,Master!$D$29:$G$228,4,FALSE)</f>
        <v>Prava iz oblasti socijalne zaštite</v>
      </c>
      <c r="C134" s="588"/>
      <c r="D134" s="588"/>
      <c r="E134" s="588"/>
      <c r="F134" s="588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87" t="str">
        <f>+VLOOKUP(LEFT($A135,LEN(A135)-1)*1,Master!$D$29:$G$228,4,FALSE)</f>
        <v>Sredstva za tehnološke viškove</v>
      </c>
      <c r="C135" s="588"/>
      <c r="D135" s="588"/>
      <c r="E135" s="588"/>
      <c r="F135" s="588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87" t="str">
        <f>+VLOOKUP(LEFT($A136,LEN(A136)-1)*1,Master!$D$29:$G$228,4,FALSE)</f>
        <v>Prava iz oblasti penzijskog i invalidskog osiguranja</v>
      </c>
      <c r="C136" s="588"/>
      <c r="D136" s="588"/>
      <c r="E136" s="588"/>
      <c r="F136" s="588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87" t="str">
        <f>+VLOOKUP(LEFT($A137,LEN(A137)-1)*1,Master!$D$29:$G$228,4,FALSE)</f>
        <v>Ostala prava iz oblasti zdravstvene zaštite</v>
      </c>
      <c r="C137" s="588"/>
      <c r="D137" s="588"/>
      <c r="E137" s="588"/>
      <c r="F137" s="588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87" t="str">
        <f>+VLOOKUP(LEFT($A138,LEN(A138)-1)*1,Master!$D$29:$G$228,4,FALSE)</f>
        <v>Ostala prava iz zdravstvenog osiguranja</v>
      </c>
      <c r="C138" s="588"/>
      <c r="D138" s="588"/>
      <c r="E138" s="588"/>
      <c r="F138" s="588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603" t="str">
        <f>+VLOOKUP(LEFT($A139,LEN(A139)-1)*1,Master!$D$29:$G$228,4,FALSE)</f>
        <v xml:space="preserve">Transferi institucijama, pojedincima, nevladinom i javnom sektoru </v>
      </c>
      <c r="C139" s="604"/>
      <c r="D139" s="604"/>
      <c r="E139" s="604"/>
      <c r="F139" s="604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603" t="str">
        <f>+VLOOKUP(LEFT($A140,LEN(A140)-1)*1,Master!$D$29:$G$228,4,FALSE)</f>
        <v>Kapitalni izdaci</v>
      </c>
      <c r="C140" s="604"/>
      <c r="D140" s="604"/>
      <c r="E140" s="604"/>
      <c r="F140" s="604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605" t="str">
        <f>+VLOOKUP(LEFT($A141,LEN(A141)-1)*1,Master!$D$29:$G$228,4,FALSE)</f>
        <v>Pozajmice i krediti</v>
      </c>
      <c r="C141" s="606"/>
      <c r="D141" s="606"/>
      <c r="E141" s="606"/>
      <c r="F141" s="606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605" t="str">
        <f>+VLOOKUP(LEFT($A142,LEN(A142)-1)*1,Master!$D$29:$G$228,4,FALSE)</f>
        <v>Rezerve</v>
      </c>
      <c r="C142" s="606"/>
      <c r="D142" s="606"/>
      <c r="E142" s="606"/>
      <c r="F142" s="606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605" t="str">
        <f>+VLOOKUP(LEFT($A143,LEN(A143)-1)*1,Master!$D$29:$G$228,4,FALSE)</f>
        <v>Otplata garancija</v>
      </c>
      <c r="C143" s="606"/>
      <c r="D143" s="606"/>
      <c r="E143" s="606"/>
      <c r="F143" s="606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605" t="str">
        <f>+VLOOKUP(LEFT($A144,LEN(A144)-1)*1,Master!$D$29:$G$228,4,FALSE)</f>
        <v>Otplata obaveza iz prethodnog perioda</v>
      </c>
      <c r="C144" s="606"/>
      <c r="D144" s="606"/>
      <c r="E144" s="606"/>
      <c r="F144" s="606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605" t="str">
        <f>+VLOOKUP(LEFT($A145,LEN(A145)-1)*1,Master!$D$29:$G$228,4,FALSE)</f>
        <v>Neto povećanje obaveza</v>
      </c>
      <c r="C145" s="606"/>
      <c r="D145" s="606"/>
      <c r="E145" s="606"/>
      <c r="F145" s="606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613" t="str">
        <f>+VLOOKUP(LEFT($A146,LEN(A146)-1)*1,Master!$D$29:$G$225,4,FALSE)</f>
        <v>Suficit / deficit</v>
      </c>
      <c r="C146" s="614"/>
      <c r="D146" s="614"/>
      <c r="E146" s="614"/>
      <c r="F146" s="614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15" t="str">
        <f>+VLOOKUP(LEFT($A147,LEN(A147)-1)*1,Master!$D$29:$G$225,4,FALSE)</f>
        <v>Primarni suficit/deficit</v>
      </c>
      <c r="C147" s="616"/>
      <c r="D147" s="616"/>
      <c r="E147" s="616"/>
      <c r="F147" s="616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607" t="str">
        <f>+VLOOKUP(LEFT($A148,LEN(A148)-1)*1,Master!$D$29:$G$225,4,FALSE)</f>
        <v>Otplata dugova</v>
      </c>
      <c r="C148" s="608"/>
      <c r="D148" s="608"/>
      <c r="E148" s="608"/>
      <c r="F148" s="608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611" t="str">
        <f>+VLOOKUP(LEFT($A149,LEN(A149)-1)*1,Master!$D$29:$G$225,4,FALSE)</f>
        <v>Otplata hartija od vrijednosti i kredita rezidentima</v>
      </c>
      <c r="C149" s="612"/>
      <c r="D149" s="612"/>
      <c r="E149" s="612"/>
      <c r="F149" s="612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605" t="str">
        <f>+VLOOKUP(LEFT($A150,LEN(A150)-1)*1,Master!$D$29:$G$225,4,FALSE)</f>
        <v>Otplata hartija od vrijednosti i kredita nerezidentima</v>
      </c>
      <c r="C150" s="606"/>
      <c r="D150" s="606"/>
      <c r="E150" s="606"/>
      <c r="F150" s="606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83" t="str">
        <f>+VLOOKUP(LEFT($A151,LEN(A151)-1)*1,Master!$D$29:$G$225,4,FALSE)</f>
        <v>Izdaci za kupovinu hartija od vrijednosti</v>
      </c>
      <c r="C151" s="584"/>
      <c r="D151" s="584"/>
      <c r="E151" s="584"/>
      <c r="F151" s="584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609" t="str">
        <f>+VLOOKUP(LEFT($A152,LEN(A152)-1)*1,Master!$D$29:$G$225,4,FALSE)</f>
        <v>Nedostajuća sredstva</v>
      </c>
      <c r="C152" s="610"/>
      <c r="D152" s="610"/>
      <c r="E152" s="610"/>
      <c r="F152" s="610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83" t="str">
        <f>+VLOOKUP(LEFT($A153,LEN(A153)-1)*1,Master!$D$29:$G$225,4,FALSE)</f>
        <v>Finansiranje</v>
      </c>
      <c r="C153" s="584"/>
      <c r="D153" s="584"/>
      <c r="E153" s="584"/>
      <c r="F153" s="584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611" t="str">
        <f>+VLOOKUP(LEFT($A154,LEN(A154)-1)*1,Master!$D$29:$G$225,4,FALSE)</f>
        <v>Pozajmice i krediti od domaćih izvora</v>
      </c>
      <c r="C154" s="612"/>
      <c r="D154" s="612"/>
      <c r="E154" s="612"/>
      <c r="F154" s="612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605" t="str">
        <f>+VLOOKUP(LEFT($A155,LEN(A155)-1)*1,Master!$D$29:$G$225,4,FALSE)</f>
        <v>Pozajmice i krediti od inostranih izvora</v>
      </c>
      <c r="C155" s="606"/>
      <c r="D155" s="606"/>
      <c r="E155" s="606"/>
      <c r="F155" s="606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605" t="str">
        <f>+VLOOKUP(LEFT($A156,LEN(A156)-1)*1,Master!$D$29:$G$225,4,FALSE)</f>
        <v>Primici od prodaje imovine</v>
      </c>
      <c r="C156" s="606"/>
      <c r="D156" s="606"/>
      <c r="E156" s="606"/>
      <c r="F156" s="606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806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498">
        <f>+SUM(G10:N10)</f>
        <v>1172192949.71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67" t="s">
        <v>554</v>
      </c>
      <c r="C7" s="548"/>
      <c r="D7" s="548"/>
      <c r="E7" s="548"/>
      <c r="F7" s="548"/>
      <c r="G7" s="556">
        <v>2019</v>
      </c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60"/>
      <c r="S7" s="235" t="s">
        <v>419</v>
      </c>
      <c r="T7" s="236">
        <v>4951000000</v>
      </c>
    </row>
    <row r="8" spans="1:20" ht="16.5" customHeight="1">
      <c r="A8" s="144"/>
      <c r="B8" s="549"/>
      <c r="C8" s="550"/>
      <c r="D8" s="550"/>
      <c r="E8" s="550"/>
      <c r="F8" s="55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6" t="s">
        <v>807</v>
      </c>
      <c r="T8" s="560"/>
    </row>
    <row r="9" spans="1:20" ht="13.5" thickBot="1">
      <c r="A9" s="144"/>
      <c r="B9" s="552"/>
      <c r="C9" s="553"/>
      <c r="D9" s="553"/>
      <c r="E9" s="553"/>
      <c r="F9" s="55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808</v>
      </c>
    </row>
    <row r="10" spans="1:20" ht="13.5" thickBot="1">
      <c r="A10" s="150">
        <v>7</v>
      </c>
      <c r="B10" s="527" t="s">
        <v>681</v>
      </c>
      <c r="C10" s="528"/>
      <c r="D10" s="528"/>
      <c r="E10" s="528"/>
      <c r="F10" s="528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+SUM(G10:O10)</f>
        <v>1338151716.3200002</v>
      </c>
      <c r="T10" s="368">
        <f>+S10/$T$7</f>
        <v>0.2702790782306605</v>
      </c>
    </row>
    <row r="11" spans="1:20" ht="13.5" thickBot="1">
      <c r="A11" s="150">
        <v>711</v>
      </c>
      <c r="B11" s="517" t="s">
        <v>21</v>
      </c>
      <c r="C11" s="518"/>
      <c r="D11" s="518"/>
      <c r="E11" s="518"/>
      <c r="F11" s="518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3">
        <f t="shared" ref="S11:S28" si="3">+SUM(G11:O11)</f>
        <v>878844461.47000003</v>
      </c>
      <c r="T11" s="369">
        <f t="shared" ref="T11:T64" si="4">+S11/$T$7</f>
        <v>0.17750847535245406</v>
      </c>
    </row>
    <row r="12" spans="1:20" ht="13.5" thickBot="1">
      <c r="A12" s="150">
        <v>7111</v>
      </c>
      <c r="B12" s="519" t="s">
        <v>23</v>
      </c>
      <c r="C12" s="520"/>
      <c r="D12" s="520"/>
      <c r="E12" s="520"/>
      <c r="F12" s="520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3">
        <f t="shared" si="3"/>
        <v>85547113.409999996</v>
      </c>
      <c r="T12" s="370">
        <f t="shared" si="4"/>
        <v>1.727875447586346E-2</v>
      </c>
    </row>
    <row r="13" spans="1:20" ht="13.5" thickBot="1">
      <c r="A13" s="150">
        <v>7112</v>
      </c>
      <c r="B13" s="519" t="s">
        <v>25</v>
      </c>
      <c r="C13" s="520"/>
      <c r="D13" s="520"/>
      <c r="E13" s="520"/>
      <c r="F13" s="520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3">
        <f t="shared" si="3"/>
        <v>63460533.5</v>
      </c>
      <c r="T13" s="370">
        <f t="shared" si="4"/>
        <v>1.2817720359523329E-2</v>
      </c>
    </row>
    <row r="14" spans="1:20" ht="13.5" thickBot="1">
      <c r="A14" s="150">
        <v>7113</v>
      </c>
      <c r="B14" s="519" t="s">
        <v>27</v>
      </c>
      <c r="C14" s="520"/>
      <c r="D14" s="520"/>
      <c r="E14" s="520"/>
      <c r="F14" s="520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3">
        <f t="shared" si="3"/>
        <v>1401042.18</v>
      </c>
      <c r="T14" s="370">
        <f t="shared" si="4"/>
        <v>2.8298165623106441E-4</v>
      </c>
    </row>
    <row r="15" spans="1:20" ht="13.5" thickBot="1">
      <c r="A15" s="150">
        <v>7114</v>
      </c>
      <c r="B15" s="519" t="s">
        <v>29</v>
      </c>
      <c r="C15" s="520"/>
      <c r="D15" s="520"/>
      <c r="E15" s="520"/>
      <c r="F15" s="520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3">
        <f t="shared" si="3"/>
        <v>517818183.34000003</v>
      </c>
      <c r="T15" s="370">
        <f t="shared" si="4"/>
        <v>0.10458860499697031</v>
      </c>
    </row>
    <row r="16" spans="1:20" ht="13.5" thickBot="1">
      <c r="A16" s="150">
        <v>7115</v>
      </c>
      <c r="B16" s="519" t="s">
        <v>31</v>
      </c>
      <c r="C16" s="520"/>
      <c r="D16" s="520"/>
      <c r="E16" s="520"/>
      <c r="F16" s="520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3">
        <f t="shared" si="3"/>
        <v>178709360.70000002</v>
      </c>
      <c r="T16" s="370">
        <f t="shared" si="4"/>
        <v>3.6095609109270857E-2</v>
      </c>
    </row>
    <row r="17" spans="1:25" ht="13.5" thickBot="1">
      <c r="A17" s="150">
        <v>7116</v>
      </c>
      <c r="B17" s="519" t="s">
        <v>33</v>
      </c>
      <c r="C17" s="520"/>
      <c r="D17" s="520"/>
      <c r="E17" s="520"/>
      <c r="F17" s="520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3">
        <f t="shared" si="3"/>
        <v>21570886.120000001</v>
      </c>
      <c r="T17" s="370">
        <f t="shared" si="4"/>
        <v>4.3568745950313074E-3</v>
      </c>
    </row>
    <row r="18" spans="1:25" ht="13.5" thickBot="1">
      <c r="A18" s="150">
        <v>7118</v>
      </c>
      <c r="B18" s="519" t="s">
        <v>722</v>
      </c>
      <c r="C18" s="520"/>
      <c r="D18" s="520"/>
      <c r="E18" s="520"/>
      <c r="F18" s="520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3">
        <f t="shared" si="3"/>
        <v>10337342.220000001</v>
      </c>
      <c r="T18" s="370">
        <f t="shared" si="4"/>
        <v>2.0879301595637246E-3</v>
      </c>
    </row>
    <row r="19" spans="1:25" ht="13.5" thickBot="1">
      <c r="A19" s="150">
        <v>712</v>
      </c>
      <c r="B19" s="523" t="s">
        <v>37</v>
      </c>
      <c r="C19" s="524"/>
      <c r="D19" s="524"/>
      <c r="E19" s="524"/>
      <c r="F19" s="524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3">
        <f t="shared" si="3"/>
        <v>370571042.34999996</v>
      </c>
      <c r="T19" s="371">
        <f t="shared" si="4"/>
        <v>7.4847716087659055E-2</v>
      </c>
    </row>
    <row r="20" spans="1:25" ht="13.5" thickBot="1">
      <c r="A20" s="150">
        <v>7121</v>
      </c>
      <c r="B20" s="519" t="s">
        <v>39</v>
      </c>
      <c r="C20" s="520"/>
      <c r="D20" s="520"/>
      <c r="E20" s="520"/>
      <c r="F20" s="520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3">
        <f t="shared" si="3"/>
        <v>220192746.31</v>
      </c>
      <c r="T20" s="370">
        <f t="shared" si="4"/>
        <v>4.447439836598667E-2</v>
      </c>
    </row>
    <row r="21" spans="1:25" ht="13.5" thickBot="1">
      <c r="A21" s="150">
        <v>7122</v>
      </c>
      <c r="B21" s="519" t="s">
        <v>41</v>
      </c>
      <c r="C21" s="520"/>
      <c r="D21" s="520"/>
      <c r="E21" s="520"/>
      <c r="F21" s="520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3">
        <f t="shared" si="3"/>
        <v>130738336.89</v>
      </c>
      <c r="T21" s="370">
        <f t="shared" si="4"/>
        <v>2.6406450593819429E-2</v>
      </c>
    </row>
    <row r="22" spans="1:25" ht="13.5" thickBot="1">
      <c r="A22" s="150">
        <v>7123</v>
      </c>
      <c r="B22" s="519" t="s">
        <v>43</v>
      </c>
      <c r="C22" s="520"/>
      <c r="D22" s="520"/>
      <c r="E22" s="520"/>
      <c r="F22" s="520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3">
        <f t="shared" si="3"/>
        <v>10196734.950000001</v>
      </c>
      <c r="T22" s="370">
        <f t="shared" si="4"/>
        <v>2.0595303878004445E-3</v>
      </c>
    </row>
    <row r="23" spans="1:25" ht="13.5" thickBot="1">
      <c r="A23" s="150">
        <v>7124</v>
      </c>
      <c r="B23" s="519" t="s">
        <v>45</v>
      </c>
      <c r="C23" s="520"/>
      <c r="D23" s="520"/>
      <c r="E23" s="520"/>
      <c r="F23" s="520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3">
        <f t="shared" si="3"/>
        <v>9443224.1999999993</v>
      </c>
      <c r="T23" s="370">
        <f t="shared" si="4"/>
        <v>1.9073367400525144E-3</v>
      </c>
      <c r="Y23" s="305"/>
    </row>
    <row r="24" spans="1:25" ht="13.5" thickBot="1">
      <c r="A24" s="150">
        <v>713</v>
      </c>
      <c r="B24" s="521" t="s">
        <v>47</v>
      </c>
      <c r="C24" s="522"/>
      <c r="D24" s="522"/>
      <c r="E24" s="522"/>
      <c r="F24" s="522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3">
        <f t="shared" si="3"/>
        <v>11793221.899999999</v>
      </c>
      <c r="T24" s="371">
        <f t="shared" si="4"/>
        <v>2.3819878610381738E-3</v>
      </c>
      <c r="Y24" s="305"/>
    </row>
    <row r="25" spans="1:25" ht="13.5" thickBot="1">
      <c r="A25" s="150">
        <v>714</v>
      </c>
      <c r="B25" s="521" t="s">
        <v>61</v>
      </c>
      <c r="C25" s="522"/>
      <c r="D25" s="522"/>
      <c r="E25" s="522"/>
      <c r="F25" s="522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3">
        <f t="shared" si="3"/>
        <v>20484439.07</v>
      </c>
      <c r="T25" s="371">
        <f t="shared" si="4"/>
        <v>4.1374346738032725E-3</v>
      </c>
      <c r="W25" s="292"/>
    </row>
    <row r="26" spans="1:25" ht="13.5" thickBot="1">
      <c r="A26" s="150">
        <v>715</v>
      </c>
      <c r="B26" s="521" t="s">
        <v>81</v>
      </c>
      <c r="C26" s="522"/>
      <c r="D26" s="522"/>
      <c r="E26" s="522"/>
      <c r="F26" s="522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3">
        <f t="shared" si="3"/>
        <v>28696128.32</v>
      </c>
      <c r="T26" s="371">
        <f t="shared" si="4"/>
        <v>5.7960267259139567E-3</v>
      </c>
      <c r="W26" s="311"/>
    </row>
    <row r="27" spans="1:25" ht="13.5" thickBot="1">
      <c r="A27" s="150">
        <v>73</v>
      </c>
      <c r="B27" s="521" t="s">
        <v>99</v>
      </c>
      <c r="C27" s="522"/>
      <c r="D27" s="522"/>
      <c r="E27" s="522"/>
      <c r="F27" s="522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3">
        <f t="shared" si="3"/>
        <v>4775383.3</v>
      </c>
      <c r="T27" s="371">
        <f t="shared" si="4"/>
        <v>9.6452904463744694E-4</v>
      </c>
    </row>
    <row r="28" spans="1:25" ht="13.5" thickBot="1">
      <c r="A28" s="150">
        <v>74</v>
      </c>
      <c r="B28" s="525" t="s">
        <v>105</v>
      </c>
      <c r="C28" s="526"/>
      <c r="D28" s="526"/>
      <c r="E28" s="526"/>
      <c r="F28" s="526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3">
        <f t="shared" si="3"/>
        <v>22987039.909999996</v>
      </c>
      <c r="T28" s="372">
        <f t="shared" si="4"/>
        <v>4.6429084851545132E-3</v>
      </c>
    </row>
    <row r="29" spans="1:25" ht="13.5" thickBot="1">
      <c r="A29" s="150">
        <v>4</v>
      </c>
      <c r="B29" s="527" t="s">
        <v>802</v>
      </c>
      <c r="C29" s="528"/>
      <c r="D29" s="528"/>
      <c r="E29" s="528"/>
      <c r="F29" s="528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ref="S29:S63" si="6">+SUM(G29:R29)</f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29" t="s">
        <v>120</v>
      </c>
      <c r="C30" s="530"/>
      <c r="D30" s="530"/>
      <c r="E30" s="530"/>
      <c r="F30" s="530"/>
      <c r="G30" s="181">
        <f>SUM(G31:G39)</f>
        <v>50239320.530000001</v>
      </c>
      <c r="H30" s="181">
        <f t="shared" ref="H30:R30" si="7">SUM(H31:H39)</f>
        <v>54920566.579999998</v>
      </c>
      <c r="I30" s="181">
        <f t="shared" si="7"/>
        <v>84090251.579999998</v>
      </c>
      <c r="J30" s="181">
        <f t="shared" si="7"/>
        <v>75185736.689999983</v>
      </c>
      <c r="K30" s="181">
        <f t="shared" si="7"/>
        <v>67102865.320000008</v>
      </c>
      <c r="L30" s="181">
        <f t="shared" si="7"/>
        <v>65490081.909999996</v>
      </c>
      <c r="M30" s="181">
        <f t="shared" si="7"/>
        <v>70554460.75</v>
      </c>
      <c r="N30" s="181">
        <f t="shared" si="7"/>
        <v>51929647.079999998</v>
      </c>
      <c r="O30" s="181">
        <f t="shared" si="7"/>
        <v>61431440.43999999</v>
      </c>
      <c r="P30" s="181">
        <f t="shared" si="7"/>
        <v>75122823.509999976</v>
      </c>
      <c r="Q30" s="181">
        <f t="shared" si="7"/>
        <v>64847443.090000004</v>
      </c>
      <c r="R30" s="181">
        <f t="shared" si="7"/>
        <v>101858132.54000002</v>
      </c>
      <c r="S30" s="388">
        <f t="shared" si="6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19" t="s">
        <v>122</v>
      </c>
      <c r="C31" s="520"/>
      <c r="D31" s="520"/>
      <c r="E31" s="520"/>
      <c r="F31" s="520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19" t="s">
        <v>133</v>
      </c>
      <c r="C32" s="520"/>
      <c r="D32" s="520"/>
      <c r="E32" s="520"/>
      <c r="F32" s="520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6"/>
        <v>15228326.93</v>
      </c>
      <c r="T32" s="370">
        <f t="shared" si="4"/>
        <v>3.0758083074126437E-3</v>
      </c>
    </row>
    <row r="33" spans="1:23">
      <c r="A33" s="150">
        <v>413</v>
      </c>
      <c r="B33" s="519" t="s">
        <v>148</v>
      </c>
      <c r="C33" s="520"/>
      <c r="D33" s="520"/>
      <c r="E33" s="520"/>
      <c r="F33" s="520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6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19" t="s">
        <v>162</v>
      </c>
      <c r="C34" s="520"/>
      <c r="D34" s="520"/>
      <c r="E34" s="520"/>
      <c r="F34" s="520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6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568" t="s">
        <v>182</v>
      </c>
      <c r="C35" s="569"/>
      <c r="D35" s="569"/>
      <c r="E35" s="569"/>
      <c r="F35" s="569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6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19" t="s">
        <v>190</v>
      </c>
      <c r="C36" s="520"/>
      <c r="D36" s="520"/>
      <c r="E36" s="520"/>
      <c r="F36" s="520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6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19" t="s">
        <v>196</v>
      </c>
      <c r="C37" s="520"/>
      <c r="D37" s="520"/>
      <c r="E37" s="520"/>
      <c r="F37" s="520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19" t="s">
        <v>204</v>
      </c>
      <c r="C38" s="520"/>
      <c r="D38" s="520"/>
      <c r="E38" s="520"/>
      <c r="F38" s="520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6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19" t="s">
        <v>212</v>
      </c>
      <c r="C39" s="520"/>
      <c r="D39" s="520"/>
      <c r="E39" s="520"/>
      <c r="F39" s="520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6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35" t="s">
        <v>230</v>
      </c>
      <c r="C40" s="536"/>
      <c r="D40" s="536"/>
      <c r="E40" s="536"/>
      <c r="F40" s="536"/>
      <c r="G40" s="193">
        <f>SUM(G41:G45)</f>
        <v>42563180.95000001</v>
      </c>
      <c r="H40" s="193">
        <f t="shared" ref="H40:R40" si="8">SUM(H41:H45)</f>
        <v>46593450.350000001</v>
      </c>
      <c r="I40" s="193">
        <f t="shared" si="8"/>
        <v>45430932.770000003</v>
      </c>
      <c r="J40" s="193">
        <f t="shared" si="8"/>
        <v>45452256.159999996</v>
      </c>
      <c r="K40" s="193">
        <f t="shared" si="8"/>
        <v>45374524.750000007</v>
      </c>
      <c r="L40" s="193">
        <f t="shared" si="8"/>
        <v>45747596.940000005</v>
      </c>
      <c r="M40" s="193">
        <f t="shared" si="8"/>
        <v>46131052.630000003</v>
      </c>
      <c r="N40" s="193">
        <f t="shared" si="8"/>
        <v>45700495.499999993</v>
      </c>
      <c r="O40" s="193">
        <f t="shared" si="8"/>
        <v>45932966.689999998</v>
      </c>
      <c r="P40" s="193">
        <f t="shared" si="8"/>
        <v>46756374.820000008</v>
      </c>
      <c r="Q40" s="193">
        <f t="shared" si="8"/>
        <v>45188893.659999996</v>
      </c>
      <c r="R40" s="193">
        <f t="shared" si="8"/>
        <v>53477174.68</v>
      </c>
      <c r="S40" s="386">
        <f t="shared" si="6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19" t="s">
        <v>232</v>
      </c>
      <c r="C41" s="520"/>
      <c r="D41" s="520"/>
      <c r="E41" s="520"/>
      <c r="F41" s="520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6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19" t="s">
        <v>248</v>
      </c>
      <c r="C42" s="520"/>
      <c r="D42" s="520"/>
      <c r="E42" s="520"/>
      <c r="F42" s="520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6"/>
        <v>20398152.109999999</v>
      </c>
      <c r="T42" s="370">
        <f t="shared" si="4"/>
        <v>4.1200064855584726E-3</v>
      </c>
    </row>
    <row r="43" spans="1:23">
      <c r="A43" s="150">
        <v>423</v>
      </c>
      <c r="B43" s="519" t="s">
        <v>259</v>
      </c>
      <c r="C43" s="520"/>
      <c r="D43" s="520"/>
      <c r="E43" s="520"/>
      <c r="F43" s="520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6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19" t="s">
        <v>274</v>
      </c>
      <c r="C44" s="520"/>
      <c r="D44" s="520"/>
      <c r="E44" s="520"/>
      <c r="F44" s="520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6"/>
        <v>21699290.620000005</v>
      </c>
      <c r="T44" s="370">
        <f t="shared" si="4"/>
        <v>4.3828096586548178E-3</v>
      </c>
    </row>
    <row r="45" spans="1:23">
      <c r="A45" s="360">
        <v>425</v>
      </c>
      <c r="B45" s="519" t="s">
        <v>278</v>
      </c>
      <c r="C45" s="520"/>
      <c r="D45" s="520"/>
      <c r="E45" s="520"/>
      <c r="F45" s="520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6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33" t="s">
        <v>286</v>
      </c>
      <c r="C46" s="534"/>
      <c r="D46" s="534"/>
      <c r="E46" s="534"/>
      <c r="F46" s="534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6"/>
        <v>219689949.60999998</v>
      </c>
      <c r="T46" s="371">
        <f t="shared" si="4"/>
        <v>4.4372843791153298E-2</v>
      </c>
    </row>
    <row r="47" spans="1:23">
      <c r="A47" s="150">
        <v>44</v>
      </c>
      <c r="B47" s="533" t="s">
        <v>320</v>
      </c>
      <c r="C47" s="534"/>
      <c r="D47" s="534"/>
      <c r="E47" s="534"/>
      <c r="F47" s="534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6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572" t="s">
        <v>113</v>
      </c>
      <c r="C48" s="573"/>
      <c r="D48" s="573"/>
      <c r="E48" s="573"/>
      <c r="F48" s="573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6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577" t="s">
        <v>366</v>
      </c>
      <c r="C49" s="578"/>
      <c r="D49" s="578"/>
      <c r="E49" s="578"/>
      <c r="F49" s="578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6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39" t="s">
        <v>359</v>
      </c>
      <c r="C50" s="540"/>
      <c r="D50" s="540"/>
      <c r="E50" s="540"/>
      <c r="F50" s="540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6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579" t="s">
        <v>795</v>
      </c>
      <c r="C51" s="580"/>
      <c r="D51" s="580"/>
      <c r="E51" s="580"/>
      <c r="F51" s="580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581" t="s">
        <v>685</v>
      </c>
      <c r="C52" s="582"/>
      <c r="D52" s="582"/>
      <c r="E52" s="582"/>
      <c r="F52" s="582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41" t="s">
        <v>545</v>
      </c>
      <c r="C53" s="542"/>
      <c r="D53" s="542"/>
      <c r="E53" s="542"/>
      <c r="F53" s="542"/>
      <c r="G53" s="151">
        <f t="shared" ref="G53:R53" si="9">+G10-G29</f>
        <v>-32293894.080000013</v>
      </c>
      <c r="H53" s="151">
        <f t="shared" si="9"/>
        <v>-14400637.450000003</v>
      </c>
      <c r="I53" s="151">
        <f t="shared" si="9"/>
        <v>-24605259.449999988</v>
      </c>
      <c r="J53" s="151">
        <f t="shared" si="9"/>
        <v>10157505.210000008</v>
      </c>
      <c r="K53" s="151">
        <f t="shared" si="9"/>
        <v>-1970111.180000037</v>
      </c>
      <c r="L53" s="151">
        <f t="shared" si="9"/>
        <v>-836313.71000000834</v>
      </c>
      <c r="M53" s="151">
        <f t="shared" si="9"/>
        <v>-5254154.0799999833</v>
      </c>
      <c r="N53" s="151">
        <f t="shared" si="9"/>
        <v>14448916.120000005</v>
      </c>
      <c r="O53" s="151">
        <f t="shared" si="9"/>
        <v>16560443.75000003</v>
      </c>
      <c r="P53" s="151">
        <f t="shared" si="9"/>
        <v>-22562595.639999956</v>
      </c>
      <c r="Q53" s="151">
        <f t="shared" si="9"/>
        <v>-49894863.75</v>
      </c>
      <c r="R53" s="151">
        <f t="shared" si="9"/>
        <v>-32632759.069999993</v>
      </c>
      <c r="S53" s="392">
        <f t="shared" si="6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43" t="s">
        <v>793</v>
      </c>
      <c r="C54" s="544"/>
      <c r="D54" s="544"/>
      <c r="E54" s="544"/>
      <c r="F54" s="544"/>
      <c r="G54" s="205">
        <f>+G53+G36</f>
        <v>-26139041.180000015</v>
      </c>
      <c r="H54" s="205">
        <f t="shared" ref="H54:R54" si="10">+H53+H36</f>
        <v>-13401295.910000004</v>
      </c>
      <c r="I54" s="205">
        <f t="shared" si="10"/>
        <v>4090254.2000000104</v>
      </c>
      <c r="J54" s="205">
        <f t="shared" si="10"/>
        <v>28592777.000000007</v>
      </c>
      <c r="K54" s="205">
        <f t="shared" si="10"/>
        <v>8288732.8899999633</v>
      </c>
      <c r="L54" s="205">
        <f t="shared" si="10"/>
        <v>4575453.2299999921</v>
      </c>
      <c r="M54" s="205">
        <f t="shared" si="10"/>
        <v>3793179.1200000159</v>
      </c>
      <c r="N54" s="205">
        <f t="shared" si="10"/>
        <v>15500183.450000005</v>
      </c>
      <c r="O54" s="205">
        <f t="shared" si="10"/>
        <v>19559829.68000003</v>
      </c>
      <c r="P54" s="205">
        <f t="shared" si="10"/>
        <v>-10033402.149999956</v>
      </c>
      <c r="Q54" s="205">
        <f t="shared" si="10"/>
        <v>-45439053.560000002</v>
      </c>
      <c r="R54" s="205">
        <f t="shared" si="10"/>
        <v>-26867999.249999993</v>
      </c>
      <c r="S54" s="392">
        <f t="shared" si="6"/>
        <v>-37480382.479999945</v>
      </c>
      <c r="T54" s="377">
        <f t="shared" si="4"/>
        <v>-7.5702650939204093E-3</v>
      </c>
    </row>
    <row r="55" spans="1:22">
      <c r="A55" s="144">
        <v>46</v>
      </c>
      <c r="B55" s="565" t="s">
        <v>352</v>
      </c>
      <c r="C55" s="566"/>
      <c r="D55" s="566"/>
      <c r="E55" s="566"/>
      <c r="F55" s="566"/>
      <c r="G55" s="193">
        <f t="shared" ref="G55:R55" si="11">+SUM(G56:G57)</f>
        <v>19518367.399999999</v>
      </c>
      <c r="H55" s="193">
        <f t="shared" si="11"/>
        <v>67365423.120000005</v>
      </c>
      <c r="I55" s="193">
        <f t="shared" si="11"/>
        <v>17786584.469999999</v>
      </c>
      <c r="J55" s="193">
        <f t="shared" si="11"/>
        <v>18302050.879999999</v>
      </c>
      <c r="K55" s="193">
        <f t="shared" si="11"/>
        <v>183682731.81999999</v>
      </c>
      <c r="L55" s="193">
        <f t="shared" si="11"/>
        <v>11094774.199999999</v>
      </c>
      <c r="M55" s="193">
        <f t="shared" si="11"/>
        <v>80471032.019999996</v>
      </c>
      <c r="N55" s="193">
        <f t="shared" si="11"/>
        <v>57755617.170000002</v>
      </c>
      <c r="O55" s="193">
        <f t="shared" si="11"/>
        <v>17889318.350000001</v>
      </c>
      <c r="P55" s="193">
        <f t="shared" si="11"/>
        <v>11092379.140000001</v>
      </c>
      <c r="Q55" s="193">
        <f t="shared" si="11"/>
        <v>10162494.119999999</v>
      </c>
      <c r="R55" s="193">
        <f t="shared" si="11"/>
        <v>12220480.4</v>
      </c>
      <c r="S55" s="393">
        <f t="shared" si="6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61" t="s">
        <v>355</v>
      </c>
      <c r="C56" s="562"/>
      <c r="D56" s="562"/>
      <c r="E56" s="562"/>
      <c r="F56" s="562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6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37" t="s">
        <v>357</v>
      </c>
      <c r="C57" s="538"/>
      <c r="D57" s="538"/>
      <c r="E57" s="538"/>
      <c r="F57" s="538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6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21" t="s">
        <v>336</v>
      </c>
      <c r="C58" s="622"/>
      <c r="D58" s="622"/>
      <c r="E58" s="622"/>
      <c r="F58" s="622"/>
      <c r="G58" s="495">
        <f>DataEx!FF167</f>
        <v>0</v>
      </c>
      <c r="H58" s="495">
        <f>DataEx!FG167</f>
        <v>35272.089999999997</v>
      </c>
      <c r="I58" s="495">
        <f>DataEx!FH167</f>
        <v>0</v>
      </c>
      <c r="J58" s="495">
        <f>DataEx!FI167</f>
        <v>39948396.369999997</v>
      </c>
      <c r="K58" s="495">
        <f>DataEx!FJ167</f>
        <v>0</v>
      </c>
      <c r="L58" s="495">
        <f>DataEx!FK167</f>
        <v>0</v>
      </c>
      <c r="M58" s="495">
        <f>DataEx!FL167</f>
        <v>0</v>
      </c>
      <c r="N58" s="495">
        <f>DataEx!FM167</f>
        <v>0</v>
      </c>
      <c r="O58" s="495">
        <f>DataEx!FN167</f>
        <v>0</v>
      </c>
      <c r="P58" s="495">
        <f>DataEx!FO167</f>
        <v>0</v>
      </c>
      <c r="Q58" s="495">
        <f>DataEx!FP167</f>
        <v>14495201.140000001</v>
      </c>
      <c r="R58" s="495">
        <f>DataEx!FQ167</f>
        <v>2849828.78</v>
      </c>
      <c r="S58" s="496">
        <f>SUM(G58:R58)</f>
        <v>57328698.380000003</v>
      </c>
      <c r="T58" s="497">
        <f>+S58/$T$7</f>
        <v>1.1579215992728742E-2</v>
      </c>
      <c r="V58" s="318"/>
    </row>
    <row r="59" spans="1:22" ht="13.5" thickBot="1">
      <c r="A59" s="144">
        <v>1002</v>
      </c>
      <c r="B59" s="563" t="s">
        <v>543</v>
      </c>
      <c r="C59" s="564"/>
      <c r="D59" s="564"/>
      <c r="E59" s="564"/>
      <c r="F59" s="564"/>
      <c r="G59" s="217">
        <f>+G53-G55-G58</f>
        <v>-51812261.480000012</v>
      </c>
      <c r="H59" s="217">
        <f t="shared" ref="H59:R59" si="12">+H53-H55-H58</f>
        <v>-81801332.660000011</v>
      </c>
      <c r="I59" s="217">
        <f t="shared" si="12"/>
        <v>-42391843.919999987</v>
      </c>
      <c r="J59" s="217">
        <f t="shared" si="12"/>
        <v>-48092942.039999992</v>
      </c>
      <c r="K59" s="217">
        <f t="shared" si="12"/>
        <v>-185652843.00000003</v>
      </c>
      <c r="L59" s="217">
        <f t="shared" si="12"/>
        <v>-11931087.910000008</v>
      </c>
      <c r="M59" s="217">
        <f t="shared" si="12"/>
        <v>-85725186.099999979</v>
      </c>
      <c r="N59" s="217">
        <f t="shared" si="12"/>
        <v>-43306701.049999997</v>
      </c>
      <c r="O59" s="217">
        <f t="shared" si="12"/>
        <v>-1328874.5999999717</v>
      </c>
      <c r="P59" s="217">
        <f t="shared" si="12"/>
        <v>-33654974.779999956</v>
      </c>
      <c r="Q59" s="217">
        <f t="shared" si="12"/>
        <v>-74552559.00999999</v>
      </c>
      <c r="R59" s="217">
        <f t="shared" si="12"/>
        <v>-47703068.249999993</v>
      </c>
      <c r="S59" s="395">
        <f t="shared" si="6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27" t="s">
        <v>544</v>
      </c>
      <c r="C60" s="528"/>
      <c r="D60" s="528"/>
      <c r="E60" s="528"/>
      <c r="F60" s="528"/>
      <c r="G60" s="151">
        <f>+SUM(G61:G64)</f>
        <v>51812261.480000012</v>
      </c>
      <c r="H60" s="151">
        <f t="shared" ref="H60:R60" si="13">+SUM(H61:H64)</f>
        <v>81801332.660000011</v>
      </c>
      <c r="I60" s="151">
        <f t="shared" si="13"/>
        <v>42391843.919999987</v>
      </c>
      <c r="J60" s="151">
        <f t="shared" si="13"/>
        <v>48092942.039999992</v>
      </c>
      <c r="K60" s="151">
        <f t="shared" si="13"/>
        <v>185652843.00000003</v>
      </c>
      <c r="L60" s="151">
        <f t="shared" si="13"/>
        <v>11931087.910000008</v>
      </c>
      <c r="M60" s="151">
        <f t="shared" si="13"/>
        <v>85725186.099999979</v>
      </c>
      <c r="N60" s="151">
        <f t="shared" si="13"/>
        <v>43306701.049999997</v>
      </c>
      <c r="O60" s="151">
        <f t="shared" si="13"/>
        <v>1328874.5999999717</v>
      </c>
      <c r="P60" s="151">
        <f t="shared" si="13"/>
        <v>33654974.779999971</v>
      </c>
      <c r="Q60" s="151">
        <f t="shared" si="13"/>
        <v>74552559.00999999</v>
      </c>
      <c r="R60" s="151">
        <f t="shared" si="13"/>
        <v>47703068.249999993</v>
      </c>
      <c r="S60" s="396">
        <f t="shared" si="6"/>
        <v>707953674.79999995</v>
      </c>
      <c r="T60" s="381">
        <f t="shared" si="4"/>
        <v>0.14299205711977378</v>
      </c>
    </row>
    <row r="61" spans="1:22">
      <c r="A61" s="144">
        <v>7511</v>
      </c>
      <c r="B61" s="561" t="s">
        <v>114</v>
      </c>
      <c r="C61" s="562"/>
      <c r="D61" s="562"/>
      <c r="E61" s="562"/>
      <c r="F61" s="562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6"/>
        <v>363438000</v>
      </c>
      <c r="T61" s="379">
        <f t="shared" si="4"/>
        <v>7.3406988487174307E-2</v>
      </c>
    </row>
    <row r="62" spans="1:22">
      <c r="A62" s="144">
        <v>7512</v>
      </c>
      <c r="B62" s="537" t="s">
        <v>116</v>
      </c>
      <c r="C62" s="538"/>
      <c r="D62" s="538"/>
      <c r="E62" s="538"/>
      <c r="F62" s="538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6"/>
        <v>651580293.42999995</v>
      </c>
      <c r="T62" s="379">
        <f t="shared" si="4"/>
        <v>0.13160579548172086</v>
      </c>
    </row>
    <row r="63" spans="1:22">
      <c r="A63" s="144">
        <v>72</v>
      </c>
      <c r="B63" s="537" t="s">
        <v>93</v>
      </c>
      <c r="C63" s="538"/>
      <c r="D63" s="538"/>
      <c r="E63" s="538"/>
      <c r="F63" s="538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6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4">-H59-SUM(H61:H63)</f>
        <v>23804487.060000017</v>
      </c>
      <c r="I64" s="225">
        <f t="shared" si="14"/>
        <v>28151297.249999985</v>
      </c>
      <c r="J64" s="225">
        <f t="shared" si="14"/>
        <v>-33195979.890000001</v>
      </c>
      <c r="K64" s="225">
        <f t="shared" si="14"/>
        <v>109757718.66000003</v>
      </c>
      <c r="L64" s="225">
        <f t="shared" si="14"/>
        <v>2424075.2900000084</v>
      </c>
      <c r="M64" s="225">
        <f t="shared" si="14"/>
        <v>64666609.949999981</v>
      </c>
      <c r="N64" s="225">
        <f t="shared" si="14"/>
        <v>-43258650.699999988</v>
      </c>
      <c r="O64" s="225">
        <f t="shared" si="14"/>
        <v>-7917512.7800000291</v>
      </c>
      <c r="P64" s="225">
        <f t="shared" si="14"/>
        <v>-479707297.42000002</v>
      </c>
      <c r="Q64" s="225">
        <f t="shared" si="14"/>
        <v>17128605.839999996</v>
      </c>
      <c r="R64" s="225">
        <f t="shared" si="14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5">+CONCATENATE(G6,"p")</f>
        <v>2019-01p</v>
      </c>
      <c r="H99" s="68" t="str">
        <f t="shared" si="15"/>
        <v>2019-02p</v>
      </c>
      <c r="I99" s="68" t="str">
        <f t="shared" si="15"/>
        <v>2019-03p</v>
      </c>
      <c r="J99" s="68" t="str">
        <f t="shared" si="15"/>
        <v>2019-04p</v>
      </c>
      <c r="K99" s="68" t="str">
        <f t="shared" si="15"/>
        <v>2019-05p</v>
      </c>
      <c r="L99" s="68" t="str">
        <f t="shared" si="15"/>
        <v>2019-06p</v>
      </c>
      <c r="M99" s="68" t="str">
        <f t="shared" si="15"/>
        <v>2019-07p</v>
      </c>
      <c r="N99" s="68" t="str">
        <f t="shared" si="15"/>
        <v>2019-08p</v>
      </c>
      <c r="O99" s="68" t="str">
        <f t="shared" si="15"/>
        <v>2019-09p</v>
      </c>
      <c r="P99" s="68" t="str">
        <f t="shared" si="15"/>
        <v>2019-10p</v>
      </c>
      <c r="Q99" s="68" t="str">
        <f t="shared" si="15"/>
        <v>2019-11p</v>
      </c>
      <c r="R99" s="68" t="str">
        <f t="shared" si="15"/>
        <v>2019-12p</v>
      </c>
    </row>
    <row r="100" spans="1:21" ht="15.75" customHeight="1" thickBot="1">
      <c r="B100" s="589" t="s">
        <v>552</v>
      </c>
      <c r="C100" s="590"/>
      <c r="D100" s="590"/>
      <c r="E100" s="590"/>
      <c r="F100" s="590"/>
      <c r="G100" s="574">
        <v>2019</v>
      </c>
      <c r="H100" s="575"/>
      <c r="I100" s="575"/>
      <c r="J100" s="575"/>
      <c r="K100" s="575"/>
      <c r="L100" s="575"/>
      <c r="M100" s="575"/>
      <c r="N100" s="575"/>
      <c r="O100" s="575"/>
      <c r="P100" s="575"/>
      <c r="Q100" s="575"/>
      <c r="R100" s="576"/>
      <c r="S100" s="107" t="str">
        <f>+S7</f>
        <v>BDP</v>
      </c>
      <c r="T100" s="108">
        <f>+T7</f>
        <v>4951000000</v>
      </c>
    </row>
    <row r="101" spans="1:21" ht="15.75" customHeight="1">
      <c r="B101" s="591"/>
      <c r="C101" s="592"/>
      <c r="D101" s="592"/>
      <c r="E101" s="592"/>
      <c r="F101" s="593"/>
      <c r="G101" s="71" t="str">
        <f t="shared" ref="G101:R101" si="16">+G8</f>
        <v>Januar</v>
      </c>
      <c r="H101" s="71" t="str">
        <f t="shared" si="16"/>
        <v>Februar</v>
      </c>
      <c r="I101" s="71" t="str">
        <f t="shared" si="16"/>
        <v>Mart</v>
      </c>
      <c r="J101" s="71" t="str">
        <f t="shared" si="16"/>
        <v>April</v>
      </c>
      <c r="K101" s="71" t="str">
        <f t="shared" si="16"/>
        <v>Maj</v>
      </c>
      <c r="L101" s="71" t="str">
        <f t="shared" si="16"/>
        <v>Jun</v>
      </c>
      <c r="M101" s="71" t="str">
        <f t="shared" si="16"/>
        <v>Jul</v>
      </c>
      <c r="N101" s="71" t="str">
        <f t="shared" si="16"/>
        <v>Avgust</v>
      </c>
      <c r="O101" s="71" t="str">
        <f t="shared" si="16"/>
        <v>Septembar</v>
      </c>
      <c r="P101" s="71" t="str">
        <f t="shared" si="16"/>
        <v>Oktobar</v>
      </c>
      <c r="Q101" s="71" t="str">
        <f t="shared" si="16"/>
        <v>Novembar</v>
      </c>
      <c r="R101" s="71" t="str">
        <f t="shared" si="16"/>
        <v>Decembar</v>
      </c>
      <c r="S101" s="574" t="s">
        <v>807</v>
      </c>
      <c r="T101" s="576">
        <f>+T8</f>
        <v>0</v>
      </c>
    </row>
    <row r="102" spans="1:21" ht="13.5" thickBot="1">
      <c r="B102" s="594"/>
      <c r="C102" s="595"/>
      <c r="D102" s="595"/>
      <c r="E102" s="595"/>
      <c r="F102" s="596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7">+CONCATENATE(A10,"p")</f>
        <v>7p</v>
      </c>
      <c r="B103" s="617" t="s">
        <v>681</v>
      </c>
      <c r="C103" s="618"/>
      <c r="D103" s="618"/>
      <c r="E103" s="618"/>
      <c r="F103" s="618"/>
      <c r="G103" s="93">
        <f t="shared" ref="G103:R103" si="18">+G104+G112+SUM(G117:G121)</f>
        <v>107257935.59</v>
      </c>
      <c r="H103" s="93">
        <f t="shared" si="18"/>
        <v>116544625.95</v>
      </c>
      <c r="I103" s="93">
        <f t="shared" si="18"/>
        <v>147544680.63</v>
      </c>
      <c r="J103" s="93">
        <f t="shared" si="18"/>
        <v>165045416.33000001</v>
      </c>
      <c r="K103" s="93">
        <f t="shared" si="18"/>
        <v>144226839.65000001</v>
      </c>
      <c r="L103" s="93">
        <f t="shared" si="18"/>
        <v>143393601.47999999</v>
      </c>
      <c r="M103" s="93">
        <f t="shared" si="18"/>
        <v>163636678.97122747</v>
      </c>
      <c r="N103" s="93">
        <f t="shared" si="18"/>
        <v>164502209.05473346</v>
      </c>
      <c r="O103" s="93">
        <f t="shared" si="18"/>
        <v>151400956.73161691</v>
      </c>
      <c r="P103" s="93">
        <f t="shared" si="18"/>
        <v>188402533.23753721</v>
      </c>
      <c r="Q103" s="93">
        <f t="shared" si="18"/>
        <v>148714658.46197224</v>
      </c>
      <c r="R103" s="93">
        <f t="shared" si="18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7"/>
        <v>711p</v>
      </c>
      <c r="B104" s="585" t="s">
        <v>21</v>
      </c>
      <c r="C104" s="586"/>
      <c r="D104" s="586"/>
      <c r="E104" s="586"/>
      <c r="F104" s="586"/>
      <c r="G104" s="79">
        <f t="shared" ref="G104:R104" si="19">+SUM(G105:G111)</f>
        <v>72429730.420000002</v>
      </c>
      <c r="H104" s="79">
        <f t="shared" si="19"/>
        <v>68470908.439999998</v>
      </c>
      <c r="I104" s="79">
        <f t="shared" si="19"/>
        <v>98709545.510000005</v>
      </c>
      <c r="J104" s="79">
        <f t="shared" si="19"/>
        <v>106791818.52</v>
      </c>
      <c r="K104" s="79">
        <f t="shared" si="19"/>
        <v>94372185.030000001</v>
      </c>
      <c r="L104" s="79">
        <f t="shared" si="19"/>
        <v>89389439.689999998</v>
      </c>
      <c r="M104" s="79">
        <f t="shared" si="19"/>
        <v>106366803.00672032</v>
      </c>
      <c r="N104" s="79">
        <f t="shared" si="19"/>
        <v>110847613.63774106</v>
      </c>
      <c r="O104" s="79">
        <f t="shared" si="19"/>
        <v>101712748.66474015</v>
      </c>
      <c r="P104" s="79">
        <f t="shared" si="19"/>
        <v>96295636.228585869</v>
      </c>
      <c r="Q104" s="79">
        <f t="shared" si="19"/>
        <v>84393107.743797168</v>
      </c>
      <c r="R104" s="80">
        <f t="shared" si="19"/>
        <v>92890414.095145509</v>
      </c>
      <c r="S104" s="399">
        <f t="shared" ref="S104:S159" si="20">+SUM(G104:R104)</f>
        <v>1122669950.9867301</v>
      </c>
      <c r="T104" s="412">
        <f t="shared" ref="T104:T159" si="21">+S104/$T$7</f>
        <v>0.22675620096682086</v>
      </c>
      <c r="U104" s="257"/>
    </row>
    <row r="105" spans="1:21">
      <c r="A105" s="116" t="str">
        <f t="shared" si="17"/>
        <v>7111p</v>
      </c>
      <c r="B105" s="587" t="s">
        <v>23</v>
      </c>
      <c r="C105" s="588"/>
      <c r="D105" s="588"/>
      <c r="E105" s="588"/>
      <c r="F105" s="588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20"/>
        <v>120237518.04497004</v>
      </c>
      <c r="T105" s="413">
        <f t="shared" si="21"/>
        <v>2.4285501523928506E-2</v>
      </c>
    </row>
    <row r="106" spans="1:21">
      <c r="A106" s="116" t="str">
        <f t="shared" si="17"/>
        <v>7112p</v>
      </c>
      <c r="B106" s="587" t="s">
        <v>25</v>
      </c>
      <c r="C106" s="588"/>
      <c r="D106" s="588"/>
      <c r="E106" s="588"/>
      <c r="F106" s="588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20"/>
        <v>71194860.131909981</v>
      </c>
      <c r="T106" s="413">
        <f t="shared" si="21"/>
        <v>1.4379894997356086E-2</v>
      </c>
    </row>
    <row r="107" spans="1:21">
      <c r="A107" s="116" t="str">
        <f t="shared" si="17"/>
        <v>7113p</v>
      </c>
      <c r="B107" s="587" t="s">
        <v>27</v>
      </c>
      <c r="C107" s="588"/>
      <c r="D107" s="588"/>
      <c r="E107" s="588"/>
      <c r="F107" s="588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20"/>
        <v>1862816.4104000002</v>
      </c>
      <c r="T107" s="413">
        <f t="shared" si="21"/>
        <v>3.7625053734599074E-4</v>
      </c>
    </row>
    <row r="108" spans="1:21">
      <c r="A108" s="116" t="str">
        <f t="shared" si="17"/>
        <v>7114p</v>
      </c>
      <c r="B108" s="587" t="s">
        <v>29</v>
      </c>
      <c r="C108" s="588"/>
      <c r="D108" s="588"/>
      <c r="E108" s="588"/>
      <c r="F108" s="588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20"/>
        <v>657905657.67184997</v>
      </c>
      <c r="T108" s="413">
        <f t="shared" si="21"/>
        <v>0.1328833887440618</v>
      </c>
    </row>
    <row r="109" spans="1:21">
      <c r="A109" s="116" t="str">
        <f t="shared" si="17"/>
        <v>7115p</v>
      </c>
      <c r="B109" s="587" t="s">
        <v>31</v>
      </c>
      <c r="C109" s="588"/>
      <c r="D109" s="588"/>
      <c r="E109" s="588"/>
      <c r="F109" s="588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20"/>
        <v>234801605.29820004</v>
      </c>
      <c r="T109" s="413">
        <f t="shared" si="21"/>
        <v>4.7425086911371449E-2</v>
      </c>
    </row>
    <row r="110" spans="1:21">
      <c r="A110" s="116" t="str">
        <f t="shared" si="17"/>
        <v>7116p</v>
      </c>
      <c r="B110" s="587" t="s">
        <v>33</v>
      </c>
      <c r="C110" s="588"/>
      <c r="D110" s="588"/>
      <c r="E110" s="588"/>
      <c r="F110" s="588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20"/>
        <v>27167589.829800002</v>
      </c>
      <c r="T110" s="413">
        <f t="shared" si="21"/>
        <v>5.4872934416885484E-3</v>
      </c>
    </row>
    <row r="111" spans="1:21">
      <c r="A111" s="116" t="str">
        <f t="shared" si="17"/>
        <v>7118p</v>
      </c>
      <c r="B111" s="587" t="s">
        <v>722</v>
      </c>
      <c r="C111" s="588"/>
      <c r="D111" s="588"/>
      <c r="E111" s="588"/>
      <c r="F111" s="588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20"/>
        <v>9499903.5996000003</v>
      </c>
      <c r="T111" s="413">
        <f t="shared" si="21"/>
        <v>1.918784811068471E-3</v>
      </c>
    </row>
    <row r="112" spans="1:21">
      <c r="A112" s="116" t="str">
        <f t="shared" si="17"/>
        <v>712p</v>
      </c>
      <c r="B112" s="619" t="s">
        <v>37</v>
      </c>
      <c r="C112" s="620"/>
      <c r="D112" s="620"/>
      <c r="E112" s="620"/>
      <c r="F112" s="620"/>
      <c r="G112" s="81">
        <f>+SUM(G113:G116)</f>
        <v>16498881.48</v>
      </c>
      <c r="H112" s="81">
        <f t="shared" ref="H112:R112" si="22">+SUM(H113:H116)</f>
        <v>41912269.38000001</v>
      </c>
      <c r="I112" s="81">
        <f t="shared" si="22"/>
        <v>41047599.18</v>
      </c>
      <c r="J112" s="81">
        <f t="shared" si="22"/>
        <v>50290988.940000005</v>
      </c>
      <c r="K112" s="81">
        <f t="shared" si="22"/>
        <v>37496285.130000003</v>
      </c>
      <c r="L112" s="81">
        <f t="shared" si="22"/>
        <v>45280786.510000005</v>
      </c>
      <c r="M112" s="81">
        <f t="shared" si="22"/>
        <v>46250891.035691187</v>
      </c>
      <c r="N112" s="81">
        <f t="shared" si="22"/>
        <v>44632014.674295112</v>
      </c>
      <c r="O112" s="81">
        <f t="shared" si="22"/>
        <v>41120271.333377153</v>
      </c>
      <c r="P112" s="81">
        <f t="shared" si="22"/>
        <v>46928850.635902815</v>
      </c>
      <c r="Q112" s="81">
        <f t="shared" si="22"/>
        <v>44128259.697538294</v>
      </c>
      <c r="R112" s="82">
        <f t="shared" si="22"/>
        <v>78626416.07852602</v>
      </c>
      <c r="S112" s="401">
        <f t="shared" si="20"/>
        <v>534213514.07533062</v>
      </c>
      <c r="T112" s="414">
        <f t="shared" si="21"/>
        <v>0.10790012403056566</v>
      </c>
    </row>
    <row r="113" spans="1:20">
      <c r="A113" s="116" t="str">
        <f t="shared" si="17"/>
        <v>7121p</v>
      </c>
      <c r="B113" s="587" t="s">
        <v>39</v>
      </c>
      <c r="C113" s="588"/>
      <c r="D113" s="588"/>
      <c r="E113" s="588"/>
      <c r="F113" s="588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20"/>
        <v>327876749.17454183</v>
      </c>
      <c r="T113" s="413">
        <f t="shared" si="21"/>
        <v>6.6224348449715573E-2</v>
      </c>
    </row>
    <row r="114" spans="1:20">
      <c r="A114" s="116" t="str">
        <f t="shared" si="17"/>
        <v>7122p</v>
      </c>
      <c r="B114" s="587" t="s">
        <v>41</v>
      </c>
      <c r="C114" s="588"/>
      <c r="D114" s="588"/>
      <c r="E114" s="588"/>
      <c r="F114" s="588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20"/>
        <v>178851341.72447601</v>
      </c>
      <c r="T114" s="413">
        <f t="shared" si="21"/>
        <v>3.6124286351136341E-2</v>
      </c>
    </row>
    <row r="115" spans="1:20">
      <c r="A115" s="116" t="str">
        <f t="shared" si="17"/>
        <v>7123p</v>
      </c>
      <c r="B115" s="587" t="s">
        <v>43</v>
      </c>
      <c r="C115" s="588"/>
      <c r="D115" s="588"/>
      <c r="E115" s="588"/>
      <c r="F115" s="588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20"/>
        <v>14950709.439620741</v>
      </c>
      <c r="T115" s="413">
        <f t="shared" si="21"/>
        <v>3.0197352938034216E-3</v>
      </c>
    </row>
    <row r="116" spans="1:20">
      <c r="A116" s="116" t="str">
        <f t="shared" si="17"/>
        <v>7124p</v>
      </c>
      <c r="B116" s="587" t="s">
        <v>45</v>
      </c>
      <c r="C116" s="588"/>
      <c r="D116" s="588"/>
      <c r="E116" s="588"/>
      <c r="F116" s="588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20"/>
        <v>12534713.736692008</v>
      </c>
      <c r="T116" s="413">
        <f t="shared" si="21"/>
        <v>2.5317539359103226E-3</v>
      </c>
    </row>
    <row r="117" spans="1:20">
      <c r="A117" s="116" t="str">
        <f t="shared" si="17"/>
        <v>713p</v>
      </c>
      <c r="B117" s="597" t="s">
        <v>47</v>
      </c>
      <c r="C117" s="598"/>
      <c r="D117" s="598"/>
      <c r="E117" s="598"/>
      <c r="F117" s="598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20"/>
        <v>15318488.925500004</v>
      </c>
      <c r="T117" s="414">
        <f t="shared" si="21"/>
        <v>3.0940191729953554E-3</v>
      </c>
    </row>
    <row r="118" spans="1:20">
      <c r="A118" s="116" t="str">
        <f t="shared" si="17"/>
        <v>714p</v>
      </c>
      <c r="B118" s="597" t="s">
        <v>61</v>
      </c>
      <c r="C118" s="598"/>
      <c r="D118" s="598"/>
      <c r="E118" s="598"/>
      <c r="F118" s="598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20"/>
        <v>31390844.861600004</v>
      </c>
      <c r="T118" s="414">
        <f t="shared" si="21"/>
        <v>6.3403039510401948E-3</v>
      </c>
    </row>
    <row r="119" spans="1:20">
      <c r="A119" s="116" t="str">
        <f t="shared" si="17"/>
        <v>715p</v>
      </c>
      <c r="B119" s="597" t="s">
        <v>81</v>
      </c>
      <c r="C119" s="598"/>
      <c r="D119" s="598"/>
      <c r="E119" s="598"/>
      <c r="F119" s="598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20"/>
        <v>77448450.912399963</v>
      </c>
      <c r="T119" s="414">
        <f t="shared" si="21"/>
        <v>1.5642991499171876E-2</v>
      </c>
    </row>
    <row r="120" spans="1:20">
      <c r="A120" s="116" t="str">
        <f t="shared" si="17"/>
        <v>73p</v>
      </c>
      <c r="B120" s="597" t="s">
        <v>99</v>
      </c>
      <c r="C120" s="598"/>
      <c r="D120" s="598"/>
      <c r="E120" s="598"/>
      <c r="F120" s="598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20"/>
        <v>8511664.0019999985</v>
      </c>
      <c r="T120" s="414">
        <f t="shared" si="21"/>
        <v>1.7191807719652591E-3</v>
      </c>
    </row>
    <row r="121" spans="1:20" ht="13.5" thickBot="1">
      <c r="A121" s="116" t="str">
        <f t="shared" si="17"/>
        <v>74p</v>
      </c>
      <c r="B121" s="599" t="s">
        <v>105</v>
      </c>
      <c r="C121" s="600"/>
      <c r="D121" s="600"/>
      <c r="E121" s="600"/>
      <c r="F121" s="600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20"/>
        <v>44480000</v>
      </c>
      <c r="T121" s="415">
        <f t="shared" si="21"/>
        <v>8.98404362754999E-3</v>
      </c>
    </row>
    <row r="122" spans="1:20" ht="13.5" thickBot="1">
      <c r="A122" s="116" t="str">
        <f t="shared" si="17"/>
        <v>4p</v>
      </c>
      <c r="B122" s="583" t="s">
        <v>809</v>
      </c>
      <c r="C122" s="584"/>
      <c r="D122" s="584"/>
      <c r="E122" s="584"/>
      <c r="F122" s="584"/>
      <c r="G122" s="93">
        <f>+G124+G135+G141+SUM(G142:G146)</f>
        <v>169675887.19749999</v>
      </c>
      <c r="H122" s="93">
        <f t="shared" ref="H122:R122" si="23">+H124+H135+H141+SUM(H142:H146)</f>
        <v>163118817.50749999</v>
      </c>
      <c r="I122" s="93">
        <f t="shared" si="23"/>
        <v>195750967.64750001</v>
      </c>
      <c r="J122" s="93">
        <f t="shared" si="23"/>
        <v>172597951.91749999</v>
      </c>
      <c r="K122" s="93">
        <f t="shared" si="23"/>
        <v>167763443.14750004</v>
      </c>
      <c r="L122" s="93">
        <f t="shared" si="23"/>
        <v>158638536.14750001</v>
      </c>
      <c r="M122" s="93">
        <f t="shared" si="23"/>
        <v>173593221.77416667</v>
      </c>
      <c r="N122" s="93">
        <f t="shared" si="23"/>
        <v>157395422.72416666</v>
      </c>
      <c r="O122" s="93">
        <f t="shared" si="23"/>
        <v>161208966.37416667</v>
      </c>
      <c r="P122" s="93">
        <f t="shared" si="23"/>
        <v>158508019.66083336</v>
      </c>
      <c r="Q122" s="93">
        <f t="shared" si="23"/>
        <v>152277719.94083336</v>
      </c>
      <c r="R122" s="93">
        <f t="shared" si="23"/>
        <v>146102024.36083338</v>
      </c>
      <c r="S122" s="403">
        <f>+SUM(G122:R122)</f>
        <v>1976630978.4000001</v>
      </c>
      <c r="T122" s="416">
        <f t="shared" si="21"/>
        <v>0.39923873528580089</v>
      </c>
    </row>
    <row r="123" spans="1:20" ht="13.5" thickBot="1">
      <c r="A123" s="116" t="str">
        <f t="shared" si="17"/>
        <v>40p</v>
      </c>
      <c r="B123" s="623" t="s">
        <v>774</v>
      </c>
      <c r="C123" s="624"/>
      <c r="D123" s="624"/>
      <c r="E123" s="624"/>
      <c r="F123" s="624"/>
      <c r="G123" s="78">
        <f t="shared" ref="G123:R123" si="24">+G122-G142</f>
        <v>142932137.20749998</v>
      </c>
      <c r="H123" s="78">
        <f t="shared" si="24"/>
        <v>136375067.51749998</v>
      </c>
      <c r="I123" s="78">
        <f t="shared" si="24"/>
        <v>169007217.65750003</v>
      </c>
      <c r="J123" s="78">
        <f t="shared" si="24"/>
        <v>145854201.92750001</v>
      </c>
      <c r="K123" s="78">
        <f t="shared" si="24"/>
        <v>141019693.15750003</v>
      </c>
      <c r="L123" s="78">
        <f t="shared" si="24"/>
        <v>131894786.15750001</v>
      </c>
      <c r="M123" s="78">
        <f t="shared" si="24"/>
        <v>146849471.78416669</v>
      </c>
      <c r="N123" s="78">
        <f t="shared" si="24"/>
        <v>130651672.73416667</v>
      </c>
      <c r="O123" s="78">
        <f t="shared" si="24"/>
        <v>134465216.38416666</v>
      </c>
      <c r="P123" s="78">
        <f t="shared" si="24"/>
        <v>131764269.67083336</v>
      </c>
      <c r="Q123" s="78">
        <f t="shared" si="24"/>
        <v>138033969.95083335</v>
      </c>
      <c r="R123" s="78">
        <f t="shared" si="24"/>
        <v>131858274.25083338</v>
      </c>
      <c r="S123" s="404">
        <f t="shared" si="20"/>
        <v>1680705978.4000001</v>
      </c>
      <c r="T123" s="417">
        <f t="shared" si="21"/>
        <v>0.33946798190264593</v>
      </c>
    </row>
    <row r="124" spans="1:20">
      <c r="A124" s="116" t="e">
        <f>+CONCATENATE(#REF!,"p")</f>
        <v>#REF!</v>
      </c>
      <c r="B124" s="601" t="e">
        <v>#REF!</v>
      </c>
      <c r="C124" s="602"/>
      <c r="D124" s="602"/>
      <c r="E124" s="602"/>
      <c r="F124" s="602"/>
      <c r="G124" s="85">
        <f t="shared" ref="G124:R124" si="25">+SUM(G125:G134)</f>
        <v>71012418.442500025</v>
      </c>
      <c r="H124" s="85">
        <f t="shared" si="25"/>
        <v>64850080.682500012</v>
      </c>
      <c r="I124" s="85">
        <f t="shared" si="25"/>
        <v>94352135.732500002</v>
      </c>
      <c r="J124" s="85">
        <f t="shared" si="25"/>
        <v>80290960.742500007</v>
      </c>
      <c r="K124" s="85">
        <f t="shared" si="25"/>
        <v>75302081.212500021</v>
      </c>
      <c r="L124" s="85">
        <f t="shared" si="25"/>
        <v>66157575.742500022</v>
      </c>
      <c r="M124" s="85">
        <f t="shared" si="25"/>
        <v>71113855.702500001</v>
      </c>
      <c r="N124" s="85">
        <f t="shared" si="25"/>
        <v>62800153.3125</v>
      </c>
      <c r="O124" s="85">
        <f t="shared" si="25"/>
        <v>66815564.902500011</v>
      </c>
      <c r="P124" s="85">
        <f t="shared" si="25"/>
        <v>62629581.782500006</v>
      </c>
      <c r="Q124" s="85">
        <f t="shared" si="25"/>
        <v>68882826.062500015</v>
      </c>
      <c r="R124" s="86">
        <f t="shared" si="25"/>
        <v>62463700.292500041</v>
      </c>
      <c r="S124" s="399">
        <f t="shared" si="20"/>
        <v>846670934.61000013</v>
      </c>
      <c r="T124" s="412">
        <f t="shared" si="21"/>
        <v>0.17101008576247226</v>
      </c>
    </row>
    <row r="125" spans="1:20">
      <c r="A125" s="116" t="str">
        <f t="shared" ref="A125:A133" si="26">+CONCATENATE(A31,"p")</f>
        <v>411p</v>
      </c>
      <c r="B125" s="587" t="s">
        <v>122</v>
      </c>
      <c r="C125" s="588"/>
      <c r="D125" s="588"/>
      <c r="E125" s="588"/>
      <c r="F125" s="588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20"/>
        <v>472054247.1500001</v>
      </c>
      <c r="T125" s="413">
        <f t="shared" si="21"/>
        <v>9.5345232710563541E-2</v>
      </c>
    </row>
    <row r="126" spans="1:20">
      <c r="A126" s="116" t="str">
        <f t="shared" si="26"/>
        <v>412p</v>
      </c>
      <c r="B126" s="587" t="s">
        <v>133</v>
      </c>
      <c r="C126" s="588"/>
      <c r="D126" s="588"/>
      <c r="E126" s="588"/>
      <c r="F126" s="588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20"/>
        <v>15077125.449999996</v>
      </c>
      <c r="T126" s="413">
        <f t="shared" si="21"/>
        <v>3.0452687234902029E-3</v>
      </c>
    </row>
    <row r="127" spans="1:20">
      <c r="A127" s="116" t="str">
        <f t="shared" si="26"/>
        <v>413p</v>
      </c>
      <c r="B127" s="587" t="s">
        <v>148</v>
      </c>
      <c r="C127" s="588"/>
      <c r="D127" s="588"/>
      <c r="E127" s="588"/>
      <c r="F127" s="588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20"/>
        <v>36652827.660000004</v>
      </c>
      <c r="T127" s="413">
        <f t="shared" si="21"/>
        <v>7.4031160694809136E-3</v>
      </c>
    </row>
    <row r="128" spans="1:20">
      <c r="A128" s="116" t="str">
        <f t="shared" si="26"/>
        <v>414p</v>
      </c>
      <c r="B128" s="587" t="s">
        <v>162</v>
      </c>
      <c r="C128" s="588"/>
      <c r="D128" s="588"/>
      <c r="E128" s="588"/>
      <c r="F128" s="588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20"/>
        <v>63127045.969999991</v>
      </c>
      <c r="T128" s="413">
        <f t="shared" si="21"/>
        <v>1.2750362748939606E-2</v>
      </c>
    </row>
    <row r="129" spans="1:20">
      <c r="A129" s="116" t="str">
        <f t="shared" si="26"/>
        <v>415p</v>
      </c>
      <c r="B129" s="587" t="s">
        <v>182</v>
      </c>
      <c r="C129" s="588"/>
      <c r="D129" s="588"/>
      <c r="E129" s="588"/>
      <c r="F129" s="588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20"/>
        <v>23117903.600000001</v>
      </c>
      <c r="T129" s="413">
        <f t="shared" si="21"/>
        <v>4.6693402544940423E-3</v>
      </c>
    </row>
    <row r="130" spans="1:20">
      <c r="A130" s="116" t="str">
        <f t="shared" si="26"/>
        <v>416p</v>
      </c>
      <c r="B130" s="587" t="s">
        <v>190</v>
      </c>
      <c r="C130" s="588"/>
      <c r="D130" s="588"/>
      <c r="E130" s="588"/>
      <c r="F130" s="588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20"/>
        <v>95752699.999999985</v>
      </c>
      <c r="T130" s="413">
        <f t="shared" si="21"/>
        <v>1.9340072712583315E-2</v>
      </c>
    </row>
    <row r="131" spans="1:20">
      <c r="A131" s="116" t="str">
        <f t="shared" si="26"/>
        <v>417p</v>
      </c>
      <c r="B131" s="587" t="s">
        <v>196</v>
      </c>
      <c r="C131" s="588"/>
      <c r="D131" s="588"/>
      <c r="E131" s="588"/>
      <c r="F131" s="588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20"/>
        <v>9821101.7599999998</v>
      </c>
      <c r="T131" s="413">
        <f t="shared" si="21"/>
        <v>1.9836602221773377E-3</v>
      </c>
    </row>
    <row r="132" spans="1:20">
      <c r="A132" s="116" t="str">
        <f t="shared" si="26"/>
        <v>418p</v>
      </c>
      <c r="B132" s="587" t="s">
        <v>204</v>
      </c>
      <c r="C132" s="588"/>
      <c r="D132" s="588"/>
      <c r="E132" s="588"/>
      <c r="F132" s="588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20"/>
        <v>30814599.999999993</v>
      </c>
      <c r="T132" s="413">
        <f t="shared" si="21"/>
        <v>6.2239143607352035E-3</v>
      </c>
    </row>
    <row r="133" spans="1:20">
      <c r="A133" s="116" t="str">
        <f t="shared" si="26"/>
        <v>419p</v>
      </c>
      <c r="B133" s="587" t="s">
        <v>212</v>
      </c>
      <c r="C133" s="588"/>
      <c r="D133" s="588"/>
      <c r="E133" s="588"/>
      <c r="F133" s="588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20"/>
        <v>41196323.400000006</v>
      </c>
      <c r="T133" s="413">
        <f t="shared" si="21"/>
        <v>8.3208086043223602E-3</v>
      </c>
    </row>
    <row r="134" spans="1:20">
      <c r="A134" s="116" t="e">
        <f>+CONCATENATE(#REF!,"p")</f>
        <v>#REF!</v>
      </c>
      <c r="B134" s="587" t="e">
        <v>#REF!</v>
      </c>
      <c r="C134" s="588"/>
      <c r="D134" s="588"/>
      <c r="E134" s="588"/>
      <c r="F134" s="588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20"/>
        <v>59057059.620000012</v>
      </c>
      <c r="T134" s="413">
        <f t="shared" si="21"/>
        <v>1.1928309355685722E-2</v>
      </c>
    </row>
    <row r="135" spans="1:20">
      <c r="A135" s="116" t="str">
        <f t="shared" ref="A135:A142" si="27">+CONCATENATE(A40,"p")</f>
        <v>42p</v>
      </c>
      <c r="B135" s="607" t="s">
        <v>230</v>
      </c>
      <c r="C135" s="608"/>
      <c r="D135" s="608"/>
      <c r="E135" s="608"/>
      <c r="F135" s="608"/>
      <c r="G135" s="84">
        <f t="shared" ref="G135:R135" si="28">+SUM(G136:G140)</f>
        <v>46204849.909999982</v>
      </c>
      <c r="H135" s="84">
        <f t="shared" si="28"/>
        <v>46206149.810000002</v>
      </c>
      <c r="I135" s="84">
        <f t="shared" si="28"/>
        <v>46206149.810000002</v>
      </c>
      <c r="J135" s="84">
        <f t="shared" si="28"/>
        <v>46206149.810000002</v>
      </c>
      <c r="K135" s="84">
        <f t="shared" si="28"/>
        <v>46206149.810000002</v>
      </c>
      <c r="L135" s="84">
        <f t="shared" si="28"/>
        <v>46206149.810000002</v>
      </c>
      <c r="M135" s="84">
        <f t="shared" si="28"/>
        <v>46206149.810000002</v>
      </c>
      <c r="N135" s="84">
        <f t="shared" si="28"/>
        <v>46206149.810000002</v>
      </c>
      <c r="O135" s="84">
        <f t="shared" si="28"/>
        <v>46206149.810000002</v>
      </c>
      <c r="P135" s="84">
        <f t="shared" si="28"/>
        <v>47329512.010000005</v>
      </c>
      <c r="Q135" s="84">
        <f t="shared" si="28"/>
        <v>47329512.010000005</v>
      </c>
      <c r="R135" s="84">
        <f t="shared" si="28"/>
        <v>47329512.010000005</v>
      </c>
      <c r="S135" s="401">
        <f t="shared" si="20"/>
        <v>557842584.41999996</v>
      </c>
      <c r="T135" s="414">
        <f t="shared" si="21"/>
        <v>0.11267270943647748</v>
      </c>
    </row>
    <row r="136" spans="1:20">
      <c r="A136" s="116" t="str">
        <f t="shared" si="27"/>
        <v>421p</v>
      </c>
      <c r="B136" s="587" t="s">
        <v>232</v>
      </c>
      <c r="C136" s="588"/>
      <c r="D136" s="588"/>
      <c r="E136" s="588"/>
      <c r="F136" s="588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20"/>
        <v>80990000.000000015</v>
      </c>
      <c r="T136" s="413">
        <f t="shared" si="21"/>
        <v>1.6358311452231874E-2</v>
      </c>
    </row>
    <row r="137" spans="1:20">
      <c r="A137" s="116" t="str">
        <f t="shared" si="27"/>
        <v>422p</v>
      </c>
      <c r="B137" s="587" t="s">
        <v>248</v>
      </c>
      <c r="C137" s="588"/>
      <c r="D137" s="588"/>
      <c r="E137" s="588"/>
      <c r="F137" s="588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20"/>
        <v>18202468.969999999</v>
      </c>
      <c r="T137" s="413">
        <f t="shared" si="21"/>
        <v>3.6765237265198947E-3</v>
      </c>
    </row>
    <row r="138" spans="1:20">
      <c r="A138" s="116" t="str">
        <f t="shared" si="27"/>
        <v>423p</v>
      </c>
      <c r="B138" s="587" t="s">
        <v>259</v>
      </c>
      <c r="C138" s="588"/>
      <c r="D138" s="588"/>
      <c r="E138" s="588"/>
      <c r="F138" s="588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20"/>
        <v>429025014.44999993</v>
      </c>
      <c r="T138" s="413">
        <f t="shared" si="21"/>
        <v>8.6654214189052697E-2</v>
      </c>
    </row>
    <row r="139" spans="1:20">
      <c r="A139" s="116" t="str">
        <f t="shared" si="27"/>
        <v>424p</v>
      </c>
      <c r="B139" s="587" t="s">
        <v>274</v>
      </c>
      <c r="C139" s="588"/>
      <c r="D139" s="588"/>
      <c r="E139" s="588"/>
      <c r="F139" s="588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20"/>
        <v>19000100</v>
      </c>
      <c r="T139" s="413">
        <f t="shared" si="21"/>
        <v>3.8376287618662897E-3</v>
      </c>
    </row>
    <row r="140" spans="1:20">
      <c r="A140" s="116" t="str">
        <f t="shared" si="27"/>
        <v>425p</v>
      </c>
      <c r="B140" s="587" t="s">
        <v>278</v>
      </c>
      <c r="C140" s="588"/>
      <c r="D140" s="588"/>
      <c r="E140" s="588"/>
      <c r="F140" s="588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20"/>
        <v>10625001</v>
      </c>
      <c r="T140" s="413">
        <f t="shared" si="21"/>
        <v>2.1460313068067055E-3</v>
      </c>
    </row>
    <row r="141" spans="1:20">
      <c r="A141" s="116" t="str">
        <f t="shared" si="27"/>
        <v>43p</v>
      </c>
      <c r="B141" s="603" t="s">
        <v>286</v>
      </c>
      <c r="C141" s="604"/>
      <c r="D141" s="604"/>
      <c r="E141" s="604"/>
      <c r="F141" s="604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1"/>
        <v>4.4626901022015754E-2</v>
      </c>
    </row>
    <row r="142" spans="1:20">
      <c r="A142" s="116" t="str">
        <f t="shared" si="27"/>
        <v>44p</v>
      </c>
      <c r="B142" s="603" t="s">
        <v>810</v>
      </c>
      <c r="C142" s="604"/>
      <c r="D142" s="604"/>
      <c r="E142" s="604"/>
      <c r="F142" s="604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20"/>
        <v>295925000</v>
      </c>
      <c r="T142" s="414">
        <f t="shared" si="21"/>
        <v>5.977075338315492E-2</v>
      </c>
    </row>
    <row r="143" spans="1:20">
      <c r="A143" s="116" t="str">
        <f t="shared" ref="A143:A145" si="29">+CONCATENATE(A48,"p")</f>
        <v>451p</v>
      </c>
      <c r="B143" s="605" t="s">
        <v>113</v>
      </c>
      <c r="C143" s="606"/>
      <c r="D143" s="606"/>
      <c r="E143" s="606"/>
      <c r="F143" s="606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20"/>
        <v>2280000.9999999995</v>
      </c>
      <c r="T143" s="413">
        <f t="shared" si="21"/>
        <v>4.6051322965057553E-4</v>
      </c>
    </row>
    <row r="144" spans="1:20">
      <c r="A144" s="116" t="str">
        <f t="shared" si="29"/>
        <v>47p</v>
      </c>
      <c r="B144" s="605" t="s">
        <v>366</v>
      </c>
      <c r="C144" s="606"/>
      <c r="D144" s="606"/>
      <c r="E144" s="606"/>
      <c r="F144" s="606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20"/>
        <v>24999999.999999996</v>
      </c>
      <c r="T144" s="413">
        <f t="shared" si="21"/>
        <v>5.0494849525348409E-3</v>
      </c>
    </row>
    <row r="145" spans="1:20">
      <c r="A145" s="116" t="str">
        <f t="shared" si="29"/>
        <v>462p</v>
      </c>
      <c r="B145" s="605" t="s">
        <v>359</v>
      </c>
      <c r="C145" s="606"/>
      <c r="D145" s="606"/>
      <c r="E145" s="606"/>
      <c r="F145" s="606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20"/>
        <v>9434672.4100000001</v>
      </c>
      <c r="T145" s="413">
        <f t="shared" si="21"/>
        <v>1.9056094546556252E-3</v>
      </c>
    </row>
    <row r="146" spans="1:20">
      <c r="A146" s="117" t="str">
        <f>+CONCATENATE(A51,"p")</f>
        <v>4630p</v>
      </c>
      <c r="B146" s="605" t="s">
        <v>365</v>
      </c>
      <c r="C146" s="606"/>
      <c r="D146" s="606"/>
      <c r="E146" s="606"/>
      <c r="F146" s="606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25" t="s">
        <v>686</v>
      </c>
      <c r="C147" s="626"/>
      <c r="D147" s="626"/>
      <c r="E147" s="626"/>
      <c r="F147" s="626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1"/>
        <v>0</v>
      </c>
    </row>
    <row r="148" spans="1:20" ht="13.5" thickBot="1">
      <c r="A148" s="117" t="str">
        <f>+CONCATENATE(A53,"p")</f>
        <v>1000p</v>
      </c>
      <c r="B148" s="613" t="s">
        <v>545</v>
      </c>
      <c r="C148" s="614"/>
      <c r="D148" s="614"/>
      <c r="E148" s="614"/>
      <c r="F148" s="614"/>
      <c r="G148" s="93">
        <f t="shared" ref="G148:R148" si="30">+G103-G122</f>
        <v>-62417951.607499987</v>
      </c>
      <c r="H148" s="93">
        <f t="shared" si="30"/>
        <v>-46574191.55749999</v>
      </c>
      <c r="I148" s="93">
        <f t="shared" si="30"/>
        <v>-48206287.017500013</v>
      </c>
      <c r="J148" s="93">
        <f t="shared" si="30"/>
        <v>-7552535.5874999762</v>
      </c>
      <c r="K148" s="93">
        <f t="shared" si="30"/>
        <v>-23536603.497500032</v>
      </c>
      <c r="L148" s="93">
        <f t="shared" si="30"/>
        <v>-15244934.667500019</v>
      </c>
      <c r="M148" s="93">
        <f t="shared" si="30"/>
        <v>-9956542.8029392064</v>
      </c>
      <c r="N148" s="93">
        <f t="shared" si="30"/>
        <v>7106786.3305667937</v>
      </c>
      <c r="O148" s="93">
        <f t="shared" si="30"/>
        <v>-9808009.6425497532</v>
      </c>
      <c r="P148" s="93">
        <f t="shared" si="30"/>
        <v>29894513.576703846</v>
      </c>
      <c r="Q148" s="93">
        <f t="shared" si="30"/>
        <v>-3563061.4788611233</v>
      </c>
      <c r="R148" s="93">
        <f t="shared" si="30"/>
        <v>47260753.315640002</v>
      </c>
      <c r="S148" s="406">
        <f t="shared" si="20"/>
        <v>-142598064.63643947</v>
      </c>
      <c r="T148" s="419">
        <f t="shared" si="21"/>
        <v>-2.8801871265691673E-2</v>
      </c>
    </row>
    <row r="149" spans="1:20" ht="13.5" thickBot="1">
      <c r="A149" s="117" t="str">
        <f>+CONCATENATE(A54,"p")</f>
        <v>1001p</v>
      </c>
      <c r="B149" s="615" t="s">
        <v>811</v>
      </c>
      <c r="C149" s="616"/>
      <c r="D149" s="616"/>
      <c r="E149" s="616"/>
      <c r="F149" s="616"/>
      <c r="G149" s="94">
        <f t="shared" ref="G149:R149" si="31">+G148+G130</f>
        <v>-54437226.607499987</v>
      </c>
      <c r="H149" s="94">
        <f t="shared" si="31"/>
        <v>-45587471.597499989</v>
      </c>
      <c r="I149" s="94">
        <f t="shared" si="31"/>
        <v>-20104787.917500012</v>
      </c>
      <c r="J149" s="94">
        <f t="shared" si="31"/>
        <v>10947196.512500025</v>
      </c>
      <c r="K149" s="94">
        <f t="shared" si="31"/>
        <v>-9490767.2275000308</v>
      </c>
      <c r="L149" s="94">
        <f t="shared" si="31"/>
        <v>-13271132.007500019</v>
      </c>
      <c r="M149" s="94">
        <f t="shared" si="31"/>
        <v>-1192067.0129392073</v>
      </c>
      <c r="N149" s="94">
        <f t="shared" si="31"/>
        <v>8403992.4705667943</v>
      </c>
      <c r="O149" s="94">
        <f t="shared" si="31"/>
        <v>-6667683.8425497524</v>
      </c>
      <c r="P149" s="94">
        <f t="shared" si="31"/>
        <v>31215805.656703848</v>
      </c>
      <c r="Q149" s="94">
        <f t="shared" si="31"/>
        <v>4240675.8511388777</v>
      </c>
      <c r="R149" s="94">
        <f t="shared" si="31"/>
        <v>49098101.085640006</v>
      </c>
      <c r="S149" s="406">
        <f t="shared" si="20"/>
        <v>-46845364.63643948</v>
      </c>
      <c r="T149" s="419">
        <f t="shared" si="21"/>
        <v>-9.4617985531083582E-3</v>
      </c>
    </row>
    <row r="150" spans="1:20">
      <c r="A150" s="117" t="str">
        <f>+CONCATENATE(A55,"p")</f>
        <v>46p</v>
      </c>
      <c r="B150" s="607" t="s">
        <v>352</v>
      </c>
      <c r="C150" s="608"/>
      <c r="D150" s="608"/>
      <c r="E150" s="608"/>
      <c r="F150" s="608"/>
      <c r="G150" s="84">
        <f t="shared" ref="G150:R150" si="32">+SUM(G151:G152)</f>
        <v>1718363.6600000001</v>
      </c>
      <c r="H150" s="84">
        <f t="shared" si="32"/>
        <v>3362692.9499999997</v>
      </c>
      <c r="I150" s="84">
        <f t="shared" si="32"/>
        <v>17620925.690000001</v>
      </c>
      <c r="J150" s="84">
        <f t="shared" si="32"/>
        <v>21217195.289999999</v>
      </c>
      <c r="K150" s="84">
        <f t="shared" si="32"/>
        <v>181489557.88</v>
      </c>
      <c r="L150" s="84">
        <f t="shared" si="32"/>
        <v>16844785.800000001</v>
      </c>
      <c r="M150" s="84">
        <f t="shared" si="32"/>
        <v>61721044.270000003</v>
      </c>
      <c r="N150" s="84">
        <f t="shared" si="32"/>
        <v>13754741.09</v>
      </c>
      <c r="O150" s="84">
        <f t="shared" si="32"/>
        <v>17831317.309999999</v>
      </c>
      <c r="P150" s="84">
        <f t="shared" si="32"/>
        <v>6151156.2299999995</v>
      </c>
      <c r="Q150" s="84">
        <f t="shared" si="32"/>
        <v>10176505.869999999</v>
      </c>
      <c r="R150" s="84">
        <f t="shared" si="32"/>
        <v>21711713.960000001</v>
      </c>
      <c r="S150" s="407">
        <f t="shared" si="20"/>
        <v>373600000</v>
      </c>
      <c r="T150" s="420">
        <f t="shared" si="21"/>
        <v>7.5459503130680672E-2</v>
      </c>
    </row>
    <row r="151" spans="1:20">
      <c r="A151" s="117" t="str">
        <f>+CONCATENATE(A56,"p")</f>
        <v>4611p</v>
      </c>
      <c r="B151" s="611" t="s">
        <v>355</v>
      </c>
      <c r="C151" s="612"/>
      <c r="D151" s="612"/>
      <c r="E151" s="612"/>
      <c r="F151" s="612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20"/>
        <v>44100000.039999999</v>
      </c>
      <c r="T151" s="418">
        <f t="shared" si="21"/>
        <v>8.9072914643506355E-3</v>
      </c>
    </row>
    <row r="152" spans="1:20">
      <c r="A152" s="117" t="str">
        <f>+CONCATENATE(A57,"p")</f>
        <v>4612p</v>
      </c>
      <c r="B152" s="605" t="s">
        <v>357</v>
      </c>
      <c r="C152" s="606"/>
      <c r="D152" s="606"/>
      <c r="E152" s="606"/>
      <c r="F152" s="606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20"/>
        <v>329499999.95999998</v>
      </c>
      <c r="T152" s="418">
        <f t="shared" si="21"/>
        <v>6.6552211666330033E-2</v>
      </c>
    </row>
    <row r="153" spans="1:20" ht="13.5" thickBot="1">
      <c r="A153" s="117"/>
      <c r="B153" s="621" t="s">
        <v>336</v>
      </c>
      <c r="C153" s="622"/>
      <c r="D153" s="622"/>
      <c r="E153" s="622"/>
      <c r="F153" s="622"/>
      <c r="G153" s="492">
        <v>26666.67</v>
      </c>
      <c r="H153" s="492">
        <v>26666.67</v>
      </c>
      <c r="I153" s="492">
        <v>26666.67</v>
      </c>
      <c r="J153" s="492">
        <v>39926666.670000002</v>
      </c>
      <c r="K153" s="492">
        <v>26666.67</v>
      </c>
      <c r="L153" s="492">
        <v>26666.67</v>
      </c>
      <c r="M153" s="492">
        <v>26666.67</v>
      </c>
      <c r="N153" s="492">
        <v>26666.67</v>
      </c>
      <c r="O153" s="492">
        <v>26666.67</v>
      </c>
      <c r="P153" s="492">
        <v>26666.67</v>
      </c>
      <c r="Q153" s="492">
        <v>26666.67</v>
      </c>
      <c r="R153" s="492">
        <v>26666.63</v>
      </c>
      <c r="S153" s="493">
        <f t="shared" si="20"/>
        <v>40220000.000000015</v>
      </c>
      <c r="T153" s="494">
        <f t="shared" si="21"/>
        <v>8.1236113916380564E-3</v>
      </c>
    </row>
    <row r="154" spans="1:20" ht="13.5" thickBot="1">
      <c r="A154" s="117" t="str">
        <f t="shared" ref="A154:A159" si="33">+CONCATENATE(A59,"p")</f>
        <v>1002p</v>
      </c>
      <c r="B154" s="609" t="s">
        <v>543</v>
      </c>
      <c r="C154" s="610"/>
      <c r="D154" s="610"/>
      <c r="E154" s="610"/>
      <c r="F154" s="610"/>
      <c r="G154" s="77">
        <f t="shared" ref="G154:R154" si="34">+G148-G150-G153</f>
        <v>-64162981.937499985</v>
      </c>
      <c r="H154" s="77">
        <f t="shared" si="34"/>
        <v>-49963551.177499995</v>
      </c>
      <c r="I154" s="77">
        <f t="shared" si="34"/>
        <v>-65853879.377500013</v>
      </c>
      <c r="J154" s="77">
        <f t="shared" si="34"/>
        <v>-68696397.547499985</v>
      </c>
      <c r="K154" s="77">
        <f t="shared" si="34"/>
        <v>-205052828.04750001</v>
      </c>
      <c r="L154" s="77">
        <f t="shared" si="34"/>
        <v>-32116387.137500022</v>
      </c>
      <c r="M154" s="77">
        <f t="shared" si="34"/>
        <v>-71704253.742939219</v>
      </c>
      <c r="N154" s="77">
        <f t="shared" si="34"/>
        <v>-6674621.4294332061</v>
      </c>
      <c r="O154" s="77">
        <f t="shared" si="34"/>
        <v>-27665993.622549754</v>
      </c>
      <c r="P154" s="77">
        <f t="shared" si="34"/>
        <v>23716690.676703844</v>
      </c>
      <c r="Q154" s="77">
        <f t="shared" si="34"/>
        <v>-13766234.018861122</v>
      </c>
      <c r="R154" s="77">
        <f t="shared" si="34"/>
        <v>25522372.725640003</v>
      </c>
      <c r="S154" s="408">
        <f t="shared" si="20"/>
        <v>-556418064.63643956</v>
      </c>
      <c r="T154" s="421">
        <f t="shared" si="21"/>
        <v>-0.11238498578801041</v>
      </c>
    </row>
    <row r="155" spans="1:20" ht="13.5" thickBot="1">
      <c r="A155" s="117" t="str">
        <f t="shared" si="33"/>
        <v>1003p</v>
      </c>
      <c r="B155" s="583" t="s">
        <v>544</v>
      </c>
      <c r="C155" s="584"/>
      <c r="D155" s="584"/>
      <c r="E155" s="584"/>
      <c r="F155" s="584"/>
      <c r="G155" s="93">
        <f t="shared" ref="G155:R155" si="35">+SUM(G156:G159)</f>
        <v>64162981.937499985</v>
      </c>
      <c r="H155" s="93">
        <f t="shared" si="35"/>
        <v>49963551.177499995</v>
      </c>
      <c r="I155" s="93">
        <f t="shared" si="35"/>
        <v>65853879.377500013</v>
      </c>
      <c r="J155" s="93">
        <f t="shared" si="35"/>
        <v>68696397.547499985</v>
      </c>
      <c r="K155" s="93">
        <f t="shared" si="35"/>
        <v>205052828.04750001</v>
      </c>
      <c r="L155" s="93">
        <f t="shared" si="35"/>
        <v>32116387.137500022</v>
      </c>
      <c r="M155" s="93">
        <f t="shared" si="35"/>
        <v>71704253.742939219</v>
      </c>
      <c r="N155" s="93">
        <f t="shared" si="35"/>
        <v>6674621.4294332061</v>
      </c>
      <c r="O155" s="93">
        <f t="shared" si="35"/>
        <v>27665993.622549754</v>
      </c>
      <c r="P155" s="93">
        <f t="shared" si="35"/>
        <v>-23716690.67670384</v>
      </c>
      <c r="Q155" s="93">
        <f t="shared" si="35"/>
        <v>13766234.018861122</v>
      </c>
      <c r="R155" s="93">
        <f t="shared" si="35"/>
        <v>-25522372.725640006</v>
      </c>
      <c r="S155" s="409">
        <f t="shared" si="20"/>
        <v>556418064.63643956</v>
      </c>
      <c r="T155" s="422">
        <f t="shared" si="21"/>
        <v>0.11238498578801041</v>
      </c>
    </row>
    <row r="156" spans="1:20">
      <c r="A156" s="117" t="str">
        <f t="shared" si="33"/>
        <v>7511p</v>
      </c>
      <c r="B156" s="611" t="s">
        <v>114</v>
      </c>
      <c r="C156" s="612"/>
      <c r="D156" s="612"/>
      <c r="E156" s="612"/>
      <c r="F156" s="612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20"/>
        <v>190000000</v>
      </c>
      <c r="T156" s="418">
        <f t="shared" si="21"/>
        <v>3.8376085639264798E-2</v>
      </c>
    </row>
    <row r="157" spans="1:20">
      <c r="A157" s="117" t="str">
        <f t="shared" si="33"/>
        <v>7512p</v>
      </c>
      <c r="B157" s="605" t="s">
        <v>116</v>
      </c>
      <c r="C157" s="606"/>
      <c r="D157" s="606"/>
      <c r="E157" s="606"/>
      <c r="F157" s="606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20"/>
        <v>180405268.74155378</v>
      </c>
      <c r="T157" s="418">
        <f t="shared" si="21"/>
        <v>3.6438147594739199E-2</v>
      </c>
    </row>
    <row r="158" spans="1:20">
      <c r="A158" s="117" t="str">
        <f t="shared" si="33"/>
        <v>72p</v>
      </c>
      <c r="B158" s="605" t="s">
        <v>93</v>
      </c>
      <c r="C158" s="606"/>
      <c r="D158" s="606"/>
      <c r="E158" s="606"/>
      <c r="F158" s="606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20"/>
        <v>6000000</v>
      </c>
      <c r="T158" s="418">
        <f t="shared" si="21"/>
        <v>1.211876388608362E-3</v>
      </c>
    </row>
    <row r="159" spans="1:20" ht="13.5" thickBot="1">
      <c r="A159" s="117" t="str">
        <f t="shared" si="33"/>
        <v>1004p</v>
      </c>
      <c r="B159" s="98" t="s">
        <v>549</v>
      </c>
      <c r="C159" s="99"/>
      <c r="D159" s="99"/>
      <c r="E159" s="99"/>
      <c r="F159" s="99"/>
      <c r="G159" s="97">
        <f t="shared" ref="G159:R159" si="36">-G154-SUM(G156:G158)</f>
        <v>39640138.087499984</v>
      </c>
      <c r="H159" s="97">
        <f t="shared" si="36"/>
        <v>49463551.177499995</v>
      </c>
      <c r="I159" s="97">
        <f t="shared" si="36"/>
        <v>-42045458.012499988</v>
      </c>
      <c r="J159" s="97">
        <f t="shared" si="36"/>
        <v>53196397.547499985</v>
      </c>
      <c r="K159" s="97">
        <f t="shared" si="36"/>
        <v>92552828.047500014</v>
      </c>
      <c r="L159" s="97">
        <f t="shared" si="36"/>
        <v>14616387.137500022</v>
      </c>
      <c r="M159" s="97">
        <f t="shared" si="36"/>
        <v>54204253.742939219</v>
      </c>
      <c r="N159" s="97">
        <f t="shared" si="36"/>
        <v>-8825378.5705667939</v>
      </c>
      <c r="O159" s="97">
        <f t="shared" si="36"/>
        <v>10165993.622549754</v>
      </c>
      <c r="P159" s="97">
        <f t="shared" si="36"/>
        <v>-41216690.67670384</v>
      </c>
      <c r="Q159" s="97">
        <f t="shared" si="36"/>
        <v>-1733765.9811388776</v>
      </c>
      <c r="R159" s="97">
        <f t="shared" si="36"/>
        <v>-40005460.227193788</v>
      </c>
      <c r="S159" s="410">
        <f t="shared" si="20"/>
        <v>180012795.89488566</v>
      </c>
      <c r="T159" s="423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806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67" t="s">
        <v>554</v>
      </c>
      <c r="C7" s="548"/>
      <c r="D7" s="548"/>
      <c r="E7" s="548"/>
      <c r="F7" s="548"/>
      <c r="G7" s="556">
        <v>2018</v>
      </c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60"/>
      <c r="S7" s="235" t="s">
        <v>419</v>
      </c>
      <c r="T7" s="236">
        <v>4663130000</v>
      </c>
    </row>
    <row r="8" spans="1:20" ht="16.5" customHeight="1">
      <c r="A8" s="144"/>
      <c r="B8" s="549"/>
      <c r="C8" s="550"/>
      <c r="D8" s="550"/>
      <c r="E8" s="550"/>
      <c r="F8" s="551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56" t="s">
        <v>807</v>
      </c>
      <c r="T8" s="560"/>
    </row>
    <row r="9" spans="1:20" ht="13.5" thickBot="1">
      <c r="A9" s="144"/>
      <c r="B9" s="552"/>
      <c r="C9" s="553"/>
      <c r="D9" s="553"/>
      <c r="E9" s="553"/>
      <c r="F9" s="554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808</v>
      </c>
    </row>
    <row r="10" spans="1:20" ht="13.5" thickBot="1">
      <c r="A10" s="150">
        <v>7</v>
      </c>
      <c r="B10" s="515" t="s">
        <v>681</v>
      </c>
      <c r="C10" s="516"/>
      <c r="D10" s="516"/>
      <c r="E10" s="516"/>
      <c r="F10" s="516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17" t="s">
        <v>21</v>
      </c>
      <c r="C11" s="518"/>
      <c r="D11" s="518"/>
      <c r="E11" s="518"/>
      <c r="F11" s="518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19" t="s">
        <v>23</v>
      </c>
      <c r="C12" s="520"/>
      <c r="D12" s="520"/>
      <c r="E12" s="520"/>
      <c r="F12" s="520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19" t="s">
        <v>25</v>
      </c>
      <c r="C13" s="520"/>
      <c r="D13" s="520"/>
      <c r="E13" s="520"/>
      <c r="F13" s="520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19" t="s">
        <v>27</v>
      </c>
      <c r="C14" s="520"/>
      <c r="D14" s="520"/>
      <c r="E14" s="520"/>
      <c r="F14" s="520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19" t="s">
        <v>29</v>
      </c>
      <c r="C15" s="520"/>
      <c r="D15" s="520"/>
      <c r="E15" s="520"/>
      <c r="F15" s="520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19" t="s">
        <v>31</v>
      </c>
      <c r="C16" s="520"/>
      <c r="D16" s="520"/>
      <c r="E16" s="520"/>
      <c r="F16" s="520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19" t="s">
        <v>33</v>
      </c>
      <c r="C17" s="520"/>
      <c r="D17" s="520"/>
      <c r="E17" s="520"/>
      <c r="F17" s="520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19" t="s">
        <v>722</v>
      </c>
      <c r="C18" s="520"/>
      <c r="D18" s="520"/>
      <c r="E18" s="520"/>
      <c r="F18" s="520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23" t="s">
        <v>37</v>
      </c>
      <c r="C19" s="524"/>
      <c r="D19" s="524"/>
      <c r="E19" s="524"/>
      <c r="F19" s="524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19" t="s">
        <v>39</v>
      </c>
      <c r="C20" s="520"/>
      <c r="D20" s="520"/>
      <c r="E20" s="520"/>
      <c r="F20" s="520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19" t="s">
        <v>41</v>
      </c>
      <c r="C21" s="520"/>
      <c r="D21" s="520"/>
      <c r="E21" s="520"/>
      <c r="F21" s="520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19" t="s">
        <v>43</v>
      </c>
      <c r="C22" s="520"/>
      <c r="D22" s="520"/>
      <c r="E22" s="520"/>
      <c r="F22" s="520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19" t="s">
        <v>45</v>
      </c>
      <c r="C23" s="520"/>
      <c r="D23" s="520"/>
      <c r="E23" s="520"/>
      <c r="F23" s="520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21" t="s">
        <v>47</v>
      </c>
      <c r="C24" s="522"/>
      <c r="D24" s="522"/>
      <c r="E24" s="522"/>
      <c r="F24" s="522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21" t="s">
        <v>61</v>
      </c>
      <c r="C25" s="522"/>
      <c r="D25" s="522"/>
      <c r="E25" s="522"/>
      <c r="F25" s="522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21" t="s">
        <v>81</v>
      </c>
      <c r="C26" s="522"/>
      <c r="D26" s="522"/>
      <c r="E26" s="522"/>
      <c r="F26" s="522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21" t="s">
        <v>99</v>
      </c>
      <c r="C27" s="522"/>
      <c r="D27" s="522"/>
      <c r="E27" s="522"/>
      <c r="F27" s="522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25" t="s">
        <v>105</v>
      </c>
      <c r="C28" s="526"/>
      <c r="D28" s="526"/>
      <c r="E28" s="526"/>
      <c r="F28" s="526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27" t="s">
        <v>802</v>
      </c>
      <c r="C29" s="528"/>
      <c r="D29" s="528"/>
      <c r="E29" s="528"/>
      <c r="F29" s="528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29" t="s">
        <v>774</v>
      </c>
      <c r="C30" s="530"/>
      <c r="D30" s="530"/>
      <c r="E30" s="530"/>
      <c r="F30" s="530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31" t="s">
        <v>120</v>
      </c>
      <c r="C31" s="532"/>
      <c r="D31" s="532"/>
      <c r="E31" s="532"/>
      <c r="F31" s="532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19" t="s">
        <v>122</v>
      </c>
      <c r="C32" s="520"/>
      <c r="D32" s="520"/>
      <c r="E32" s="520"/>
      <c r="F32" s="520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19" t="s">
        <v>133</v>
      </c>
      <c r="C33" s="520"/>
      <c r="D33" s="520"/>
      <c r="E33" s="520"/>
      <c r="F33" s="520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19" t="s">
        <v>148</v>
      </c>
      <c r="C34" s="520"/>
      <c r="D34" s="520"/>
      <c r="E34" s="520"/>
      <c r="F34" s="520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19" t="s">
        <v>162</v>
      </c>
      <c r="C35" s="520"/>
      <c r="D35" s="520"/>
      <c r="E35" s="520"/>
      <c r="F35" s="520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19" t="s">
        <v>182</v>
      </c>
      <c r="C36" s="520"/>
      <c r="D36" s="520"/>
      <c r="E36" s="520"/>
      <c r="F36" s="520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19" t="s">
        <v>190</v>
      </c>
      <c r="C37" s="520"/>
      <c r="D37" s="520"/>
      <c r="E37" s="520"/>
      <c r="F37" s="520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19" t="s">
        <v>196</v>
      </c>
      <c r="C38" s="520"/>
      <c r="D38" s="520"/>
      <c r="E38" s="520"/>
      <c r="F38" s="520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19" t="s">
        <v>204</v>
      </c>
      <c r="C39" s="520"/>
      <c r="D39" s="520"/>
      <c r="E39" s="520"/>
      <c r="F39" s="520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19" t="s">
        <v>212</v>
      </c>
      <c r="C40" s="520"/>
      <c r="D40" s="520"/>
      <c r="E40" s="520"/>
      <c r="F40" s="520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19" t="s">
        <v>803</v>
      </c>
      <c r="C41" s="520"/>
      <c r="D41" s="520"/>
      <c r="E41" s="520"/>
      <c r="F41" s="520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35" t="s">
        <v>230</v>
      </c>
      <c r="C42" s="536"/>
      <c r="D42" s="536"/>
      <c r="E42" s="536"/>
      <c r="F42" s="536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19" t="s">
        <v>232</v>
      </c>
      <c r="C43" s="520"/>
      <c r="D43" s="520"/>
      <c r="E43" s="520"/>
      <c r="F43" s="520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19" t="s">
        <v>248</v>
      </c>
      <c r="C44" s="520"/>
      <c r="D44" s="520"/>
      <c r="E44" s="520"/>
      <c r="F44" s="520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19" t="s">
        <v>259</v>
      </c>
      <c r="C45" s="520"/>
      <c r="D45" s="520"/>
      <c r="E45" s="520"/>
      <c r="F45" s="520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19" t="s">
        <v>274</v>
      </c>
      <c r="C46" s="520"/>
      <c r="D46" s="520"/>
      <c r="E46" s="520"/>
      <c r="F46" s="520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27" t="s">
        <v>278</v>
      </c>
      <c r="C47" s="628"/>
      <c r="D47" s="628"/>
      <c r="E47" s="628"/>
      <c r="F47" s="628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33" t="s">
        <v>286</v>
      </c>
      <c r="C48" s="534"/>
      <c r="D48" s="534"/>
      <c r="E48" s="534"/>
      <c r="F48" s="534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33" t="s">
        <v>320</v>
      </c>
      <c r="C49" s="534"/>
      <c r="D49" s="534"/>
      <c r="E49" s="534"/>
      <c r="F49" s="534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572" t="s">
        <v>113</v>
      </c>
      <c r="C50" s="573"/>
      <c r="D50" s="573"/>
      <c r="E50" s="573"/>
      <c r="F50" s="573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37" t="s">
        <v>366</v>
      </c>
      <c r="C51" s="538"/>
      <c r="D51" s="538"/>
      <c r="E51" s="538"/>
      <c r="F51" s="538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39" t="s">
        <v>359</v>
      </c>
      <c r="C52" s="540"/>
      <c r="D52" s="540"/>
      <c r="E52" s="540"/>
      <c r="F52" s="540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579" t="s">
        <v>795</v>
      </c>
      <c r="C53" s="580"/>
      <c r="D53" s="580"/>
      <c r="E53" s="580"/>
      <c r="F53" s="580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581" t="s">
        <v>685</v>
      </c>
      <c r="C54" s="582"/>
      <c r="D54" s="582"/>
      <c r="E54" s="582"/>
      <c r="F54" s="582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41" t="s">
        <v>545</v>
      </c>
      <c r="C55" s="542"/>
      <c r="D55" s="542"/>
      <c r="E55" s="542"/>
      <c r="F55" s="542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43" t="s">
        <v>794</v>
      </c>
      <c r="C57" s="544"/>
      <c r="D57" s="544"/>
      <c r="E57" s="544"/>
      <c r="F57" s="544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65" t="s">
        <v>352</v>
      </c>
      <c r="C58" s="566"/>
      <c r="D58" s="566"/>
      <c r="E58" s="566"/>
      <c r="F58" s="566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61" t="s">
        <v>355</v>
      </c>
      <c r="C59" s="562"/>
      <c r="D59" s="562"/>
      <c r="E59" s="562"/>
      <c r="F59" s="562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37" t="s">
        <v>357</v>
      </c>
      <c r="C60" s="538"/>
      <c r="D60" s="538"/>
      <c r="E60" s="538"/>
      <c r="F60" s="538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29" t="s">
        <v>336</v>
      </c>
      <c r="C61" s="630"/>
      <c r="D61" s="630"/>
      <c r="E61" s="630"/>
      <c r="F61" s="630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63" t="s">
        <v>543</v>
      </c>
      <c r="C62" s="564"/>
      <c r="D62" s="564"/>
      <c r="E62" s="564"/>
      <c r="F62" s="564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27" t="s">
        <v>544</v>
      </c>
      <c r="C63" s="528"/>
      <c r="D63" s="528"/>
      <c r="E63" s="528"/>
      <c r="F63" s="528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61" t="s">
        <v>114</v>
      </c>
      <c r="C64" s="562"/>
      <c r="D64" s="562"/>
      <c r="E64" s="562"/>
      <c r="F64" s="562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37" t="s">
        <v>116</v>
      </c>
      <c r="C65" s="538"/>
      <c r="D65" s="538"/>
      <c r="E65" s="538"/>
      <c r="F65" s="538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37" t="s">
        <v>93</v>
      </c>
      <c r="C66" s="538"/>
      <c r="D66" s="538"/>
      <c r="E66" s="538"/>
      <c r="F66" s="538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9" t="s">
        <v>552</v>
      </c>
      <c r="C103" s="590"/>
      <c r="D103" s="590"/>
      <c r="E103" s="590"/>
      <c r="F103" s="590"/>
      <c r="G103" s="574">
        <v>2018</v>
      </c>
      <c r="H103" s="575"/>
      <c r="I103" s="575"/>
      <c r="J103" s="575"/>
      <c r="K103" s="575"/>
      <c r="L103" s="575"/>
      <c r="M103" s="575"/>
      <c r="N103" s="575"/>
      <c r="O103" s="575"/>
      <c r="P103" s="575"/>
      <c r="Q103" s="575"/>
      <c r="R103" s="576"/>
      <c r="S103" s="107" t="str">
        <f>+S7</f>
        <v>BDP</v>
      </c>
      <c r="T103" s="108">
        <f>+T7</f>
        <v>4663130000</v>
      </c>
    </row>
    <row r="104" spans="1:21" ht="15.75" customHeight="1">
      <c r="B104" s="591"/>
      <c r="C104" s="592"/>
      <c r="D104" s="592"/>
      <c r="E104" s="592"/>
      <c r="F104" s="593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74" t="s">
        <v>807</v>
      </c>
      <c r="T104" s="576">
        <f>+T8</f>
        <v>0</v>
      </c>
    </row>
    <row r="105" spans="1:21" ht="13.5" thickBot="1">
      <c r="B105" s="594"/>
      <c r="C105" s="595"/>
      <c r="D105" s="595"/>
      <c r="E105" s="595"/>
      <c r="F105" s="596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617" t="s">
        <v>681</v>
      </c>
      <c r="C106" s="618"/>
      <c r="D106" s="618"/>
      <c r="E106" s="618"/>
      <c r="F106" s="618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85" t="s">
        <v>21</v>
      </c>
      <c r="C107" s="586"/>
      <c r="D107" s="586"/>
      <c r="E107" s="586"/>
      <c r="F107" s="586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87" t="s">
        <v>23</v>
      </c>
      <c r="C108" s="588"/>
      <c r="D108" s="588"/>
      <c r="E108" s="588"/>
      <c r="F108" s="588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87" t="s">
        <v>25</v>
      </c>
      <c r="C109" s="588"/>
      <c r="D109" s="588"/>
      <c r="E109" s="588"/>
      <c r="F109" s="588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87" t="s">
        <v>27</v>
      </c>
      <c r="C110" s="588"/>
      <c r="D110" s="588"/>
      <c r="E110" s="588"/>
      <c r="F110" s="588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87" t="s">
        <v>29</v>
      </c>
      <c r="C111" s="588"/>
      <c r="D111" s="588"/>
      <c r="E111" s="588"/>
      <c r="F111" s="588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87" t="s">
        <v>31</v>
      </c>
      <c r="C112" s="588"/>
      <c r="D112" s="588"/>
      <c r="E112" s="588"/>
      <c r="F112" s="588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87" t="s">
        <v>33</v>
      </c>
      <c r="C113" s="588"/>
      <c r="D113" s="588"/>
      <c r="E113" s="588"/>
      <c r="F113" s="588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87" t="s">
        <v>722</v>
      </c>
      <c r="C114" s="588"/>
      <c r="D114" s="588"/>
      <c r="E114" s="588"/>
      <c r="F114" s="588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619" t="s">
        <v>37</v>
      </c>
      <c r="C115" s="620"/>
      <c r="D115" s="620"/>
      <c r="E115" s="620"/>
      <c r="F115" s="620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87" t="s">
        <v>39</v>
      </c>
      <c r="C116" s="588"/>
      <c r="D116" s="588"/>
      <c r="E116" s="588"/>
      <c r="F116" s="588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87" t="s">
        <v>41</v>
      </c>
      <c r="C117" s="588"/>
      <c r="D117" s="588"/>
      <c r="E117" s="588"/>
      <c r="F117" s="588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87" t="s">
        <v>43</v>
      </c>
      <c r="C118" s="588"/>
      <c r="D118" s="588"/>
      <c r="E118" s="588"/>
      <c r="F118" s="588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87" t="s">
        <v>45</v>
      </c>
      <c r="C119" s="588"/>
      <c r="D119" s="588"/>
      <c r="E119" s="588"/>
      <c r="F119" s="588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97" t="s">
        <v>47</v>
      </c>
      <c r="C120" s="598"/>
      <c r="D120" s="598"/>
      <c r="E120" s="598"/>
      <c r="F120" s="598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97" t="s">
        <v>61</v>
      </c>
      <c r="C121" s="598"/>
      <c r="D121" s="598"/>
      <c r="E121" s="598"/>
      <c r="F121" s="598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97" t="s">
        <v>81</v>
      </c>
      <c r="C122" s="598"/>
      <c r="D122" s="598"/>
      <c r="E122" s="598"/>
      <c r="F122" s="598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97" t="s">
        <v>99</v>
      </c>
      <c r="C123" s="598"/>
      <c r="D123" s="598"/>
      <c r="E123" s="598"/>
      <c r="F123" s="598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99" t="s">
        <v>105</v>
      </c>
      <c r="C124" s="600"/>
      <c r="D124" s="600"/>
      <c r="E124" s="600"/>
      <c r="F124" s="600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83" t="s">
        <v>809</v>
      </c>
      <c r="C125" s="584"/>
      <c r="D125" s="584"/>
      <c r="E125" s="584"/>
      <c r="F125" s="584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23" t="s">
        <v>774</v>
      </c>
      <c r="C126" s="624"/>
      <c r="D126" s="624"/>
      <c r="E126" s="624"/>
      <c r="F126" s="624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601" t="s">
        <v>120</v>
      </c>
      <c r="C127" s="602"/>
      <c r="D127" s="602"/>
      <c r="E127" s="602"/>
      <c r="F127" s="602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87" t="s">
        <v>122</v>
      </c>
      <c r="C128" s="588"/>
      <c r="D128" s="588"/>
      <c r="E128" s="588"/>
      <c r="F128" s="588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87" t="s">
        <v>133</v>
      </c>
      <c r="C129" s="588"/>
      <c r="D129" s="588"/>
      <c r="E129" s="588"/>
      <c r="F129" s="588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87" t="s">
        <v>148</v>
      </c>
      <c r="C130" s="588"/>
      <c r="D130" s="588"/>
      <c r="E130" s="588"/>
      <c r="F130" s="588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87" t="s">
        <v>162</v>
      </c>
      <c r="C131" s="588"/>
      <c r="D131" s="588"/>
      <c r="E131" s="588"/>
      <c r="F131" s="588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87" t="s">
        <v>182</v>
      </c>
      <c r="C132" s="588"/>
      <c r="D132" s="588"/>
      <c r="E132" s="588"/>
      <c r="F132" s="588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87" t="s">
        <v>190</v>
      </c>
      <c r="C133" s="588"/>
      <c r="D133" s="588"/>
      <c r="E133" s="588"/>
      <c r="F133" s="588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87" t="s">
        <v>196</v>
      </c>
      <c r="C134" s="588"/>
      <c r="D134" s="588"/>
      <c r="E134" s="588"/>
      <c r="F134" s="588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87" t="s">
        <v>204</v>
      </c>
      <c r="C135" s="588"/>
      <c r="D135" s="588"/>
      <c r="E135" s="588"/>
      <c r="F135" s="588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87" t="s">
        <v>212</v>
      </c>
      <c r="C136" s="588"/>
      <c r="D136" s="588"/>
      <c r="E136" s="588"/>
      <c r="F136" s="588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87" t="s">
        <v>803</v>
      </c>
      <c r="C137" s="588"/>
      <c r="D137" s="588"/>
      <c r="E137" s="588"/>
      <c r="F137" s="588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607" t="s">
        <v>230</v>
      </c>
      <c r="C138" s="608"/>
      <c r="D138" s="608"/>
      <c r="E138" s="608"/>
      <c r="F138" s="608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87" t="s">
        <v>232</v>
      </c>
      <c r="C139" s="588"/>
      <c r="D139" s="588"/>
      <c r="E139" s="588"/>
      <c r="F139" s="588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87" t="s">
        <v>248</v>
      </c>
      <c r="C140" s="588"/>
      <c r="D140" s="588"/>
      <c r="E140" s="588"/>
      <c r="F140" s="588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87" t="s">
        <v>259</v>
      </c>
      <c r="C141" s="588"/>
      <c r="D141" s="588"/>
      <c r="E141" s="588"/>
      <c r="F141" s="588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87" t="s">
        <v>274</v>
      </c>
      <c r="C142" s="588"/>
      <c r="D142" s="588"/>
      <c r="E142" s="588"/>
      <c r="F142" s="588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87" t="s">
        <v>278</v>
      </c>
      <c r="C143" s="588"/>
      <c r="D143" s="588"/>
      <c r="E143" s="588"/>
      <c r="F143" s="588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603" t="s">
        <v>286</v>
      </c>
      <c r="C144" s="604"/>
      <c r="D144" s="604"/>
      <c r="E144" s="604"/>
      <c r="F144" s="604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603" t="s">
        <v>810</v>
      </c>
      <c r="C145" s="604"/>
      <c r="D145" s="604"/>
      <c r="E145" s="604"/>
      <c r="F145" s="604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605" t="s">
        <v>113</v>
      </c>
      <c r="C146" s="606"/>
      <c r="D146" s="606"/>
      <c r="E146" s="606"/>
      <c r="F146" s="606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605" t="s">
        <v>366</v>
      </c>
      <c r="C147" s="606"/>
      <c r="D147" s="606"/>
      <c r="E147" s="606"/>
      <c r="F147" s="606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605" t="s">
        <v>359</v>
      </c>
      <c r="C148" s="606"/>
      <c r="D148" s="606"/>
      <c r="E148" s="606"/>
      <c r="F148" s="606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613" t="s">
        <v>545</v>
      </c>
      <c r="C150" s="614"/>
      <c r="D150" s="614"/>
      <c r="E150" s="614"/>
      <c r="F150" s="614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615" t="s">
        <v>811</v>
      </c>
      <c r="C151" s="616"/>
      <c r="D151" s="616"/>
      <c r="E151" s="616"/>
      <c r="F151" s="616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607" t="s">
        <v>352</v>
      </c>
      <c r="C152" s="608"/>
      <c r="D152" s="608"/>
      <c r="E152" s="608"/>
      <c r="F152" s="608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611" t="s">
        <v>355</v>
      </c>
      <c r="C153" s="612"/>
      <c r="D153" s="612"/>
      <c r="E153" s="612"/>
      <c r="F153" s="612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605" t="s">
        <v>357</v>
      </c>
      <c r="C154" s="606"/>
      <c r="D154" s="606"/>
      <c r="E154" s="606"/>
      <c r="F154" s="606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605" t="s">
        <v>365</v>
      </c>
      <c r="C155" s="606"/>
      <c r="D155" s="606"/>
      <c r="E155" s="606"/>
      <c r="F155" s="606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609" t="s">
        <v>543</v>
      </c>
      <c r="C157" s="610"/>
      <c r="D157" s="610"/>
      <c r="E157" s="610"/>
      <c r="F157" s="610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83" t="s">
        <v>544</v>
      </c>
      <c r="C158" s="584"/>
      <c r="D158" s="584"/>
      <c r="E158" s="584"/>
      <c r="F158" s="584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611" t="s">
        <v>114</v>
      </c>
      <c r="C159" s="612"/>
      <c r="D159" s="612"/>
      <c r="E159" s="612"/>
      <c r="F159" s="612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605" t="s">
        <v>116</v>
      </c>
      <c r="C160" s="606"/>
      <c r="D160" s="606"/>
      <c r="E160" s="606"/>
      <c r="F160" s="606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605" t="s">
        <v>93</v>
      </c>
      <c r="C161" s="606"/>
      <c r="D161" s="606"/>
      <c r="E161" s="606"/>
      <c r="F161" s="606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4" t="s">
        <v>555</v>
      </c>
      <c r="F6" s="632">
        <v>2006</v>
      </c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3"/>
      <c r="R6" s="632">
        <v>2007</v>
      </c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3"/>
      <c r="AD6" s="632">
        <v>2008</v>
      </c>
      <c r="AE6" s="631"/>
      <c r="AF6" s="631"/>
      <c r="AG6" s="631"/>
      <c r="AH6" s="631"/>
      <c r="AI6" s="631"/>
      <c r="AJ6" s="631"/>
      <c r="AK6" s="631"/>
      <c r="AL6" s="631"/>
      <c r="AM6" s="631"/>
      <c r="AN6" s="631"/>
      <c r="AO6" s="633"/>
      <c r="AP6" s="632">
        <v>2009</v>
      </c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3"/>
      <c r="BB6" s="632">
        <v>2010</v>
      </c>
      <c r="BC6" s="631"/>
      <c r="BD6" s="631"/>
      <c r="BE6" s="631"/>
      <c r="BF6" s="631"/>
      <c r="BG6" s="631"/>
      <c r="BH6" s="631"/>
      <c r="BI6" s="631"/>
      <c r="BJ6" s="631"/>
      <c r="BK6" s="631"/>
      <c r="BL6" s="631"/>
      <c r="BM6" s="633"/>
      <c r="BN6" s="632">
        <v>2011</v>
      </c>
      <c r="BO6" s="631"/>
      <c r="BP6" s="631"/>
      <c r="BQ6" s="631"/>
      <c r="BR6" s="631"/>
      <c r="BS6" s="631"/>
      <c r="BT6" s="631"/>
      <c r="BU6" s="631"/>
      <c r="BV6" s="631"/>
      <c r="BW6" s="631"/>
      <c r="BX6" s="631"/>
      <c r="BY6" s="633"/>
      <c r="BZ6" s="631">
        <v>2012</v>
      </c>
      <c r="CA6" s="631"/>
      <c r="CB6" s="631"/>
      <c r="CC6" s="631"/>
      <c r="CD6" s="631"/>
      <c r="CE6" s="631"/>
      <c r="CF6" s="631"/>
      <c r="CG6" s="631"/>
      <c r="CH6" s="631"/>
      <c r="CI6" s="631"/>
      <c r="CJ6" s="631"/>
      <c r="CK6" s="631"/>
      <c r="CL6" s="632">
        <v>2013</v>
      </c>
      <c r="CM6" s="631"/>
      <c r="CN6" s="631"/>
      <c r="CO6" s="631"/>
      <c r="CP6" s="631"/>
      <c r="CQ6" s="631"/>
      <c r="CR6" s="631"/>
      <c r="CS6" s="631"/>
      <c r="CT6" s="631"/>
      <c r="CU6" s="631"/>
      <c r="CV6" s="631"/>
      <c r="CW6" s="633"/>
      <c r="CX6" s="632">
        <v>2014</v>
      </c>
      <c r="CY6" s="631"/>
      <c r="CZ6" s="631"/>
      <c r="DA6" s="631"/>
      <c r="DB6" s="631"/>
      <c r="DC6" s="631"/>
      <c r="DD6" s="631"/>
      <c r="DE6" s="631"/>
      <c r="DF6" s="631"/>
      <c r="DG6" s="631"/>
      <c r="DH6" s="631"/>
      <c r="DI6" s="633"/>
      <c r="DJ6" s="632">
        <v>2015</v>
      </c>
      <c r="DK6" s="631"/>
      <c r="DL6" s="631"/>
      <c r="DM6" s="631"/>
      <c r="DN6" s="631"/>
      <c r="DO6" s="631"/>
      <c r="DP6" s="631"/>
      <c r="DQ6" s="631"/>
      <c r="DR6" s="631"/>
      <c r="DS6" s="631"/>
      <c r="DT6" s="631"/>
      <c r="DU6" s="633"/>
    </row>
    <row r="7" spans="1:321">
      <c r="E7" s="634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4" t="s">
        <v>676</v>
      </c>
      <c r="F214" s="632">
        <v>2006</v>
      </c>
      <c r="G214" s="631"/>
      <c r="H214" s="631"/>
      <c r="I214" s="631"/>
      <c r="J214" s="631"/>
      <c r="K214" s="631"/>
      <c r="L214" s="631"/>
      <c r="M214" s="631"/>
      <c r="N214" s="631"/>
      <c r="O214" s="631"/>
      <c r="P214" s="631"/>
      <c r="Q214" s="633"/>
      <c r="R214" s="632">
        <v>2007</v>
      </c>
      <c r="S214" s="631"/>
      <c r="T214" s="631"/>
      <c r="U214" s="631"/>
      <c r="V214" s="631"/>
      <c r="W214" s="631"/>
      <c r="X214" s="631"/>
      <c r="Y214" s="631"/>
      <c r="Z214" s="631"/>
      <c r="AA214" s="631"/>
      <c r="AB214" s="631"/>
      <c r="AC214" s="633"/>
      <c r="AD214" s="632">
        <v>2008</v>
      </c>
      <c r="AE214" s="631"/>
      <c r="AF214" s="631"/>
      <c r="AG214" s="631"/>
      <c r="AH214" s="631"/>
      <c r="AI214" s="631"/>
      <c r="AJ214" s="631"/>
      <c r="AK214" s="631"/>
      <c r="AL214" s="631"/>
      <c r="AM214" s="631"/>
      <c r="AN214" s="631"/>
      <c r="AO214" s="633"/>
      <c r="AP214" s="632">
        <v>2009</v>
      </c>
      <c r="AQ214" s="631"/>
      <c r="AR214" s="631"/>
      <c r="AS214" s="631"/>
      <c r="AT214" s="631"/>
      <c r="AU214" s="631"/>
      <c r="AV214" s="631"/>
      <c r="AW214" s="631"/>
      <c r="AX214" s="631"/>
      <c r="AY214" s="631"/>
      <c r="AZ214" s="631"/>
      <c r="BA214" s="633"/>
      <c r="BB214" s="632">
        <v>2010</v>
      </c>
      <c r="BC214" s="631"/>
      <c r="BD214" s="631"/>
      <c r="BE214" s="631"/>
      <c r="BF214" s="631"/>
      <c r="BG214" s="631"/>
      <c r="BH214" s="631"/>
      <c r="BI214" s="631"/>
      <c r="BJ214" s="631"/>
      <c r="BK214" s="631"/>
      <c r="BL214" s="631"/>
      <c r="BM214" s="633"/>
      <c r="BN214" s="632">
        <v>2011</v>
      </c>
      <c r="BO214" s="631"/>
      <c r="BP214" s="631"/>
      <c r="BQ214" s="631"/>
      <c r="BR214" s="631"/>
      <c r="BS214" s="631"/>
      <c r="BT214" s="631"/>
      <c r="BU214" s="631"/>
      <c r="BV214" s="631"/>
      <c r="BW214" s="631"/>
      <c r="BX214" s="631"/>
      <c r="BY214" s="633"/>
      <c r="BZ214" s="631">
        <v>2012</v>
      </c>
      <c r="CA214" s="631"/>
      <c r="CB214" s="631"/>
      <c r="CC214" s="631"/>
      <c r="CD214" s="631"/>
      <c r="CE214" s="631"/>
      <c r="CF214" s="631"/>
      <c r="CG214" s="631"/>
      <c r="CH214" s="631"/>
      <c r="CI214" s="631"/>
      <c r="CJ214" s="631"/>
      <c r="CK214" s="631"/>
      <c r="CL214" s="632">
        <v>2013</v>
      </c>
      <c r="CM214" s="631"/>
      <c r="CN214" s="631"/>
      <c r="CO214" s="631"/>
      <c r="CP214" s="631"/>
      <c r="CQ214" s="631"/>
      <c r="CR214" s="631"/>
      <c r="CS214" s="631"/>
      <c r="CT214" s="631"/>
      <c r="CU214" s="631"/>
      <c r="CV214" s="631"/>
      <c r="CW214" s="633"/>
      <c r="CX214" s="632">
        <v>2014</v>
      </c>
      <c r="CY214" s="631"/>
      <c r="CZ214" s="631"/>
      <c r="DA214" s="631"/>
      <c r="DB214" s="631"/>
      <c r="DC214" s="631"/>
      <c r="DD214" s="631"/>
      <c r="DE214" s="631"/>
      <c r="DF214" s="631"/>
      <c r="DG214" s="631"/>
      <c r="DH214" s="631"/>
      <c r="DI214" s="633"/>
      <c r="DJ214" s="632">
        <v>2015</v>
      </c>
      <c r="DK214" s="631"/>
      <c r="DL214" s="631"/>
      <c r="DM214" s="631"/>
      <c r="DN214" s="631"/>
      <c r="DO214" s="631"/>
      <c r="DP214" s="631"/>
      <c r="DQ214" s="631"/>
      <c r="DR214" s="631"/>
      <c r="DS214" s="631"/>
      <c r="DT214" s="631"/>
      <c r="DU214" s="633"/>
    </row>
    <row r="215" spans="1:187">
      <c r="E215" s="634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Milena Milovic</cp:lastModifiedBy>
  <cp:lastPrinted>2022-03-03T07:18:34Z</cp:lastPrinted>
  <dcterms:created xsi:type="dcterms:W3CDTF">2014-09-15T13:41:17Z</dcterms:created>
  <dcterms:modified xsi:type="dcterms:W3CDTF">2022-12-29T11:52:58Z</dcterms:modified>
</cp:coreProperties>
</file>