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updateLinks="always" codeName="ThisWorkbook" defaultThemeVersion="124226"/>
  <mc:AlternateContent xmlns:mc="http://schemas.openxmlformats.org/markup-compatibility/2006">
    <mc:Choice Requires="x15">
      <x15ac:absPath xmlns:x15ac="http://schemas.microsoft.com/office/spreadsheetml/2010/11/ac" url="C:\Users\milica.rahovic\AppData\Local\Microsoft\Windows\INetCache\Content.Outlook\TFYN34SP\"/>
    </mc:Choice>
  </mc:AlternateContent>
  <xr:revisionPtr revIDLastSave="0" documentId="13_ncr:1_{2B9A6259-7144-41D1-9229-F7A859BFF732}"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28800" windowHeight="10905"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E32" i="10" l="1"/>
  <c r="E25" i="10"/>
  <c r="E20" i="10"/>
  <c r="E15" i="10"/>
  <c r="E7" i="10"/>
  <c r="C32" i="10"/>
  <c r="C25" i="10"/>
  <c r="C20" i="10"/>
  <c r="C15" i="10"/>
  <c r="C7" i="10"/>
  <c r="H71" i="43" l="1"/>
  <c r="E38" i="43"/>
  <c r="C38" i="43"/>
  <c r="E30" i="43"/>
  <c r="E19" i="43"/>
  <c r="E12" i="43"/>
  <c r="E7" i="43"/>
  <c r="C30" i="43"/>
  <c r="C12" i="43"/>
  <c r="C7" i="43"/>
  <c r="D68" i="10" l="1"/>
  <c r="D69" i="10"/>
  <c r="D70" i="10"/>
  <c r="D71" i="10"/>
  <c r="D58" i="10"/>
  <c r="I2" i="44" l="1"/>
  <c r="D74" i="10" l="1"/>
  <c r="D75" i="10"/>
  <c r="D76" i="10"/>
  <c r="D77" i="10"/>
  <c r="I32" i="10" l="1"/>
  <c r="I25" i="10"/>
  <c r="I20" i="10"/>
  <c r="I15" i="10"/>
  <c r="I7" i="10"/>
  <c r="C6" i="10" l="1"/>
  <c r="I6" i="10"/>
  <c r="E6" i="10"/>
  <c r="E50" i="10"/>
  <c r="L51" i="43" l="1"/>
  <c r="L52" i="43"/>
  <c r="H51" i="43"/>
  <c r="L65" i="43"/>
  <c r="L64" i="43"/>
  <c r="H65" i="43"/>
  <c r="H64" i="43"/>
  <c r="L10" i="10"/>
  <c r="H10" i="10"/>
  <c r="L63" i="10"/>
  <c r="H63" i="10"/>
  <c r="L28" i="10"/>
  <c r="H28" i="10"/>
  <c r="L37" i="10"/>
  <c r="H37" i="10"/>
  <c r="L58" i="10"/>
  <c r="H58" i="10"/>
  <c r="L74" i="10"/>
  <c r="H75" i="10"/>
  <c r="H74" i="10"/>
  <c r="I60" i="43" l="1"/>
  <c r="I37" i="43"/>
  <c r="I6" i="43" l="1"/>
  <c r="I59" i="43" s="1"/>
  <c r="I55" i="43" l="1"/>
  <c r="I57" i="43" s="1"/>
  <c r="I66" i="43" s="1"/>
  <c r="I73" i="43" s="1"/>
  <c r="I67" i="43" s="1"/>
  <c r="I58" i="43" l="1"/>
  <c r="C2" i="43" l="1"/>
  <c r="D70" i="43" s="1"/>
  <c r="K24" i="43" l="1"/>
  <c r="L24" i="43"/>
  <c r="D12" i="43" l="1"/>
  <c r="I67" i="10" l="1"/>
  <c r="I55" i="44" l="1"/>
  <c r="J55" i="44" s="1"/>
  <c r="E55" i="44"/>
  <c r="C55" i="44"/>
  <c r="K65" i="43"/>
  <c r="G65" i="43"/>
  <c r="J71" i="10"/>
  <c r="K71" i="10"/>
  <c r="L71" i="10"/>
  <c r="F71" i="10"/>
  <c r="G71" i="10"/>
  <c r="H71" i="10"/>
  <c r="L55" i="44" l="1"/>
  <c r="G55" i="44"/>
  <c r="K55" i="44"/>
  <c r="H55" i="44"/>
  <c r="L71" i="43"/>
  <c r="K71" i="43"/>
  <c r="G71" i="43"/>
  <c r="I61" i="44"/>
  <c r="J61" i="44" s="1"/>
  <c r="E61" i="44"/>
  <c r="C61" i="44"/>
  <c r="I2" i="43"/>
  <c r="J24" i="43" s="1"/>
  <c r="E2" i="43"/>
  <c r="F24" i="43" s="1"/>
  <c r="D25" i="43" l="1"/>
  <c r="D22" i="43"/>
  <c r="D23" i="43"/>
  <c r="J71" i="43"/>
  <c r="J65" i="43"/>
  <c r="F71" i="43"/>
  <c r="F65" i="43"/>
  <c r="D71" i="43"/>
  <c r="D65" i="43"/>
  <c r="K61" i="44"/>
  <c r="H61" i="44"/>
  <c r="L61" i="44"/>
  <c r="G61" i="44"/>
  <c r="L77" i="10" l="1"/>
  <c r="K77" i="10"/>
  <c r="J77" i="10"/>
  <c r="H77" i="10"/>
  <c r="G77" i="10"/>
  <c r="F77" i="10"/>
  <c r="H59" i="10" l="1"/>
  <c r="E67" i="10"/>
  <c r="H60" i="10" l="1"/>
  <c r="J58" i="10" l="1"/>
  <c r="C67" i="10" l="1"/>
  <c r="F68" i="10" l="1"/>
  <c r="I43" i="44" l="1"/>
  <c r="C37" i="43" l="1"/>
  <c r="E37" i="43"/>
  <c r="J74" i="10" l="1"/>
  <c r="J75" i="10"/>
  <c r="J76" i="10"/>
  <c r="I53" i="44" l="1"/>
  <c r="E60" i="43" l="1"/>
  <c r="C60" i="43"/>
  <c r="C51" i="44"/>
  <c r="E43" i="44"/>
  <c r="C43" i="44"/>
  <c r="F56" i="43" l="1"/>
  <c r="K68" i="10" l="1"/>
  <c r="K69" i="10"/>
  <c r="C8" i="44" l="1"/>
  <c r="I54" i="44" l="1"/>
  <c r="E54" i="44"/>
  <c r="C54" i="44"/>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E41" i="44"/>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F41" i="44" l="1"/>
  <c r="H41" i="44"/>
  <c r="J41" i="44"/>
  <c r="L41" i="44"/>
  <c r="L25" i="44"/>
  <c r="H25" i="44"/>
  <c r="H20" i="44"/>
  <c r="D58" i="44"/>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K41" i="44"/>
  <c r="G41" i="44"/>
  <c r="K40" i="44"/>
  <c r="J40" i="44"/>
  <c r="G40" i="44"/>
  <c r="H40" i="44"/>
  <c r="L29" i="44"/>
  <c r="I28" i="44"/>
  <c r="E28" i="44"/>
  <c r="F28" i="44" s="1"/>
  <c r="G30" i="44"/>
  <c r="L30" i="44"/>
  <c r="G34" i="44"/>
  <c r="L34" i="44"/>
  <c r="H30" i="44"/>
  <c r="G33" i="44"/>
  <c r="L33" i="44"/>
  <c r="H34" i="44"/>
  <c r="G37" i="44"/>
  <c r="L37" i="44"/>
  <c r="C28" i="44"/>
  <c r="D28" i="44" s="1"/>
  <c r="F26" i="44"/>
  <c r="G26"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7" i="43"/>
  <c r="K17" i="43"/>
  <c r="L17" i="43"/>
  <c r="F17" i="43"/>
  <c r="G17" i="43"/>
  <c r="H17" i="43"/>
  <c r="D17" i="43"/>
  <c r="J60" i="43"/>
  <c r="F60" i="43"/>
  <c r="J9" i="43"/>
  <c r="K9" i="43"/>
  <c r="L9" i="43"/>
  <c r="G9" i="43"/>
  <c r="H9" i="43"/>
  <c r="F9" i="43"/>
  <c r="D9" i="43"/>
  <c r="L70" i="43"/>
  <c r="K70" i="43"/>
  <c r="J70" i="43"/>
  <c r="H70" i="43"/>
  <c r="G70" i="43"/>
  <c r="F70" i="43"/>
  <c r="L69" i="43"/>
  <c r="K69" i="43"/>
  <c r="J69" i="43"/>
  <c r="H69" i="43"/>
  <c r="G69" i="43"/>
  <c r="F69" i="43"/>
  <c r="D69" i="43"/>
  <c r="L68" i="43"/>
  <c r="K68" i="43"/>
  <c r="J68" i="43"/>
  <c r="H68" i="43"/>
  <c r="G68" i="43"/>
  <c r="F68" i="43"/>
  <c r="D68" i="43"/>
  <c r="K64" i="43"/>
  <c r="J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K52" i="43"/>
  <c r="J52" i="43"/>
  <c r="G52" i="43"/>
  <c r="F52" i="43"/>
  <c r="D52" i="43"/>
  <c r="K51" i="43"/>
  <c r="J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K35" i="43"/>
  <c r="J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J30" i="43"/>
  <c r="F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J19" i="43"/>
  <c r="F19" i="43"/>
  <c r="L18" i="43"/>
  <c r="K18" i="43"/>
  <c r="J18" i="43"/>
  <c r="H18" i="43"/>
  <c r="G18" i="43"/>
  <c r="F18" i="43"/>
  <c r="D18" i="43"/>
  <c r="L13" i="43"/>
  <c r="K13" i="43"/>
  <c r="J13" i="43"/>
  <c r="H13" i="43"/>
  <c r="G13" i="43"/>
  <c r="F13" i="43"/>
  <c r="D13" i="43"/>
  <c r="J12" i="43"/>
  <c r="F12" i="43"/>
  <c r="L11" i="43"/>
  <c r="K11" i="43"/>
  <c r="J11" i="43"/>
  <c r="H11" i="43"/>
  <c r="G11" i="43"/>
  <c r="F11" i="43"/>
  <c r="D11" i="43"/>
  <c r="L10" i="43"/>
  <c r="K10" i="43"/>
  <c r="J10" i="43"/>
  <c r="H10" i="43"/>
  <c r="G10" i="43"/>
  <c r="F10" i="43"/>
  <c r="D10" i="43"/>
  <c r="L8" i="43"/>
  <c r="K8" i="43"/>
  <c r="J8" i="43"/>
  <c r="H8" i="43"/>
  <c r="G8" i="43"/>
  <c r="F8" i="43"/>
  <c r="D8" i="43"/>
  <c r="K7" i="43" l="1"/>
  <c r="C6" i="43"/>
  <c r="C55" i="43" s="1"/>
  <c r="E6" i="43"/>
  <c r="F14" i="46"/>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K75" i="10"/>
  <c r="L75" i="10"/>
  <c r="K76" i="10"/>
  <c r="L76" i="10"/>
  <c r="G74" i="10"/>
  <c r="G75" i="10"/>
  <c r="G76" i="10"/>
  <c r="H76" i="10"/>
  <c r="F74" i="10"/>
  <c r="F75" i="10"/>
  <c r="F76" i="10"/>
  <c r="J6" i="43" l="1"/>
  <c r="J59" i="43"/>
  <c r="F6" i="43"/>
  <c r="E59" i="43"/>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J67" i="10"/>
  <c r="H67" i="10"/>
  <c r="K63" i="10"/>
  <c r="J63" i="10"/>
  <c r="G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61" i="10"/>
  <c r="G41" i="10"/>
  <c r="G42" i="10"/>
  <c r="G43" i="10"/>
  <c r="G44" i="10"/>
  <c r="G45" i="10"/>
  <c r="G46" i="10"/>
  <c r="G47" i="10"/>
  <c r="G48" i="10"/>
  <c r="G49" i="10"/>
  <c r="G51" i="10"/>
  <c r="G52" i="10"/>
  <c r="G53" i="10"/>
  <c r="G54" i="10"/>
  <c r="G55" i="10"/>
  <c r="G56" i="10"/>
  <c r="G57" i="10"/>
  <c r="G58" i="10"/>
  <c r="G59" i="10"/>
  <c r="G60" i="10"/>
  <c r="G61"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9" i="10"/>
  <c r="D60" i="10"/>
  <c r="D61" i="10"/>
  <c r="C50" i="10"/>
  <c r="C38" i="44" s="1"/>
  <c r="C40" i="10"/>
  <c r="L8" i="10"/>
  <c r="L9" i="10"/>
  <c r="L11" i="10"/>
  <c r="L12" i="10"/>
  <c r="L13" i="10"/>
  <c r="L14" i="10"/>
  <c r="L16" i="10"/>
  <c r="L17" i="10"/>
  <c r="L18" i="10"/>
  <c r="L19" i="10"/>
  <c r="L21" i="10"/>
  <c r="L22" i="10"/>
  <c r="L23" i="10"/>
  <c r="L24" i="10"/>
  <c r="L26" i="10"/>
  <c r="L27" i="10"/>
  <c r="L29" i="10"/>
  <c r="L30" i="10"/>
  <c r="L31" i="10"/>
  <c r="L33" i="10"/>
  <c r="L34" i="10"/>
  <c r="L35" i="10"/>
  <c r="L36"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J15" i="10"/>
  <c r="H8" i="10"/>
  <c r="H9" i="10"/>
  <c r="H11" i="10"/>
  <c r="H12" i="10"/>
  <c r="H13" i="10"/>
  <c r="H14" i="10"/>
  <c r="H16" i="10"/>
  <c r="H17" i="10"/>
  <c r="H18" i="10"/>
  <c r="H19" i="10"/>
  <c r="H21" i="10"/>
  <c r="H22" i="10"/>
  <c r="H23" i="10"/>
  <c r="H24" i="10"/>
  <c r="H26" i="10"/>
  <c r="H27" i="10"/>
  <c r="H29" i="10"/>
  <c r="H30" i="10"/>
  <c r="H31" i="10"/>
  <c r="H33" i="10"/>
  <c r="H34" i="10"/>
  <c r="H35" i="10"/>
  <c r="H36"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F15"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24" i="44"/>
  <c r="F59" i="43" l="1"/>
  <c r="F18" i="46"/>
  <c r="G14" i="46"/>
  <c r="C39" i="10"/>
  <c r="C22" i="44"/>
  <c r="D22" i="44" s="1"/>
  <c r="F7"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J55" i="43"/>
  <c r="K55" i="43"/>
  <c r="G55" i="43"/>
  <c r="C57" i="43"/>
  <c r="C66" i="43" s="1"/>
  <c r="C73"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L7" i="10"/>
  <c r="L32" i="10"/>
  <c r="K25" i="10"/>
  <c r="G32" i="10"/>
  <c r="D32" i="10"/>
  <c r="G15" i="10"/>
  <c r="G7" i="10"/>
  <c r="H32" i="10"/>
  <c r="H20" i="10"/>
  <c r="J7" i="10"/>
  <c r="K32" i="10"/>
  <c r="D15" i="10"/>
  <c r="D7" i="10"/>
  <c r="H15" i="10"/>
  <c r="H7" i="10"/>
  <c r="K15" i="10"/>
  <c r="K7" i="10"/>
  <c r="E66" i="43" l="1"/>
  <c r="C66" i="10"/>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J57" i="43"/>
  <c r="J58" i="43"/>
  <c r="F57" i="43"/>
  <c r="E58" i="43"/>
  <c r="E62" i="10"/>
  <c r="K39" i="10"/>
  <c r="H39" i="10"/>
  <c r="D39" i="10"/>
  <c r="D14" i="46" s="1"/>
  <c r="G39" i="10"/>
  <c r="L39" i="10"/>
  <c r="J6" i="10"/>
  <c r="I62" i="10"/>
  <c r="L6" i="10"/>
  <c r="K6" i="10"/>
  <c r="H6" i="10"/>
  <c r="D6" i="10"/>
  <c r="D10" i="46" s="1"/>
  <c r="G6" i="10"/>
  <c r="E73" i="43" l="1"/>
  <c r="F58" i="43"/>
  <c r="C64" i="10"/>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F62" i="10"/>
  <c r="L62" i="10"/>
  <c r="H62" i="10"/>
  <c r="D62" i="10"/>
  <c r="D18" i="46" s="1"/>
  <c r="K62" i="10"/>
  <c r="G62" i="10"/>
  <c r="J62" i="10"/>
  <c r="I64" i="10"/>
  <c r="H66" i="10"/>
  <c r="L66" i="10"/>
  <c r="D66" i="10"/>
  <c r="E67" i="43" l="1"/>
  <c r="F67" i="43" s="1"/>
  <c r="E78" i="10"/>
  <c r="E73" i="10" s="1"/>
  <c r="I72" i="10"/>
  <c r="C73" i="10"/>
  <c r="C65" i="10"/>
  <c r="D45" i="44"/>
  <c r="J18" i="46" s="1"/>
  <c r="G45" i="44"/>
  <c r="I18" i="46"/>
  <c r="C47" i="44"/>
  <c r="L45" i="44"/>
  <c r="K45" i="44"/>
  <c r="K49" i="44"/>
  <c r="H49" i="44"/>
  <c r="L49" i="44"/>
  <c r="J45" i="44"/>
  <c r="I47" i="44"/>
  <c r="I56" i="44" s="1"/>
  <c r="H45" i="44"/>
  <c r="G49" i="44"/>
  <c r="E47" i="44"/>
  <c r="E56" i="44" s="1"/>
  <c r="E63" i="44" s="1"/>
  <c r="F45" i="44"/>
  <c r="F73" i="43"/>
  <c r="J73" i="43"/>
  <c r="J67" i="43"/>
  <c r="J64" i="10"/>
  <c r="I65" i="10"/>
  <c r="J65" i="10" s="1"/>
  <c r="H64" i="10"/>
  <c r="D64" i="10"/>
  <c r="G64" i="10"/>
  <c r="K64" i="10"/>
  <c r="L64" i="10"/>
  <c r="F64" i="10"/>
  <c r="E65" i="10"/>
  <c r="I78" i="10" l="1"/>
  <c r="I73" i="10" s="1"/>
  <c r="J73" i="10" s="1"/>
  <c r="L72" i="10"/>
  <c r="J72" i="10"/>
  <c r="I63" i="44"/>
  <c r="I57" i="44" s="1"/>
  <c r="C48" i="44"/>
  <c r="D48" i="44" s="1"/>
  <c r="C56" i="44"/>
  <c r="C63" i="44" s="1"/>
  <c r="C57" i="44" s="1"/>
  <c r="K72" i="10"/>
  <c r="D72" i="10"/>
  <c r="H47" i="44"/>
  <c r="D47" i="44"/>
  <c r="L47" i="44"/>
  <c r="K47" i="44"/>
  <c r="J47" i="44"/>
  <c r="I48" i="44"/>
  <c r="J48" i="44" s="1"/>
  <c r="G47" i="44"/>
  <c r="E48" i="44"/>
  <c r="F48" i="44" s="1"/>
  <c r="F47" i="44"/>
  <c r="D78" i="10"/>
  <c r="D65" i="10"/>
  <c r="H65" i="10"/>
  <c r="L65" i="10"/>
  <c r="K65" i="10"/>
  <c r="G65" i="10"/>
  <c r="F65" i="10"/>
  <c r="J78" i="10" l="1"/>
  <c r="L78" i="10"/>
  <c r="D56" i="44"/>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G72" i="10" l="1"/>
  <c r="F72" i="10"/>
  <c r="H72" i="10"/>
  <c r="G73" i="10" l="1"/>
  <c r="H73" i="10"/>
  <c r="F73" i="10"/>
  <c r="G78" i="10"/>
  <c r="H78" i="10"/>
  <c r="F78" i="10"/>
  <c r="D73" i="43" l="1"/>
  <c r="L73" i="43"/>
  <c r="K73" i="43"/>
  <c r="G73" i="43"/>
  <c r="C67" i="43"/>
  <c r="G67" i="43" s="1"/>
  <c r="H73" i="43"/>
  <c r="H67" i="43" l="1"/>
  <c r="L67" i="43"/>
  <c r="K67" i="43"/>
  <c r="D67" i="43"/>
</calcChain>
</file>

<file path=xl/sharedStrings.xml><?xml version="1.0" encoding="utf-8"?>
<sst xmlns="http://schemas.openxmlformats.org/spreadsheetml/2006/main" count="473" uniqueCount="194">
  <si>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</si>
  <si>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</si>
  <si>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</si>
  <si>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</si>
  <si>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</si>
  <si>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</si>
  <si>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</si>
  <si>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</si>
  <si>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</si>
  <si>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</si>
  <si>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</si>
  <si>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</si>
  <si>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</si>
  <si>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</si>
  <si>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</si>
  <si>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</si>
  <si>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</si>
  <si>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</si>
  <si>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</si>
  <si>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</si>
  <si>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</si>
  <si>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</si>
  <si>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</si>
  <si>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</si>
  <si>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</si>
  <si>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</si>
  <si>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</si>
  <si>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</si>
  <si>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</si>
  <si>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</si>
  <si>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</si>
  <si>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</si>
  <si>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</si>
  <si>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</si>
  <si>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</si>
  <si>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</si>
  <si>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</si>
  <si>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</si>
  <si>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</si>
  <si>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</si>
  <si>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</si>
  <si>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</si>
  <si>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</si>
  <si>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</si>
  <si>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</si>
  <si>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</si>
  <si>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</si>
  <si>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</si>
  <si>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</si>
  <si>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</si>
  <si>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</si>
  <si>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</si>
  <si>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</si>
  <si>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</si>
  <si>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</si>
  <si>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</si>
  <si>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</si>
  <si>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</si>
  <si>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</si>
  <si>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</si>
  <si>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</si>
  <si>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</si>
  <si>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</si>
  <si>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</si>
  <si>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</si>
  <si>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</si>
  <si>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</si>
  <si>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</si>
  <si>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</si>
  <si>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</si>
  <si>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</si>
  <si>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</si>
  <si>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</si>
  <si>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</si>
  <si>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</si>
  <si>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</si>
  <si>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</si>
  <si>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</si>
  <si>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</si>
  <si>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</si>
  <si>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</si>
  <si>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</si>
  <si>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</si>
  <si>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</si>
  <si>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</si>
  <si>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</si>
  <si>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</si>
  <si>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</si>
  <si>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</si>
  <si>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</si>
  <si>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</si>
  <si>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</si>
  <si>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</si>
  <si>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</si>
  <si>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</si>
  <si>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</si>
  <si>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</si>
  <si>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</si>
  <si>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</si>
  <si>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</si>
  <si>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</si>
  <si>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</si>
  <si>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</si>
  <si>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</si>
  <si>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</si>
  <si>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</si>
  <si>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</si>
  <si>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</si>
  <si>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</si>
  <si>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</si>
  <si>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</si>
  <si>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</si>
  <si>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</si>
  <si>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</si>
  <si>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</si>
  <si>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</si>
  <si>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</si>
  <si>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</si>
  <si>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</si>
  <si>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</si>
  <si>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</si>
  <si>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</si>
  <si>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</si>
  <si>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</si>
  <si>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</si>
  <si>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</si>
  <si>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</si>
  <si>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</si>
  <si>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</si>
  <si>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</si>
  <si>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</si>
  <si>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</si>
  <si>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</si>
  <si>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</si>
  <si>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</si>
  <si>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</si>
  <si>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</si>
  <si>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</si>
  <si>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</si>
  <si>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</si>
  <si>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</si>
  <si>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</si>
  <si>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</si>
  <si>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</si>
  <si>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</si>
  <si>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</si>
  <si>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</si>
  <si>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</si>
  <si>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</si>
  <si>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</si>
  <si>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Transferi iz budžeta CG </t>
  </si>
  <si>
    <t>Transfers from Central Budget</t>
  </si>
  <si>
    <t>Lolacl utility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</si>
  <si>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</si>
  <si>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</si>
  <si>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</si>
  <si>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</si>
  <si>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</si>
  <si>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</si>
  <si>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</si>
  <si>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</si>
  <si>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</si>
  <si>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</si>
  <si>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</si>
  <si>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</si>
  <si>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</si>
  <si>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</si>
  <si>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</si>
  <si>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</si>
  <si>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</si>
  <si>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</si>
  <si>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</si>
  <si>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</si>
  <si>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</si>
  <si>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</si>
  <si>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</si>
  <si>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</si>
  <si>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</si>
  <si>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</si>
  <si>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</si>
  <si>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</si>
  <si>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</si>
  <si>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</si>
  <si>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</si>
  <si>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</si>
  <si>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</si>
  <si>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</si>
  <si>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Koršćenje depozita*</t>
  </si>
  <si>
    <t>NAPOMENA</t>
  </si>
  <si>
    <t>Korišćenje depozita*</t>
  </si>
  <si>
    <t>*Korišćenje depozita - negativni predznak ispred iznosa plana, odnosno ostvarenja, označava povećanje depozita za navedeni iznos, dok pozitivan iznos prestavlja iznos korišćenja depozita</t>
  </si>
  <si>
    <t>Q1-Q4 2025</t>
  </si>
  <si>
    <t>Plan Q1-Q4 2025</t>
  </si>
  <si>
    <t>Q1-Q4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</si>
</sst>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32">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75" fontId="18" fillId="0" borderId="1" xfId="0" applyNumberFormat="1" applyFont="1" applyFill="1" applyBorder="1"/>
    <xf numFmtId="165" fontId="17" fillId="0" borderId="1" xfId="28" applyNumberFormat="1" applyFont="1" applyFill="1" applyBorder="1" applyAlignment="1">
      <alignment horizontal="right"/>
    </xf>
    <xf numFmtId="165" fontId="32" fillId="0" borderId="1" xfId="0" applyNumberFormat="1" applyFont="1" applyBorder="1"/>
    <xf numFmtId="2" fontId="23" fillId="6" borderId="1" xfId="0" applyNumberFormat="1" applyFont="1" applyFill="1" applyBorder="1" applyAlignment="1" applyProtection="1">
      <alignment vertical="center"/>
      <protection hidden="1"/>
    </xf>
    <xf numFmtId="0" fontId="20" fillId="6" borderId="0" xfId="0" applyFont="1" applyFill="1" applyBorder="1" applyAlignment="1" applyProtection="1">
      <alignment horizontal="center" vertical="center" wrapText="1"/>
      <protection hidden="1"/>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eaLnBrk="1" fontAlgn="auto" latinLnBrk="0" hangingPunct="1"/>
          <a:r>
            <a:rPr lang="sr-Latn-ME" sz="1100" b="0" i="0" baseline="0">
              <a:solidFill>
                <a:schemeClr val="dk1"/>
              </a:solidFill>
              <a:effectLst/>
              <a:latin typeface="+mn-lt"/>
              <a:ea typeface="+mn-ea"/>
              <a:cs typeface="+mn-cs"/>
            </a:rPr>
            <a:t>Plan prihoda i izdataka pripremljen je u skladu sa Zakonom o </a:t>
          </a:r>
          <a:r>
            <a:rPr lang="en-US" sz="1100" b="0" i="0" baseline="0">
              <a:solidFill>
                <a:schemeClr val="dk1"/>
              </a:solidFill>
              <a:effectLst/>
              <a:latin typeface="+mn-lt"/>
              <a:ea typeface="+mn-ea"/>
              <a:cs typeface="+mn-cs"/>
            </a:rPr>
            <a:t>izmjenama Zakona o izmjenama Zakona o </a:t>
          </a:r>
          <a:r>
            <a:rPr lang="sr-Latn-ME" sz="1100" b="0" i="0" baseline="0">
              <a:solidFill>
                <a:schemeClr val="dk1"/>
              </a:solidFill>
              <a:effectLst/>
              <a:latin typeface="+mn-lt"/>
              <a:ea typeface="+mn-ea"/>
              <a:cs typeface="+mn-cs"/>
            </a:rPr>
            <a:t>budžetu Crne Gore za 2025. godinu</a:t>
          </a:r>
          <a:r>
            <a:rPr lang="en-US" sz="1100" b="0" i="0" baseline="0">
              <a:solidFill>
                <a:schemeClr val="dk1"/>
              </a:solidFill>
              <a:effectLst/>
              <a:latin typeface="+mn-lt"/>
              <a:ea typeface="+mn-ea"/>
              <a:cs typeface="+mn-cs"/>
            </a:rPr>
            <a:t>, spovedenim preusmjerevanjima </a:t>
          </a:r>
          <a:r>
            <a:rPr lang="sr-Latn-ME" sz="1100" b="0" i="0" baseline="0">
              <a:solidFill>
                <a:schemeClr val="dk1"/>
              </a:solidFill>
              <a:effectLst/>
              <a:latin typeface="+mn-lt"/>
              <a:ea typeface="+mn-ea"/>
              <a:cs typeface="+mn-cs"/>
            </a:rPr>
            <a:t>u skladu sa članom </a:t>
          </a:r>
          <a:r>
            <a:rPr lang="en-US" sz="1100" b="0" i="0" baseline="0">
              <a:solidFill>
                <a:schemeClr val="dk1"/>
              </a:solidFill>
              <a:effectLst/>
              <a:latin typeface="+mn-lt"/>
              <a:ea typeface="+mn-ea"/>
              <a:cs typeface="+mn-cs"/>
            </a:rPr>
            <a:t>4</a:t>
          </a:r>
          <a:r>
            <a:rPr lang="sr-Latn-ME" sz="1100" b="0" i="0" baseline="0">
              <a:solidFill>
                <a:schemeClr val="dk1"/>
              </a:solidFill>
              <a:effectLst/>
              <a:latin typeface="+mn-lt"/>
              <a:ea typeface="+mn-ea"/>
              <a:cs typeface="+mn-cs"/>
            </a:rPr>
            <a:t>5 i 46 Zakona o budžetu i fiskalnoj odgovornosti</a:t>
          </a:r>
          <a:r>
            <a:rPr lang="en-US" sz="1100" b="0" i="0" baseline="0">
              <a:solidFill>
                <a:schemeClr val="dk1"/>
              </a:solidFill>
              <a:effectLst/>
              <a:latin typeface="+mn-lt"/>
              <a:ea typeface="+mn-ea"/>
              <a:cs typeface="+mn-cs"/>
            </a:rPr>
            <a:t>, kao i sa svim</a:t>
          </a:r>
          <a:r>
            <a:rPr lang="sr-Latn-ME" sz="1100" b="0" i="0" baseline="0">
              <a:solidFill>
                <a:schemeClr val="dk1"/>
              </a:solidFill>
              <a:effectLst/>
              <a:latin typeface="+mn-lt"/>
              <a:ea typeface="+mn-ea"/>
              <a:cs typeface="+mn-cs"/>
            </a:rPr>
            <a:t> izmjenama mjesečne dinamike potrošnje shodno dostavljenim zahtjevima budžetkih korisnika, z</a:t>
          </a:r>
          <a:r>
            <a:rPr lang="en-US" sz="1100" b="0" i="0" baseline="0">
              <a:solidFill>
                <a:schemeClr val="dk1"/>
              </a:solidFill>
              <a:effectLst/>
              <a:latin typeface="+mn-lt"/>
              <a:ea typeface="+mn-ea"/>
              <a:cs typeface="+mn-cs"/>
            </a:rPr>
            <a:t>aklju</a:t>
          </a:r>
          <a:r>
            <a:rPr lang="sr-Latn-ME" sz="1100" b="0" i="0" baseline="0">
              <a:solidFill>
                <a:schemeClr val="dk1"/>
              </a:solidFill>
              <a:effectLst/>
              <a:latin typeface="+mn-lt"/>
              <a:ea typeface="+mn-ea"/>
              <a:cs typeface="+mn-cs"/>
            </a:rPr>
            <a:t>č</a:t>
          </a:r>
          <a:r>
            <a:rPr lang="en-US" sz="1100" b="0" i="0" baseline="0">
              <a:solidFill>
                <a:schemeClr val="dk1"/>
              </a:solidFill>
              <a:effectLst/>
              <a:latin typeface="+mn-lt"/>
              <a:ea typeface="+mn-ea"/>
              <a:cs typeface="+mn-cs"/>
            </a:rPr>
            <a:t>no sa avgustom mjesecom</a:t>
          </a:r>
          <a:r>
            <a:rPr lang="sr-Latn-ME" sz="1100" b="0" i="0" baseline="0">
              <a:solidFill>
                <a:schemeClr val="dk1"/>
              </a:solidFill>
              <a:effectLst/>
              <a:latin typeface="+mn-lt"/>
              <a:ea typeface="+mn-ea"/>
              <a:cs typeface="+mn-cs"/>
            </a:rPr>
            <a:t>.</a:t>
          </a:r>
          <a:endParaRPr lang="en-US">
            <a:effectLst/>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Law on Amendments to the Budget Law of Montenegro for 2025, the reallocations carried out in line with Article 45 and 46 of the Law on Budget and Fiscal Responsibility, as well as all changes to the monthly spending dynamics pursuant to the submitted requests of budget beneficiaries, up to and in including the month of August.</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42"/>
  <sheetViews>
    <sheetView tabSelected="1" zoomScaleNormal="100" workbookViewId="0">
      <selection activeCell="A4" sqref="A4"/>
    </sheetView>
  </sheetViews>
  <sheetFormatPr defaultRowHeight="12.75"/>
  <cols>
    <col min="4" max="4" width="25.28515625" customWidth="1"/>
    <col min="7" max="7" width="24.28515625" customWidth="1"/>
    <col min="10" max="10" width="26.42578125" customWidth="1"/>
  </cols>
  <sheetData>
    <row r="2" spans="2:11">
      <c r="D2" s="67" t="s">
        <v>165</v>
      </c>
    </row>
    <row r="3" spans="2:11">
      <c r="D3" s="67" t="s">
        <v>177</v>
      </c>
    </row>
    <row r="4" spans="2:11">
      <c r="D4" s="67" t="s">
        <v>166</v>
      </c>
    </row>
    <row r="5" spans="2:11" ht="13.5" thickBot="1"/>
    <row r="6" spans="2:11">
      <c r="B6" s="45"/>
      <c r="C6" s="46"/>
      <c r="D6" s="46"/>
      <c r="E6" s="46"/>
      <c r="F6" s="46"/>
      <c r="G6" s="46"/>
      <c r="H6" s="46"/>
      <c r="I6" s="46"/>
      <c r="J6" s="46"/>
      <c r="K6" s="47"/>
    </row>
    <row r="7" spans="2:11">
      <c r="B7" s="48"/>
      <c r="C7" s="113" t="s">
        <v>159</v>
      </c>
      <c r="D7" s="113"/>
      <c r="E7" s="49"/>
      <c r="F7" s="113" t="s">
        <v>160</v>
      </c>
      <c r="G7" s="113"/>
      <c r="H7" s="49"/>
      <c r="I7" s="113" t="s">
        <v>161</v>
      </c>
      <c r="J7" s="113"/>
      <c r="K7" s="50"/>
    </row>
    <row r="8" spans="2:11">
      <c r="B8" s="48"/>
      <c r="C8" s="51"/>
      <c r="D8" s="49"/>
      <c r="E8" s="49"/>
      <c r="F8" s="49"/>
      <c r="G8" s="49"/>
      <c r="H8" s="49"/>
      <c r="I8" s="49"/>
      <c r="J8" s="49"/>
      <c r="K8" s="50"/>
    </row>
    <row r="9" spans="2:11" ht="15">
      <c r="B9" s="48"/>
      <c r="C9" s="52" t="s">
        <v>162</v>
      </c>
      <c r="D9" s="53"/>
      <c r="E9" s="53"/>
      <c r="F9" s="52" t="str">
        <f>+C9</f>
        <v>Prihodi/Revenues</v>
      </c>
      <c r="G9" s="54"/>
      <c r="H9" s="55"/>
      <c r="I9" s="52" t="str">
        <f>+F9</f>
        <v>Prihodi/Revenues</v>
      </c>
      <c r="J9" s="54"/>
      <c r="K9" s="50"/>
    </row>
    <row r="10" spans="2:11">
      <c r="B10" s="48"/>
      <c r="C10" s="56">
        <f>+'Centralna država-ek klas'!C6</f>
        <v>2873991034.1300006</v>
      </c>
      <c r="D10" s="57">
        <f>+'Centralna država-ek klas'!D6</f>
        <v>35.373503441727088</v>
      </c>
      <c r="E10" s="49"/>
      <c r="F10" s="58">
        <f>+'Lokalna država-ek klas '!C6</f>
        <v>483888657.43000007</v>
      </c>
      <c r="G10" s="57">
        <f>+'Lokalna država-ek klas '!D6</f>
        <v>5.9557726122810699</v>
      </c>
      <c r="H10" s="55"/>
      <c r="I10" s="58">
        <f>+'Opšta država-ek klas'!C6</f>
        <v>3357879691.5600004</v>
      </c>
      <c r="J10" s="57">
        <f>+'Opšta država-ek klas'!D6</f>
        <v>41.329276054008155</v>
      </c>
      <c r="K10" s="50"/>
    </row>
    <row r="11" spans="2:11">
      <c r="B11" s="48"/>
      <c r="C11" s="59" t="s">
        <v>157</v>
      </c>
      <c r="D11" s="59" t="s">
        <v>158</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163</v>
      </c>
      <c r="D13" s="55"/>
      <c r="E13" s="49"/>
      <c r="F13" s="52" t="str">
        <f>+C13</f>
        <v>Rashodi/Expenditures</v>
      </c>
      <c r="G13" s="54"/>
      <c r="H13" s="55"/>
      <c r="I13" s="52" t="str">
        <f>+F13</f>
        <v>Rashodi/Expenditures</v>
      </c>
      <c r="J13" s="54"/>
      <c r="K13" s="50"/>
    </row>
    <row r="14" spans="2:11">
      <c r="B14" s="48"/>
      <c r="C14" s="56">
        <f>+'Centralna država-ek klas'!C39</f>
        <v>3195808124.5800009</v>
      </c>
      <c r="D14" s="57">
        <f>+'Centralna država-ek klas'!D39</f>
        <v>39.334475421615579</v>
      </c>
      <c r="E14" s="49"/>
      <c r="F14" s="58">
        <f>+'Lokalna država-ek klas '!C37</f>
        <v>511605078.96480012</v>
      </c>
      <c r="G14" s="57">
        <f>+'Lokalna država-ek klas '!D37</f>
        <v>6.2969103962583244</v>
      </c>
      <c r="H14" s="55"/>
      <c r="I14" s="58">
        <f>+'Opšta država-ek klas'!C27</f>
        <v>3707413203.5448003</v>
      </c>
      <c r="J14" s="57">
        <f>+'Opšta država-ek klas'!D27</f>
        <v>45.631385817873891</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164</v>
      </c>
      <c r="D17" s="49"/>
      <c r="E17" s="49"/>
      <c r="F17" s="52" t="str">
        <f>+C17</f>
        <v>Budžetski bilans/ Budget balance</v>
      </c>
      <c r="G17" s="54"/>
      <c r="H17" s="55"/>
      <c r="I17" s="52" t="str">
        <f>+F17</f>
        <v>Budžetski bilans/ Budget balance</v>
      </c>
      <c r="J17" s="54"/>
      <c r="K17" s="50"/>
    </row>
    <row r="18" spans="2:11">
      <c r="B18" s="48"/>
      <c r="C18" s="56">
        <f>+'Centralna država-ek klas'!C62</f>
        <v>-321817090.45000029</v>
      </c>
      <c r="D18" s="112">
        <f>+'Centralna država-ek klas'!D62</f>
        <v>-3.9609719798884919</v>
      </c>
      <c r="E18" s="49"/>
      <c r="F18" s="58">
        <f>+'Lokalna država-ek klas '!C55</f>
        <v>-27716421.534800053</v>
      </c>
      <c r="G18" s="57">
        <f>+'Lokalna država-ek klas '!D55</f>
        <v>-0.34113778397725519</v>
      </c>
      <c r="H18" s="55"/>
      <c r="I18" s="58">
        <f>+'Opšta država-ek klas'!C45</f>
        <v>-349533511.98479986</v>
      </c>
      <c r="J18" s="57">
        <f>+'Opšta država-ek klas'!D45</f>
        <v>-4.3021097638657411</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8"/>
    </row>
    <row r="24" spans="2:11">
      <c r="D24" s="88"/>
    </row>
    <row r="25" spans="2:11">
      <c r="D25" s="88"/>
    </row>
    <row r="41" spans="19:19" ht="15">
      <c r="S41" s="68"/>
    </row>
    <row r="42" spans="19:19" ht="15">
      <c r="S42" s="68"/>
    </row>
  </sheetData>
  <sheetProtection algorithmName="SHA-512" hashValue="CXx/Mskq9R8we8q6LQxXQbNOIYO9d9MhspU9XpckWyMpOY4JPwy1mPg3OI6ChZVzIQSBwVvEkDHDN25Lx1Mkag==" saltValue="qvB5ZmYPvgKGH9FR+sVMr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6" customWidth="1"/>
    <col min="9" max="9" width="11.140625" style="6" customWidth="1"/>
    <col min="10" max="10" width="10.28515625" style="7" customWidth="1"/>
    <col min="11" max="11" width="10.7109375" style="6" customWidth="1"/>
    <col min="12" max="12" width="12" style="96"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57</v>
      </c>
      <c r="B2" s="8"/>
      <c r="C2" s="114">
        <v>8124700000</v>
      </c>
      <c r="D2" s="115"/>
      <c r="E2" s="114">
        <v>8124700000</v>
      </c>
      <c r="F2" s="115"/>
      <c r="G2" s="9"/>
      <c r="H2" s="9"/>
      <c r="I2" s="114">
        <v>7644530000</v>
      </c>
      <c r="J2" s="115"/>
      <c r="K2" s="9"/>
      <c r="L2" s="9"/>
      <c r="M2" s="8" t="s">
        <v>77</v>
      </c>
    </row>
    <row r="3" spans="1:13" ht="15" customHeight="1" thickBot="1">
      <c r="A3" s="8"/>
      <c r="B3" s="8"/>
      <c r="C3" s="11"/>
      <c r="D3" s="8"/>
      <c r="E3" s="11"/>
      <c r="F3" s="10"/>
      <c r="G3" s="11"/>
      <c r="H3" s="97"/>
      <c r="I3" s="11"/>
      <c r="J3" s="10"/>
      <c r="K3" s="11"/>
      <c r="L3" s="97"/>
      <c r="M3" s="8"/>
    </row>
    <row r="4" spans="1:13" ht="15" customHeight="1">
      <c r="A4" s="120" t="s">
        <v>69</v>
      </c>
      <c r="B4" s="118" t="s">
        <v>70</v>
      </c>
      <c r="C4" s="124" t="s">
        <v>191</v>
      </c>
      <c r="D4" s="125"/>
      <c r="E4" s="126" t="s">
        <v>192</v>
      </c>
      <c r="F4" s="127"/>
      <c r="G4" s="122" t="s">
        <v>167</v>
      </c>
      <c r="H4" s="123"/>
      <c r="I4" s="122" t="s">
        <v>193</v>
      </c>
      <c r="J4" s="123"/>
      <c r="K4" s="122" t="s">
        <v>167</v>
      </c>
      <c r="L4" s="123"/>
      <c r="M4" s="116" t="s">
        <v>147</v>
      </c>
    </row>
    <row r="5" spans="1:13" ht="27" customHeight="1">
      <c r="A5" s="121"/>
      <c r="B5" s="119"/>
      <c r="C5" s="12" t="s">
        <v>60</v>
      </c>
      <c r="D5" s="13" t="s">
        <v>55</v>
      </c>
      <c r="E5" s="12" t="s">
        <v>60</v>
      </c>
      <c r="F5" s="13" t="s">
        <v>55</v>
      </c>
      <c r="G5" s="12" t="s">
        <v>63</v>
      </c>
      <c r="H5" s="98" t="s">
        <v>61</v>
      </c>
      <c r="I5" s="12" t="s">
        <v>60</v>
      </c>
      <c r="J5" s="14" t="s">
        <v>55</v>
      </c>
      <c r="K5" s="12" t="s">
        <v>60</v>
      </c>
      <c r="L5" s="100" t="s">
        <v>61</v>
      </c>
      <c r="M5" s="117"/>
    </row>
    <row r="6" spans="1:13" ht="15" customHeight="1">
      <c r="A6" s="15"/>
      <c r="B6" s="16" t="s">
        <v>50</v>
      </c>
      <c r="C6" s="17">
        <f>+C7+C15+C20+C25+C32+C37+C38</f>
        <v>2873991034.1300006</v>
      </c>
      <c r="D6" s="39">
        <f>+C6/$C$2*100</f>
        <v>35.373503441727088</v>
      </c>
      <c r="E6" s="17">
        <f>+E7+E15+E20+E25+E32+E37+E38</f>
        <v>2886073000.0799789</v>
      </c>
      <c r="F6" s="39">
        <f>+E6/$E$2*100</f>
        <v>35.522210051817041</v>
      </c>
      <c r="G6" s="17">
        <f>+C6-E6</f>
        <v>-12081965.949978352</v>
      </c>
      <c r="H6" s="93">
        <f>+C6/E6*100-100</f>
        <v>-0.41862994974984247</v>
      </c>
      <c r="I6" s="17">
        <f>+I7+I15+I20+I25+I32+I37+I38</f>
        <v>2755717266.8700004</v>
      </c>
      <c r="J6" s="39">
        <f>+I6/$I$2*100</f>
        <v>36.048223590855166</v>
      </c>
      <c r="K6" s="17">
        <f>+C6-I6</f>
        <v>118273767.26000023</v>
      </c>
      <c r="L6" s="93">
        <f>+C6/I6*100-100</f>
        <v>4.2919412917254078</v>
      </c>
      <c r="M6" s="80" t="s">
        <v>148</v>
      </c>
    </row>
    <row r="7" spans="1:13" ht="15" customHeight="1">
      <c r="A7" s="18">
        <v>711</v>
      </c>
      <c r="B7" s="19" t="s">
        <v>1</v>
      </c>
      <c r="C7" s="20">
        <f>+SUM(C8:C14)</f>
        <v>2238598161.0300002</v>
      </c>
      <c r="D7" s="40">
        <f t="shared" ref="D7:D72" si="0">+C7/$C$2*100</f>
        <v>27.552994707866141</v>
      </c>
      <c r="E7" s="20">
        <f>+SUM(E8:E14)</f>
        <v>2183579009.4307427</v>
      </c>
      <c r="F7" s="40">
        <f t="shared" ref="F7:F38" si="1">+E7/$E$2*100</f>
        <v>26.875810915242937</v>
      </c>
      <c r="G7" s="20">
        <f t="shared" ref="G7:G62" si="2">+C7-E7</f>
        <v>55019151.599257469</v>
      </c>
      <c r="H7" s="89">
        <f t="shared" ref="H7:H62" si="3">+C7/E7*100-100</f>
        <v>2.5196776192495633</v>
      </c>
      <c r="I7" s="20">
        <f>+SUM(I8:I14)</f>
        <v>1968599583.2600002</v>
      </c>
      <c r="J7" s="40">
        <f t="shared" ref="J7:J72" si="4">+I7/$I$2*100</f>
        <v>25.751741222285741</v>
      </c>
      <c r="K7" s="20">
        <f t="shared" ref="K7:K38" si="5">+C7-I7</f>
        <v>269998577.76999998</v>
      </c>
      <c r="L7" s="89">
        <f t="shared" ref="L7:L38" si="6">+C7/I7*100-100</f>
        <v>13.715261349536732</v>
      </c>
      <c r="M7" s="71" t="s">
        <v>78</v>
      </c>
    </row>
    <row r="8" spans="1:13" ht="15" customHeight="1">
      <c r="A8" s="21">
        <v>7111</v>
      </c>
      <c r="B8" s="22" t="s">
        <v>2</v>
      </c>
      <c r="C8" s="23">
        <v>112031208.56999999</v>
      </c>
      <c r="D8" s="41">
        <f t="shared" si="0"/>
        <v>1.3788965570421061</v>
      </c>
      <c r="E8" s="23">
        <v>108323493.79368949</v>
      </c>
      <c r="F8" s="41">
        <f t="shared" si="1"/>
        <v>1.3332614594223724</v>
      </c>
      <c r="G8" s="23">
        <f t="shared" si="2"/>
        <v>3707714.7763105035</v>
      </c>
      <c r="H8" s="94">
        <f t="shared" si="3"/>
        <v>3.4228168299040789</v>
      </c>
      <c r="I8" s="23">
        <v>88155346.220000014</v>
      </c>
      <c r="J8" s="41">
        <f t="shared" si="4"/>
        <v>1.1531820297650741</v>
      </c>
      <c r="K8" s="23">
        <f t="shared" si="5"/>
        <v>23875862.349999979</v>
      </c>
      <c r="L8" s="94">
        <f t="shared" si="6"/>
        <v>27.08385069513028</v>
      </c>
      <c r="M8" s="72" t="s">
        <v>79</v>
      </c>
    </row>
    <row r="9" spans="1:13" ht="15" customHeight="1">
      <c r="A9" s="21">
        <v>7112</v>
      </c>
      <c r="B9" s="22" t="s">
        <v>3</v>
      </c>
      <c r="C9" s="23">
        <v>233431231.62</v>
      </c>
      <c r="D9" s="41">
        <f t="shared" si="0"/>
        <v>2.8731058576932074</v>
      </c>
      <c r="E9" s="23">
        <v>219862849.24098608</v>
      </c>
      <c r="F9" s="41">
        <f t="shared" si="1"/>
        <v>2.7061042160447286</v>
      </c>
      <c r="G9" s="23">
        <f t="shared" si="2"/>
        <v>13568382.379013926</v>
      </c>
      <c r="H9" s="94">
        <f t="shared" si="3"/>
        <v>6.1712937978630293</v>
      </c>
      <c r="I9" s="23">
        <v>213967876.99999997</v>
      </c>
      <c r="J9" s="41">
        <f t="shared" si="4"/>
        <v>2.79896706533953</v>
      </c>
      <c r="K9" s="23">
        <f t="shared" si="5"/>
        <v>19463354.620000035</v>
      </c>
      <c r="L9" s="94">
        <f t="shared" si="6"/>
        <v>9.0963909596579526</v>
      </c>
      <c r="M9" s="72" t="s">
        <v>80</v>
      </c>
    </row>
    <row r="10" spans="1:13" ht="15" customHeight="1">
      <c r="A10" s="21">
        <v>7113</v>
      </c>
      <c r="B10" s="22" t="s">
        <v>4</v>
      </c>
      <c r="C10" s="23">
        <v>0</v>
      </c>
      <c r="D10" s="41">
        <f t="shared" si="0"/>
        <v>0</v>
      </c>
      <c r="E10" s="23">
        <v>0</v>
      </c>
      <c r="F10" s="41">
        <f t="shared" si="1"/>
        <v>0</v>
      </c>
      <c r="G10" s="23">
        <f t="shared" si="2"/>
        <v>0</v>
      </c>
      <c r="H10" s="94">
        <f>+IFERROR(C10/E10*100-100,0)</f>
        <v>0</v>
      </c>
      <c r="I10" s="23">
        <v>0</v>
      </c>
      <c r="J10" s="41">
        <f t="shared" si="4"/>
        <v>0</v>
      </c>
      <c r="K10" s="23">
        <f t="shared" si="5"/>
        <v>0</v>
      </c>
      <c r="L10" s="94">
        <f>+IFERROR(C10/I10*100-100,0)</f>
        <v>0</v>
      </c>
      <c r="M10" s="72" t="s">
        <v>81</v>
      </c>
    </row>
    <row r="11" spans="1:13" ht="15" customHeight="1">
      <c r="A11" s="21">
        <v>7114</v>
      </c>
      <c r="B11" s="22" t="s">
        <v>5</v>
      </c>
      <c r="C11" s="23">
        <v>1403654521.4600003</v>
      </c>
      <c r="D11" s="41">
        <f t="shared" si="0"/>
        <v>17.276385853754604</v>
      </c>
      <c r="E11" s="23">
        <v>1372592999.9958332</v>
      </c>
      <c r="F11" s="41">
        <f t="shared" si="1"/>
        <v>16.894076088911998</v>
      </c>
      <c r="G11" s="23">
        <f t="shared" si="2"/>
        <v>31061521.464167118</v>
      </c>
      <c r="H11" s="94">
        <f t="shared" si="3"/>
        <v>2.2629811942987743</v>
      </c>
      <c r="I11" s="23">
        <v>1222596931.1700001</v>
      </c>
      <c r="J11" s="41">
        <f t="shared" si="4"/>
        <v>15.993094816424295</v>
      </c>
      <c r="K11" s="23">
        <f t="shared" si="5"/>
        <v>181057590.2900002</v>
      </c>
      <c r="L11" s="94">
        <f t="shared" si="6"/>
        <v>14.809262617462309</v>
      </c>
      <c r="M11" s="72" t="s">
        <v>82</v>
      </c>
    </row>
    <row r="12" spans="1:13" ht="15" customHeight="1">
      <c r="A12" s="21">
        <v>7115</v>
      </c>
      <c r="B12" s="22" t="s">
        <v>6</v>
      </c>
      <c r="C12" s="23">
        <v>403172372.66999996</v>
      </c>
      <c r="D12" s="41">
        <f t="shared" si="0"/>
        <v>4.9623047333440002</v>
      </c>
      <c r="E12" s="23">
        <v>403500000</v>
      </c>
      <c r="F12" s="41">
        <f t="shared" si="1"/>
        <v>4.9663372186049948</v>
      </c>
      <c r="G12" s="23">
        <f t="shared" si="2"/>
        <v>-327627.33000004292</v>
      </c>
      <c r="H12" s="94">
        <f t="shared" si="3"/>
        <v>-8.1196364312276614E-2</v>
      </c>
      <c r="I12" s="23">
        <v>368589654.71000004</v>
      </c>
      <c r="J12" s="41">
        <f t="shared" si="4"/>
        <v>4.8216130319326371</v>
      </c>
      <c r="K12" s="23">
        <f t="shared" si="5"/>
        <v>34582717.959999919</v>
      </c>
      <c r="L12" s="94">
        <f t="shared" si="6"/>
        <v>9.3824440046232525</v>
      </c>
      <c r="M12" s="72" t="s">
        <v>83</v>
      </c>
    </row>
    <row r="13" spans="1:13" ht="15" customHeight="1">
      <c r="A13" s="21">
        <v>7116</v>
      </c>
      <c r="B13" s="22" t="s">
        <v>7</v>
      </c>
      <c r="C13" s="23">
        <v>69907569.540000007</v>
      </c>
      <c r="D13" s="41">
        <f t="shared" si="0"/>
        <v>0.860432625696949</v>
      </c>
      <c r="E13" s="23">
        <v>63992988.618167341</v>
      </c>
      <c r="F13" s="41">
        <f t="shared" si="1"/>
        <v>0.78763509567328449</v>
      </c>
      <c r="G13" s="23">
        <f t="shared" si="2"/>
        <v>5914580.9218326658</v>
      </c>
      <c r="H13" s="94">
        <f t="shared" si="3"/>
        <v>9.2425452374536263</v>
      </c>
      <c r="I13" s="107">
        <v>60376879.519999996</v>
      </c>
      <c r="J13" s="41">
        <f t="shared" si="4"/>
        <v>0.78980499154297257</v>
      </c>
      <c r="K13" s="23">
        <f t="shared" si="5"/>
        <v>9530690.0200000107</v>
      </c>
      <c r="L13" s="94">
        <f t="shared" si="6"/>
        <v>15.785330569863149</v>
      </c>
      <c r="M13" s="72" t="s">
        <v>84</v>
      </c>
    </row>
    <row r="14" spans="1:13" ht="15" customHeight="1">
      <c r="A14" s="21">
        <v>7118</v>
      </c>
      <c r="B14" s="22" t="s">
        <v>59</v>
      </c>
      <c r="C14" s="23">
        <v>16401257.169999998</v>
      </c>
      <c r="D14" s="41">
        <f t="shared" si="0"/>
        <v>0.2018690803352739</v>
      </c>
      <c r="E14" s="23">
        <v>15306677.782066878</v>
      </c>
      <c r="F14" s="41">
        <f t="shared" si="1"/>
        <v>0.18839683658555859</v>
      </c>
      <c r="G14" s="23">
        <f t="shared" si="2"/>
        <v>1094579.3879331201</v>
      </c>
      <c r="H14" s="94">
        <f t="shared" si="3"/>
        <v>7.1509925505554008</v>
      </c>
      <c r="I14" s="107">
        <v>14912894.639999997</v>
      </c>
      <c r="J14" s="41">
        <f t="shared" si="4"/>
        <v>0.19507928728123242</v>
      </c>
      <c r="K14" s="23">
        <f t="shared" si="5"/>
        <v>1488362.5300000012</v>
      </c>
      <c r="L14" s="94">
        <f t="shared" si="6"/>
        <v>9.9803731329788405</v>
      </c>
      <c r="M14" s="72" t="s">
        <v>85</v>
      </c>
    </row>
    <row r="15" spans="1:13" ht="15" customHeight="1">
      <c r="A15" s="18">
        <v>712</v>
      </c>
      <c r="B15" s="19" t="s">
        <v>8</v>
      </c>
      <c r="C15" s="20">
        <f>+SUM(C16:C19)</f>
        <v>420381280.55000001</v>
      </c>
      <c r="D15" s="40">
        <f t="shared" si="0"/>
        <v>5.1741144971506641</v>
      </c>
      <c r="E15" s="20">
        <f>+SUM(E16:E19)</f>
        <v>449051321.86718369</v>
      </c>
      <c r="F15" s="40">
        <f t="shared" si="1"/>
        <v>5.5269895733649692</v>
      </c>
      <c r="G15" s="20">
        <f t="shared" si="2"/>
        <v>-28670041.317183673</v>
      </c>
      <c r="H15" s="89">
        <f t="shared" si="3"/>
        <v>-6.384580096094993</v>
      </c>
      <c r="I15" s="108">
        <f>+SUM(I16:I19)</f>
        <v>584706543.50999999</v>
      </c>
      <c r="J15" s="40">
        <f t="shared" si="4"/>
        <v>7.6486918556144063</v>
      </c>
      <c r="K15" s="20">
        <f t="shared" si="5"/>
        <v>-164325262.95999998</v>
      </c>
      <c r="L15" s="89">
        <f t="shared" si="6"/>
        <v>-28.103886433962856</v>
      </c>
      <c r="M15" s="71" t="s">
        <v>86</v>
      </c>
    </row>
    <row r="16" spans="1:13" ht="15" customHeight="1">
      <c r="A16" s="21">
        <v>7121</v>
      </c>
      <c r="B16" s="22" t="s">
        <v>9</v>
      </c>
      <c r="C16" s="23">
        <v>353301163.85000002</v>
      </c>
      <c r="D16" s="41">
        <f t="shared" si="0"/>
        <v>4.348482575972036</v>
      </c>
      <c r="E16" s="23">
        <v>397338927.3414011</v>
      </c>
      <c r="F16" s="41">
        <f t="shared" si="1"/>
        <v>4.8905058321095067</v>
      </c>
      <c r="G16" s="23">
        <f t="shared" si="2"/>
        <v>-44037763.491401076</v>
      </c>
      <c r="H16" s="94">
        <f t="shared" si="3"/>
        <v>-11.083173699103227</v>
      </c>
      <c r="I16" s="107">
        <v>532748560.6500001</v>
      </c>
      <c r="J16" s="41">
        <f t="shared" si="4"/>
        <v>6.9690165471258547</v>
      </c>
      <c r="K16" s="23">
        <f t="shared" si="5"/>
        <v>-179447396.80000007</v>
      </c>
      <c r="L16" s="94">
        <f t="shared" si="6"/>
        <v>-33.683318933993647</v>
      </c>
      <c r="M16" s="72" t="s">
        <v>87</v>
      </c>
    </row>
    <row r="17" spans="1:13" ht="15" customHeight="1">
      <c r="A17" s="21">
        <v>7122</v>
      </c>
      <c r="B17" s="22" t="s">
        <v>10</v>
      </c>
      <c r="C17" s="23">
        <v>7466196.290000001</v>
      </c>
      <c r="D17" s="41">
        <f t="shared" si="0"/>
        <v>9.1895039693773314E-2</v>
      </c>
      <c r="E17" s="23">
        <v>6000000.0043292958</v>
      </c>
      <c r="F17" s="41">
        <f t="shared" si="1"/>
        <v>7.3848880627337563E-2</v>
      </c>
      <c r="G17" s="23">
        <f t="shared" si="2"/>
        <v>1466196.2856707051</v>
      </c>
      <c r="H17" s="94">
        <f t="shared" si="3"/>
        <v>24.436604743546212</v>
      </c>
      <c r="I17" s="107">
        <v>5424031.6500000004</v>
      </c>
      <c r="J17" s="41">
        <f t="shared" si="4"/>
        <v>7.0953108300968154E-2</v>
      </c>
      <c r="K17" s="23">
        <f t="shared" si="5"/>
        <v>2042164.6400000006</v>
      </c>
      <c r="L17" s="94">
        <f t="shared" si="6"/>
        <v>37.650308327385972</v>
      </c>
      <c r="M17" s="72" t="s">
        <v>88</v>
      </c>
    </row>
    <row r="18" spans="1:13" ht="15" customHeight="1">
      <c r="A18" s="21">
        <v>7123</v>
      </c>
      <c r="B18" s="22" t="s">
        <v>11</v>
      </c>
      <c r="C18" s="23">
        <v>34755174.259999998</v>
      </c>
      <c r="D18" s="41">
        <f t="shared" si="0"/>
        <v>0.42777178554285078</v>
      </c>
      <c r="E18" s="23">
        <v>26000000.003721446</v>
      </c>
      <c r="F18" s="41">
        <f t="shared" si="1"/>
        <v>0.32001181586669591</v>
      </c>
      <c r="G18" s="23">
        <f t="shared" si="2"/>
        <v>8755174.2562785521</v>
      </c>
      <c r="H18" s="94">
        <f t="shared" si="3"/>
        <v>33.673747134713096</v>
      </c>
      <c r="I18" s="107">
        <v>26960661.290000003</v>
      </c>
      <c r="J18" s="41">
        <f t="shared" si="4"/>
        <v>0.35267912206505836</v>
      </c>
      <c r="K18" s="23">
        <f t="shared" si="5"/>
        <v>7794512.9699999951</v>
      </c>
      <c r="L18" s="94">
        <f t="shared" si="6"/>
        <v>28.910689119079819</v>
      </c>
      <c r="M18" s="72" t="s">
        <v>89</v>
      </c>
    </row>
    <row r="19" spans="1:13" ht="15" customHeight="1">
      <c r="A19" s="21">
        <v>7124</v>
      </c>
      <c r="B19" s="22" t="s">
        <v>12</v>
      </c>
      <c r="C19" s="23">
        <v>24858746.150000002</v>
      </c>
      <c r="D19" s="41">
        <f t="shared" si="0"/>
        <v>0.30596509594200405</v>
      </c>
      <c r="E19" s="23">
        <v>19712394.517731793</v>
      </c>
      <c r="F19" s="41">
        <f t="shared" si="1"/>
        <v>0.24262304476142865</v>
      </c>
      <c r="G19" s="23">
        <f t="shared" si="2"/>
        <v>5146351.632268209</v>
      </c>
      <c r="H19" s="94">
        <f t="shared" si="3"/>
        <v>26.107186661868681</v>
      </c>
      <c r="I19" s="107">
        <v>19573289.920000002</v>
      </c>
      <c r="J19" s="41">
        <f t="shared" si="4"/>
        <v>0.25604307812252686</v>
      </c>
      <c r="K19" s="23">
        <f t="shared" si="5"/>
        <v>5285456.2300000004</v>
      </c>
      <c r="L19" s="94">
        <f t="shared" si="6"/>
        <v>27.003412566833319</v>
      </c>
      <c r="M19" s="72" t="s">
        <v>90</v>
      </c>
    </row>
    <row r="20" spans="1:13" ht="15" customHeight="1">
      <c r="A20" s="18">
        <v>713</v>
      </c>
      <c r="B20" s="19" t="s">
        <v>13</v>
      </c>
      <c r="C20" s="20">
        <f>SUM(C21:C24)</f>
        <v>17386915.609999999</v>
      </c>
      <c r="D20" s="40">
        <f t="shared" si="0"/>
        <v>0.21400070907233495</v>
      </c>
      <c r="E20" s="20">
        <f>+SUM(E21:E24)</f>
        <v>17789969.022396304</v>
      </c>
      <c r="F20" s="40">
        <f t="shared" si="1"/>
        <v>0.21896154962517145</v>
      </c>
      <c r="G20" s="20">
        <f t="shared" si="2"/>
        <v>-403053.41239630431</v>
      </c>
      <c r="H20" s="89">
        <f t="shared" si="3"/>
        <v>-2.2656217775808898</v>
      </c>
      <c r="I20" s="108">
        <f>+SUM(I21:I24)</f>
        <v>16259315.630000003</v>
      </c>
      <c r="J20" s="40">
        <f t="shared" si="4"/>
        <v>0.2126921554366325</v>
      </c>
      <c r="K20" s="20">
        <f t="shared" si="5"/>
        <v>1127599.9799999967</v>
      </c>
      <c r="L20" s="89">
        <f t="shared" si="6"/>
        <v>6.9351011177829918</v>
      </c>
      <c r="M20" s="71" t="s">
        <v>91</v>
      </c>
    </row>
    <row r="21" spans="1:13" ht="15" customHeight="1">
      <c r="A21" s="21">
        <v>7131</v>
      </c>
      <c r="B21" s="22" t="s">
        <v>14</v>
      </c>
      <c r="C21" s="23">
        <v>10435139.699999999</v>
      </c>
      <c r="D21" s="41">
        <f t="shared" si="0"/>
        <v>0.12843723091314141</v>
      </c>
      <c r="E21" s="23">
        <v>10847699.292133218</v>
      </c>
      <c r="F21" s="41">
        <f t="shared" si="1"/>
        <v>0.13351507492132902</v>
      </c>
      <c r="G21" s="23">
        <f t="shared" si="2"/>
        <v>-412559.59213321842</v>
      </c>
      <c r="H21" s="94">
        <f t="shared" si="3"/>
        <v>-3.8031990104335591</v>
      </c>
      <c r="I21" s="107">
        <v>10099500.330000002</v>
      </c>
      <c r="J21" s="41">
        <f t="shared" si="4"/>
        <v>0.13211407804011499</v>
      </c>
      <c r="K21" s="23">
        <f t="shared" si="5"/>
        <v>335639.36999999732</v>
      </c>
      <c r="L21" s="94">
        <f t="shared" si="6"/>
        <v>3.3233264917374044</v>
      </c>
      <c r="M21" s="72" t="s">
        <v>92</v>
      </c>
    </row>
    <row r="22" spans="1:13" ht="15" customHeight="1">
      <c r="A22" s="21">
        <v>7132</v>
      </c>
      <c r="B22" s="22" t="s">
        <v>15</v>
      </c>
      <c r="C22" s="23">
        <v>1366783.1399999997</v>
      </c>
      <c r="D22" s="41">
        <f t="shared" si="0"/>
        <v>1.6822567479414623E-2</v>
      </c>
      <c r="E22" s="23">
        <v>1475827.1932468589</v>
      </c>
      <c r="F22" s="41">
        <f t="shared" si="1"/>
        <v>1.81646976903376E-2</v>
      </c>
      <c r="G22" s="23">
        <f t="shared" si="2"/>
        <v>-109044.05324685923</v>
      </c>
      <c r="H22" s="94">
        <f t="shared" si="3"/>
        <v>-7.3886735348031749</v>
      </c>
      <c r="I22" s="107">
        <v>1406637.8900000001</v>
      </c>
      <c r="J22" s="41">
        <f t="shared" si="4"/>
        <v>1.8400580415015706E-2</v>
      </c>
      <c r="K22" s="23">
        <f t="shared" si="5"/>
        <v>-39854.750000000466</v>
      </c>
      <c r="L22" s="94">
        <f t="shared" si="6"/>
        <v>-2.8333340288452291</v>
      </c>
      <c r="M22" s="72" t="s">
        <v>93</v>
      </c>
    </row>
    <row r="23" spans="1:13" ht="15" customHeight="1">
      <c r="A23" s="21">
        <v>7133</v>
      </c>
      <c r="B23" s="22" t="s">
        <v>16</v>
      </c>
      <c r="C23" s="23">
        <v>2326255.5300000003</v>
      </c>
      <c r="D23" s="41">
        <f t="shared" si="0"/>
        <v>2.8631894469949661E-2</v>
      </c>
      <c r="E23" s="23">
        <v>2543856.8166880622</v>
      </c>
      <c r="F23" s="41">
        <f t="shared" si="1"/>
        <v>3.1310163042180782E-2</v>
      </c>
      <c r="G23" s="23">
        <f t="shared" si="2"/>
        <v>-217601.2866880619</v>
      </c>
      <c r="H23" s="94">
        <f t="shared" si="3"/>
        <v>-8.5539911389889056</v>
      </c>
      <c r="I23" s="107">
        <v>2320405.2399999998</v>
      </c>
      <c r="J23" s="41">
        <f t="shared" si="4"/>
        <v>3.0353798598474983E-2</v>
      </c>
      <c r="K23" s="23">
        <f t="shared" si="5"/>
        <v>5850.2900000005029</v>
      </c>
      <c r="L23" s="94">
        <f t="shared" si="6"/>
        <v>0.25212363337018928</v>
      </c>
      <c r="M23" s="72" t="s">
        <v>94</v>
      </c>
    </row>
    <row r="24" spans="1:13" ht="15" customHeight="1">
      <c r="A24" s="21">
        <v>7136</v>
      </c>
      <c r="B24" s="22" t="s">
        <v>18</v>
      </c>
      <c r="C24" s="23">
        <v>3258737.24</v>
      </c>
      <c r="D24" s="41">
        <f t="shared" si="0"/>
        <v>4.010901620982929E-2</v>
      </c>
      <c r="E24" s="23">
        <v>2922585.7203281671</v>
      </c>
      <c r="F24" s="41">
        <f t="shared" si="1"/>
        <v>3.5971613971324076E-2</v>
      </c>
      <c r="G24" s="23">
        <f t="shared" si="2"/>
        <v>336151.51967183314</v>
      </c>
      <c r="H24" s="94">
        <f t="shared" si="3"/>
        <v>11.501853216270689</v>
      </c>
      <c r="I24" s="107">
        <v>2432772.1700000004</v>
      </c>
      <c r="J24" s="41">
        <f t="shared" si="4"/>
        <v>3.1823698383026823E-2</v>
      </c>
      <c r="K24" s="23">
        <f t="shared" si="5"/>
        <v>825965.06999999983</v>
      </c>
      <c r="L24" s="94">
        <f t="shared" si="6"/>
        <v>33.951599750501913</v>
      </c>
      <c r="M24" s="72" t="s">
        <v>95</v>
      </c>
    </row>
    <row r="25" spans="1:13" ht="15" customHeight="1">
      <c r="A25" s="18">
        <v>714</v>
      </c>
      <c r="B25" s="19" t="s">
        <v>19</v>
      </c>
      <c r="C25" s="20">
        <f>+SUM(C26:C31)</f>
        <v>75830913.780000001</v>
      </c>
      <c r="D25" s="40">
        <f t="shared" si="0"/>
        <v>0.93333801592674193</v>
      </c>
      <c r="E25" s="20">
        <f>+SUM(E26:E31)</f>
        <v>74183107.530439287</v>
      </c>
      <c r="F25" s="40">
        <f t="shared" si="1"/>
        <v>0.91305657477124424</v>
      </c>
      <c r="G25" s="20">
        <f t="shared" si="2"/>
        <v>1647806.2495607138</v>
      </c>
      <c r="H25" s="89">
        <f t="shared" si="3"/>
        <v>2.2212688365536195</v>
      </c>
      <c r="I25" s="108">
        <f>+SUM(I26:I31)</f>
        <v>53128166.68</v>
      </c>
      <c r="J25" s="40">
        <f t="shared" si="4"/>
        <v>0.69498277434976385</v>
      </c>
      <c r="K25" s="20">
        <f t="shared" si="5"/>
        <v>22702747.100000001</v>
      </c>
      <c r="L25" s="89">
        <f t="shared" si="6"/>
        <v>42.732035601270638</v>
      </c>
      <c r="M25" s="71" t="s">
        <v>96</v>
      </c>
    </row>
    <row r="26" spans="1:13" ht="15" customHeight="1">
      <c r="A26" s="21">
        <v>7141</v>
      </c>
      <c r="B26" s="22" t="s">
        <v>20</v>
      </c>
      <c r="C26" s="23">
        <v>2094021.32</v>
      </c>
      <c r="D26" s="41">
        <f t="shared" si="0"/>
        <v>2.5773521730033108E-2</v>
      </c>
      <c r="E26" s="23">
        <v>2185730.585870259</v>
      </c>
      <c r="F26" s="41">
        <f t="shared" si="1"/>
        <v>2.6902292833830901E-2</v>
      </c>
      <c r="G26" s="23">
        <f t="shared" si="2"/>
        <v>-91709.265870258911</v>
      </c>
      <c r="H26" s="94">
        <f t="shared" si="3"/>
        <v>-4.1958174746291661</v>
      </c>
      <c r="I26" s="107">
        <v>2023897.66</v>
      </c>
      <c r="J26" s="41">
        <f t="shared" si="4"/>
        <v>2.6475109130319328E-2</v>
      </c>
      <c r="K26" s="23">
        <f t="shared" si="5"/>
        <v>70123.660000000149</v>
      </c>
      <c r="L26" s="94">
        <f t="shared" si="6"/>
        <v>3.4647828981629374</v>
      </c>
      <c r="M26" s="72" t="s">
        <v>97</v>
      </c>
    </row>
    <row r="27" spans="1:13" ht="15" customHeight="1">
      <c r="A27" s="21">
        <v>7142</v>
      </c>
      <c r="B27" s="22" t="s">
        <v>21</v>
      </c>
      <c r="C27" s="23">
        <v>5810534.379999999</v>
      </c>
      <c r="D27" s="41">
        <f t="shared" si="0"/>
        <v>7.1516909916673838E-2</v>
      </c>
      <c r="E27" s="23">
        <v>4893625.9956923341</v>
      </c>
      <c r="F27" s="41">
        <f t="shared" si="1"/>
        <v>6.0231466954993214E-2</v>
      </c>
      <c r="G27" s="23">
        <f t="shared" si="2"/>
        <v>916908.38430766482</v>
      </c>
      <c r="H27" s="94">
        <f t="shared" si="3"/>
        <v>18.736789143975912</v>
      </c>
      <c r="I27" s="107">
        <v>4982950.8100000005</v>
      </c>
      <c r="J27" s="41">
        <f t="shared" si="4"/>
        <v>6.5183220027915392E-2</v>
      </c>
      <c r="K27" s="23">
        <f t="shared" si="5"/>
        <v>827583.56999999844</v>
      </c>
      <c r="L27" s="94">
        <f t="shared" si="6"/>
        <v>16.608303022762499</v>
      </c>
      <c r="M27" s="72" t="s">
        <v>98</v>
      </c>
    </row>
    <row r="28" spans="1:13" ht="15" customHeight="1">
      <c r="A28" s="21">
        <v>7143</v>
      </c>
      <c r="B28" s="22" t="s">
        <v>22</v>
      </c>
      <c r="C28" s="23">
        <v>0</v>
      </c>
      <c r="D28" s="41">
        <f t="shared" si="0"/>
        <v>0</v>
      </c>
      <c r="E28" s="23">
        <v>0</v>
      </c>
      <c r="F28" s="41">
        <f t="shared" si="1"/>
        <v>0</v>
      </c>
      <c r="G28" s="23">
        <f t="shared" si="2"/>
        <v>0</v>
      </c>
      <c r="H28" s="94">
        <f>+IFERROR(C28/E28*100-100,0)</f>
        <v>0</v>
      </c>
      <c r="I28" s="107">
        <v>0</v>
      </c>
      <c r="J28" s="41">
        <f t="shared" si="4"/>
        <v>0</v>
      </c>
      <c r="K28" s="23">
        <f t="shared" si="5"/>
        <v>0</v>
      </c>
      <c r="L28" s="94">
        <f>+IFERROR(C28/I28*100-100,0)</f>
        <v>0</v>
      </c>
      <c r="M28" s="72" t="s">
        <v>99</v>
      </c>
    </row>
    <row r="29" spans="1:13" ht="15" customHeight="1">
      <c r="A29" s="21">
        <v>7144</v>
      </c>
      <c r="B29" s="22" t="s">
        <v>23</v>
      </c>
      <c r="C29" s="23">
        <v>26168368.430000003</v>
      </c>
      <c r="D29" s="41">
        <f t="shared" si="0"/>
        <v>0.32208411916747703</v>
      </c>
      <c r="E29" s="23">
        <v>40000000.001600564</v>
      </c>
      <c r="F29" s="41">
        <f t="shared" si="1"/>
        <v>0.49232587051337973</v>
      </c>
      <c r="G29" s="23">
        <f t="shared" si="2"/>
        <v>-13831631.57160056</v>
      </c>
      <c r="H29" s="94">
        <f t="shared" si="3"/>
        <v>-34.579078927617743</v>
      </c>
      <c r="I29" s="107">
        <v>20288683.34</v>
      </c>
      <c r="J29" s="41">
        <f t="shared" si="4"/>
        <v>0.26540131754339374</v>
      </c>
      <c r="K29" s="23">
        <f t="shared" si="5"/>
        <v>5879685.0900000036</v>
      </c>
      <c r="L29" s="94">
        <f t="shared" si="6"/>
        <v>28.980121536068111</v>
      </c>
      <c r="M29" s="72" t="s">
        <v>100</v>
      </c>
    </row>
    <row r="30" spans="1:13" ht="15" customHeight="1">
      <c r="A30" s="21">
        <v>7148</v>
      </c>
      <c r="B30" s="22" t="s">
        <v>24</v>
      </c>
      <c r="C30" s="82">
        <v>5228819.1399999997</v>
      </c>
      <c r="D30" s="41">
        <f t="shared" si="0"/>
        <v>6.4357073368862844E-2</v>
      </c>
      <c r="E30" s="82">
        <v>3629968.1374061229</v>
      </c>
      <c r="F30" s="41">
        <f t="shared" si="1"/>
        <v>4.4678180577819769E-2</v>
      </c>
      <c r="G30" s="76">
        <f t="shared" si="2"/>
        <v>1598851.0025938768</v>
      </c>
      <c r="H30" s="94">
        <f t="shared" si="3"/>
        <v>44.045868780996329</v>
      </c>
      <c r="I30" s="110">
        <v>3955240.9800000004</v>
      </c>
      <c r="J30" s="41">
        <f t="shared" si="4"/>
        <v>5.1739491898128473E-2</v>
      </c>
      <c r="K30" s="76">
        <f t="shared" si="5"/>
        <v>1273578.1599999992</v>
      </c>
      <c r="L30" s="94">
        <f t="shared" si="6"/>
        <v>32.1997614415898</v>
      </c>
      <c r="M30" s="72" t="s">
        <v>101</v>
      </c>
    </row>
    <row r="31" spans="1:13" ht="15" customHeight="1">
      <c r="A31" s="21">
        <v>7149</v>
      </c>
      <c r="B31" s="22" t="s">
        <v>25</v>
      </c>
      <c r="C31" s="82">
        <v>36529170.509999998</v>
      </c>
      <c r="D31" s="41">
        <f t="shared" si="0"/>
        <v>0.4496063917436951</v>
      </c>
      <c r="E31" s="82">
        <v>23473782.809869997</v>
      </c>
      <c r="F31" s="41">
        <f t="shared" si="1"/>
        <v>0.28891876389122056</v>
      </c>
      <c r="G31" s="76">
        <f t="shared" si="2"/>
        <v>13055387.700130001</v>
      </c>
      <c r="H31" s="94">
        <f t="shared" si="3"/>
        <v>55.6168888750245</v>
      </c>
      <c r="I31" s="110">
        <v>21877393.889999997</v>
      </c>
      <c r="J31" s="41">
        <f t="shared" si="4"/>
        <v>0.28618363575000683</v>
      </c>
      <c r="K31" s="76">
        <f t="shared" si="5"/>
        <v>14651776.620000001</v>
      </c>
      <c r="L31" s="94">
        <f t="shared" si="6"/>
        <v>66.972221159748045</v>
      </c>
      <c r="M31" s="72" t="s">
        <v>102</v>
      </c>
    </row>
    <row r="32" spans="1:13" ht="15" customHeight="1">
      <c r="A32" s="18">
        <v>715</v>
      </c>
      <c r="B32" s="19" t="s">
        <v>26</v>
      </c>
      <c r="C32" s="20">
        <f>+SUM(C33:C36)</f>
        <v>54473906.020000003</v>
      </c>
      <c r="D32" s="40">
        <f t="shared" si="0"/>
        <v>0.67047283001218516</v>
      </c>
      <c r="E32" s="20">
        <f>+SUM(E33:E36)</f>
        <v>52269592.229217246</v>
      </c>
      <c r="F32" s="40">
        <f t="shared" si="1"/>
        <v>0.64334181236497645</v>
      </c>
      <c r="G32" s="20">
        <f t="shared" si="2"/>
        <v>2204313.7907827571</v>
      </c>
      <c r="H32" s="89">
        <f t="shared" si="3"/>
        <v>4.2172010470565908</v>
      </c>
      <c r="I32" s="108">
        <f>+SUM(I33:I36)</f>
        <v>92168304.409999996</v>
      </c>
      <c r="J32" s="40">
        <f t="shared" si="4"/>
        <v>1.205676534855642</v>
      </c>
      <c r="K32" s="20">
        <f t="shared" si="5"/>
        <v>-37694398.389999993</v>
      </c>
      <c r="L32" s="89">
        <f t="shared" si="6"/>
        <v>-40.897354715695798</v>
      </c>
      <c r="M32" s="71" t="s">
        <v>103</v>
      </c>
    </row>
    <row r="33" spans="1:105" ht="15" customHeight="1">
      <c r="A33" s="21">
        <v>7151</v>
      </c>
      <c r="B33" s="22" t="s">
        <v>27</v>
      </c>
      <c r="C33" s="82">
        <v>19899247.010000002</v>
      </c>
      <c r="D33" s="41">
        <f t="shared" si="0"/>
        <v>0.24492285265917516</v>
      </c>
      <c r="E33" s="82">
        <v>24499999.99534861</v>
      </c>
      <c r="F33" s="41">
        <f t="shared" si="1"/>
        <v>0.3015495956201289</v>
      </c>
      <c r="G33" s="76">
        <f t="shared" si="2"/>
        <v>-4600752.9853486083</v>
      </c>
      <c r="H33" s="94">
        <f t="shared" si="3"/>
        <v>-18.778583617232954</v>
      </c>
      <c r="I33" s="110">
        <v>33491679.719999995</v>
      </c>
      <c r="J33" s="41">
        <f t="shared" si="4"/>
        <v>0.4381130000143893</v>
      </c>
      <c r="K33" s="76">
        <f t="shared" si="5"/>
        <v>-13592432.709999993</v>
      </c>
      <c r="L33" s="94">
        <f t="shared" si="6"/>
        <v>-40.584505834394122</v>
      </c>
      <c r="M33" s="72" t="s">
        <v>104</v>
      </c>
    </row>
    <row r="34" spans="1:105" ht="15" customHeight="1">
      <c r="A34" s="21">
        <v>7152</v>
      </c>
      <c r="B34" s="22" t="s">
        <v>28</v>
      </c>
      <c r="C34" s="82">
        <v>24181510.080000006</v>
      </c>
      <c r="D34" s="41">
        <f t="shared" si="0"/>
        <v>0.29762957499969239</v>
      </c>
      <c r="E34" s="82">
        <v>18018509.273635715</v>
      </c>
      <c r="F34" s="41">
        <f t="shared" si="1"/>
        <v>0.22177445657852865</v>
      </c>
      <c r="G34" s="76">
        <f t="shared" si="2"/>
        <v>6163000.8063642904</v>
      </c>
      <c r="H34" s="94">
        <f t="shared" si="3"/>
        <v>34.20372192155682</v>
      </c>
      <c r="I34" s="110">
        <v>20416501.490000002</v>
      </c>
      <c r="J34" s="41">
        <f t="shared" si="4"/>
        <v>0.26707333858327464</v>
      </c>
      <c r="K34" s="76">
        <f t="shared" si="5"/>
        <v>3765008.5900000036</v>
      </c>
      <c r="L34" s="94">
        <f t="shared" si="6"/>
        <v>18.441007593020302</v>
      </c>
      <c r="M34" s="72" t="s">
        <v>105</v>
      </c>
    </row>
    <row r="35" spans="1:105">
      <c r="A35" s="21">
        <v>7153</v>
      </c>
      <c r="B35" s="22" t="s">
        <v>29</v>
      </c>
      <c r="C35" s="82">
        <v>2966766.6</v>
      </c>
      <c r="D35" s="41">
        <f t="shared" si="0"/>
        <v>3.6515398722414369E-2</v>
      </c>
      <c r="E35" s="82">
        <v>2312028.1002329183</v>
      </c>
      <c r="F35" s="41">
        <f t="shared" si="1"/>
        <v>2.8456781176325503E-2</v>
      </c>
      <c r="G35" s="76">
        <f t="shared" si="2"/>
        <v>654738.49976708181</v>
      </c>
      <c r="H35" s="94">
        <f t="shared" si="3"/>
        <v>28.31879507438174</v>
      </c>
      <c r="I35" s="110">
        <v>2293700.5099999998</v>
      </c>
      <c r="J35" s="41">
        <f t="shared" si="4"/>
        <v>3.0004467377327315E-2</v>
      </c>
      <c r="K35" s="76">
        <f t="shared" si="5"/>
        <v>673066.09000000032</v>
      </c>
      <c r="L35" s="94">
        <f t="shared" si="6"/>
        <v>29.344113892183799</v>
      </c>
      <c r="M35" s="72" t="s">
        <v>106</v>
      </c>
    </row>
    <row r="36" spans="1:105" s="3" customFormat="1" ht="15" customHeight="1">
      <c r="A36" s="21">
        <v>7155</v>
      </c>
      <c r="B36" s="22" t="s">
        <v>26</v>
      </c>
      <c r="C36" s="82">
        <v>7426382.3300000001</v>
      </c>
      <c r="D36" s="41">
        <f t="shared" si="0"/>
        <v>9.14050036309033E-2</v>
      </c>
      <c r="E36" s="82">
        <v>7439054.8600000003</v>
      </c>
      <c r="F36" s="41">
        <f t="shared" si="1"/>
        <v>9.1560978989993477E-2</v>
      </c>
      <c r="G36" s="76">
        <f t="shared" si="2"/>
        <v>-12672.530000000261</v>
      </c>
      <c r="H36" s="94">
        <f t="shared" si="3"/>
        <v>-0.1703513448750158</v>
      </c>
      <c r="I36" s="110">
        <v>35966422.689999998</v>
      </c>
      <c r="J36" s="41">
        <f t="shared" si="4"/>
        <v>0.47048572888065054</v>
      </c>
      <c r="K36" s="76">
        <f t="shared" si="5"/>
        <v>-28540040.359999999</v>
      </c>
      <c r="L36" s="94">
        <f t="shared" si="6"/>
        <v>-79.351901650022</v>
      </c>
      <c r="M36" s="72" t="s">
        <v>103</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hidden="1" customHeight="1">
      <c r="A37" s="18">
        <v>73</v>
      </c>
      <c r="B37" s="92" t="s">
        <v>183</v>
      </c>
      <c r="C37" s="20">
        <v>0</v>
      </c>
      <c r="D37" s="40">
        <f t="shared" si="0"/>
        <v>0</v>
      </c>
      <c r="E37" s="20">
        <v>0</v>
      </c>
      <c r="F37" s="40">
        <f t="shared" si="1"/>
        <v>0</v>
      </c>
      <c r="G37" s="20">
        <f t="shared" si="2"/>
        <v>0</v>
      </c>
      <c r="H37" s="89">
        <f>+IFERROR(C37/E37*100-100,0)</f>
        <v>0</v>
      </c>
      <c r="I37" s="108">
        <v>0</v>
      </c>
      <c r="J37" s="40">
        <f t="shared" si="4"/>
        <v>0</v>
      </c>
      <c r="K37" s="20">
        <f t="shared" si="5"/>
        <v>0</v>
      </c>
      <c r="L37" s="89">
        <f>+IFERROR(C37/I37*100-100,0)</f>
        <v>0</v>
      </c>
      <c r="M37" s="71" t="s">
        <v>107</v>
      </c>
    </row>
    <row r="38" spans="1:105" ht="15" customHeight="1">
      <c r="A38" s="18">
        <v>74</v>
      </c>
      <c r="B38" s="19" t="s">
        <v>179</v>
      </c>
      <c r="C38" s="20">
        <v>67319857.140000001</v>
      </c>
      <c r="D38" s="40">
        <f t="shared" si="0"/>
        <v>0.82858268169901661</v>
      </c>
      <c r="E38" s="20">
        <v>109199999.99999996</v>
      </c>
      <c r="F38" s="40">
        <f t="shared" si="1"/>
        <v>1.3440496264477453</v>
      </c>
      <c r="G38" s="20">
        <f t="shared" si="2"/>
        <v>-41880142.859999955</v>
      </c>
      <c r="H38" s="89">
        <f t="shared" si="3"/>
        <v>-38.351779175824149</v>
      </c>
      <c r="I38" s="108">
        <v>40855353.380000003</v>
      </c>
      <c r="J38" s="40">
        <f t="shared" si="4"/>
        <v>0.53443904831297684</v>
      </c>
      <c r="K38" s="20">
        <f t="shared" si="5"/>
        <v>26464503.759999998</v>
      </c>
      <c r="L38" s="89">
        <f t="shared" si="6"/>
        <v>64.776098039957759</v>
      </c>
      <c r="M38" s="71" t="s">
        <v>108</v>
      </c>
    </row>
    <row r="39" spans="1:105" ht="15" customHeight="1">
      <c r="A39" s="15"/>
      <c r="B39" s="16" t="s">
        <v>71</v>
      </c>
      <c r="C39" s="17">
        <f>+C40+C50+C56+C57+C58+C59+C60+C61</f>
        <v>3195808124.5800009</v>
      </c>
      <c r="D39" s="39">
        <f t="shared" si="0"/>
        <v>39.334475421615579</v>
      </c>
      <c r="E39" s="17">
        <f>+E40+E50+E56+E57+E58+E59+E60+E61</f>
        <v>3164221441.6799998</v>
      </c>
      <c r="F39" s="39">
        <f t="shared" ref="F39:F78" si="7">+E39/$E$2*100</f>
        <v>38.945701892746811</v>
      </c>
      <c r="G39" s="17">
        <f t="shared" si="2"/>
        <v>31586682.900001049</v>
      </c>
      <c r="H39" s="93">
        <f t="shared" si="3"/>
        <v>0.99824501799818677</v>
      </c>
      <c r="I39" s="17">
        <f>+I40+I50+I56+I57+I58+I59+I60+I61</f>
        <v>3003265592.9499998</v>
      </c>
      <c r="J39" s="39">
        <f t="shared" si="4"/>
        <v>39.286464870305956</v>
      </c>
      <c r="K39" s="17">
        <f t="shared" ref="K39:K61" si="8">+C39-I39</f>
        <v>192542531.63000107</v>
      </c>
      <c r="L39" s="93">
        <f t="shared" ref="L39:L61" si="9">+C39/I39*100-100</f>
        <v>6.411105700474323</v>
      </c>
      <c r="M39" s="80" t="s">
        <v>109</v>
      </c>
    </row>
    <row r="40" spans="1:105" ht="15" customHeight="1">
      <c r="A40" s="18">
        <v>41</v>
      </c>
      <c r="B40" s="19" t="s">
        <v>68</v>
      </c>
      <c r="C40" s="20">
        <f>+SUM(C41:C49)</f>
        <v>1250653769.79</v>
      </c>
      <c r="D40" s="40">
        <f t="shared" si="0"/>
        <v>15.393230147451597</v>
      </c>
      <c r="E40" s="20">
        <f>+SUM(E41:E49)</f>
        <v>1261815313.1399999</v>
      </c>
      <c r="F40" s="40">
        <f t="shared" si="7"/>
        <v>15.53060806109764</v>
      </c>
      <c r="G40" s="20">
        <f t="shared" si="2"/>
        <v>-11161543.349999905</v>
      </c>
      <c r="H40" s="89">
        <f t="shared" si="3"/>
        <v>-0.88456236295188262</v>
      </c>
      <c r="I40" s="20">
        <f>+SUM(I41:I49)</f>
        <v>1191701976.5</v>
      </c>
      <c r="J40" s="40">
        <f t="shared" si="4"/>
        <v>15.588950223231512</v>
      </c>
      <c r="K40" s="20">
        <f t="shared" si="8"/>
        <v>58951793.289999962</v>
      </c>
      <c r="L40" s="89">
        <f t="shared" si="9"/>
        <v>4.9468570542393451</v>
      </c>
      <c r="M40" s="71" t="s">
        <v>110</v>
      </c>
    </row>
    <row r="41" spans="1:105" ht="15" customHeight="1">
      <c r="A41" s="21">
        <v>411</v>
      </c>
      <c r="B41" s="22" t="s">
        <v>30</v>
      </c>
      <c r="C41" s="107">
        <v>687045772.32999992</v>
      </c>
      <c r="D41" s="41">
        <f t="shared" si="0"/>
        <v>8.4562601982842427</v>
      </c>
      <c r="E41" s="107">
        <v>714373786.53999996</v>
      </c>
      <c r="F41" s="41">
        <f t="shared" si="7"/>
        <v>8.7926174079042916</v>
      </c>
      <c r="G41" s="23">
        <f t="shared" si="2"/>
        <v>-27328014.210000038</v>
      </c>
      <c r="H41" s="94">
        <f t="shared" si="3"/>
        <v>-3.8254503069549344</v>
      </c>
      <c r="I41" s="23">
        <v>675239256.99000001</v>
      </c>
      <c r="J41" s="41">
        <f t="shared" si="4"/>
        <v>8.8329728183420038</v>
      </c>
      <c r="K41" s="23">
        <f t="shared" si="8"/>
        <v>11806515.339999914</v>
      </c>
      <c r="L41" s="94">
        <f t="shared" si="9"/>
        <v>1.7484936217466895</v>
      </c>
      <c r="M41" s="72" t="s">
        <v>111</v>
      </c>
    </row>
    <row r="42" spans="1:105" ht="15" customHeight="1">
      <c r="A42" s="21">
        <v>412</v>
      </c>
      <c r="B42" s="22" t="s">
        <v>31</v>
      </c>
      <c r="C42" s="23">
        <v>27625431.150000002</v>
      </c>
      <c r="D42" s="41">
        <f t="shared" si="0"/>
        <v>0.34001786096717423</v>
      </c>
      <c r="E42" s="23">
        <v>26530166.550000004</v>
      </c>
      <c r="F42" s="41">
        <f t="shared" si="7"/>
        <v>0.32653718352677641</v>
      </c>
      <c r="G42" s="23">
        <f t="shared" si="2"/>
        <v>1095264.5999999978</v>
      </c>
      <c r="H42" s="94">
        <f t="shared" si="3"/>
        <v>4.1283743844419973</v>
      </c>
      <c r="I42" s="23">
        <v>20705195.260000002</v>
      </c>
      <c r="J42" s="41">
        <f t="shared" si="4"/>
        <v>0.2708498136576088</v>
      </c>
      <c r="K42" s="23">
        <f t="shared" si="8"/>
        <v>6920235.8900000006</v>
      </c>
      <c r="L42" s="94">
        <f t="shared" si="9"/>
        <v>33.422702868053022</v>
      </c>
      <c r="M42" s="72" t="s">
        <v>112</v>
      </c>
    </row>
    <row r="43" spans="1:105" ht="15" customHeight="1">
      <c r="A43" s="21">
        <v>413</v>
      </c>
      <c r="B43" s="22" t="s">
        <v>72</v>
      </c>
      <c r="C43" s="23">
        <v>46162034.080000006</v>
      </c>
      <c r="D43" s="41">
        <f t="shared" si="0"/>
        <v>0.56816909030487284</v>
      </c>
      <c r="E43" s="23">
        <v>50612483.57</v>
      </c>
      <c r="F43" s="41">
        <f t="shared" si="7"/>
        <v>0.62294587578618288</v>
      </c>
      <c r="G43" s="23">
        <f t="shared" si="2"/>
        <v>-4450449.4899999946</v>
      </c>
      <c r="H43" s="94">
        <f t="shared" si="3"/>
        <v>-8.7931853489164666</v>
      </c>
      <c r="I43" s="23">
        <v>40058022.25</v>
      </c>
      <c r="J43" s="41">
        <f t="shared" si="4"/>
        <v>0.52400896130959007</v>
      </c>
      <c r="K43" s="23">
        <f t="shared" si="8"/>
        <v>6104011.8300000057</v>
      </c>
      <c r="L43" s="94">
        <f t="shared" si="9"/>
        <v>15.237926106049841</v>
      </c>
      <c r="M43" s="72" t="s">
        <v>113</v>
      </c>
    </row>
    <row r="44" spans="1:105" ht="15" customHeight="1">
      <c r="A44" s="21">
        <v>414</v>
      </c>
      <c r="B44" s="22" t="s">
        <v>73</v>
      </c>
      <c r="C44" s="23">
        <v>101611632.04000001</v>
      </c>
      <c r="D44" s="41">
        <f t="shared" si="0"/>
        <v>1.2506508799094123</v>
      </c>
      <c r="E44" s="23">
        <v>98497542.020000026</v>
      </c>
      <c r="F44" s="41">
        <f t="shared" si="7"/>
        <v>1.2123222029121079</v>
      </c>
      <c r="G44" s="23">
        <f t="shared" si="2"/>
        <v>3114090.0199999809</v>
      </c>
      <c r="H44" s="94">
        <f t="shared" si="3"/>
        <v>3.1615916053698641</v>
      </c>
      <c r="I44" s="23">
        <v>81306308.290000007</v>
      </c>
      <c r="J44" s="41">
        <f t="shared" si="4"/>
        <v>1.0635880595667753</v>
      </c>
      <c r="K44" s="23">
        <f t="shared" si="8"/>
        <v>20305323.75</v>
      </c>
      <c r="L44" s="94">
        <f t="shared" si="9"/>
        <v>24.973860180166824</v>
      </c>
      <c r="M44" s="72" t="s">
        <v>114</v>
      </c>
    </row>
    <row r="45" spans="1:105" ht="15.75" customHeight="1">
      <c r="A45" s="21">
        <v>415</v>
      </c>
      <c r="B45" s="22" t="s">
        <v>32</v>
      </c>
      <c r="C45" s="23">
        <v>35613624.579999998</v>
      </c>
      <c r="D45" s="41">
        <f t="shared" si="0"/>
        <v>0.43833771806959027</v>
      </c>
      <c r="E45" s="23">
        <v>40834441.310000002</v>
      </c>
      <c r="F45" s="41">
        <f t="shared" si="7"/>
        <v>0.50259629660172078</v>
      </c>
      <c r="G45" s="23">
        <f t="shared" si="2"/>
        <v>-5220816.7300000042</v>
      </c>
      <c r="H45" s="94">
        <f t="shared" si="3"/>
        <v>-12.785326705869409</v>
      </c>
      <c r="I45" s="23">
        <v>33868346.910000004</v>
      </c>
      <c r="J45" s="41">
        <f t="shared" si="4"/>
        <v>0.44304027729631518</v>
      </c>
      <c r="K45" s="23">
        <f t="shared" si="8"/>
        <v>1745277.6699999943</v>
      </c>
      <c r="L45" s="94">
        <f t="shared" si="9"/>
        <v>5.1531232824495419</v>
      </c>
      <c r="M45" s="72" t="s">
        <v>115</v>
      </c>
    </row>
    <row r="46" spans="1:105" ht="15" customHeight="1">
      <c r="A46" s="21">
        <v>416</v>
      </c>
      <c r="B46" s="22" t="s">
        <v>33</v>
      </c>
      <c r="C46" s="23">
        <v>161095737.64000002</v>
      </c>
      <c r="D46" s="41">
        <f t="shared" si="0"/>
        <v>1.9827899816608614</v>
      </c>
      <c r="E46" s="23">
        <v>158012011.99000001</v>
      </c>
      <c r="F46" s="41">
        <f t="shared" si="7"/>
        <v>1.9448350337858629</v>
      </c>
      <c r="G46" s="23">
        <f t="shared" si="2"/>
        <v>3083725.650000006</v>
      </c>
      <c r="H46" s="94">
        <f t="shared" si="3"/>
        <v>1.9515767258220649</v>
      </c>
      <c r="I46" s="23">
        <v>149286400.39000002</v>
      </c>
      <c r="J46" s="41">
        <f t="shared" si="4"/>
        <v>1.9528525676529493</v>
      </c>
      <c r="K46" s="23">
        <f t="shared" si="8"/>
        <v>11809337.25</v>
      </c>
      <c r="L46" s="94">
        <f t="shared" si="9"/>
        <v>7.9105244812313487</v>
      </c>
      <c r="M46" s="72" t="s">
        <v>116</v>
      </c>
    </row>
    <row r="47" spans="1:105" ht="15" customHeight="1">
      <c r="A47" s="21">
        <v>417</v>
      </c>
      <c r="B47" s="22" t="s">
        <v>34</v>
      </c>
      <c r="C47" s="23">
        <v>14935441.009999998</v>
      </c>
      <c r="D47" s="41">
        <f t="shared" si="0"/>
        <v>0.18382759991138134</v>
      </c>
      <c r="E47" s="23">
        <v>13348178.529999999</v>
      </c>
      <c r="F47" s="41">
        <f t="shared" si="7"/>
        <v>0.1642913403571824</v>
      </c>
      <c r="G47" s="23">
        <f t="shared" si="2"/>
        <v>1587262.4799999986</v>
      </c>
      <c r="H47" s="94">
        <f t="shared" si="3"/>
        <v>11.891229027485892</v>
      </c>
      <c r="I47" s="23">
        <v>13501000.000000002</v>
      </c>
      <c r="J47" s="41">
        <f t="shared" si="4"/>
        <v>0.17660994201082345</v>
      </c>
      <c r="K47" s="23">
        <f t="shared" si="8"/>
        <v>1434441.0099999961</v>
      </c>
      <c r="L47" s="94">
        <f t="shared" si="9"/>
        <v>10.624701948003818</v>
      </c>
      <c r="M47" s="72" t="s">
        <v>117</v>
      </c>
    </row>
    <row r="48" spans="1:105" ht="15" customHeight="1">
      <c r="A48" s="21">
        <v>418</v>
      </c>
      <c r="B48" s="22" t="s">
        <v>35</v>
      </c>
      <c r="C48" s="23">
        <v>91138513.580000132</v>
      </c>
      <c r="D48" s="41">
        <f t="shared" si="0"/>
        <v>1.1217462008443404</v>
      </c>
      <c r="E48" s="23">
        <v>70687157.530000001</v>
      </c>
      <c r="F48" s="41">
        <f t="shared" si="7"/>
        <v>0.87002790909202798</v>
      </c>
      <c r="G48" s="23">
        <f t="shared" si="2"/>
        <v>20451356.050000131</v>
      </c>
      <c r="H48" s="94">
        <f t="shared" si="3"/>
        <v>28.932208854657176</v>
      </c>
      <c r="I48" s="23">
        <v>88788160.519999981</v>
      </c>
      <c r="J48" s="41">
        <f t="shared" si="4"/>
        <v>1.1614600311595347</v>
      </c>
      <c r="K48" s="23">
        <f t="shared" si="8"/>
        <v>2350353.0600001514</v>
      </c>
      <c r="L48" s="94">
        <f t="shared" si="9"/>
        <v>2.6471469239085224</v>
      </c>
      <c r="M48" s="72" t="s">
        <v>118</v>
      </c>
    </row>
    <row r="49" spans="1:15" ht="15" customHeight="1">
      <c r="A49" s="21">
        <v>419</v>
      </c>
      <c r="B49" s="22" t="s">
        <v>36</v>
      </c>
      <c r="C49" s="23">
        <v>85425583.379999995</v>
      </c>
      <c r="D49" s="41">
        <f t="shared" si="0"/>
        <v>1.051430617499723</v>
      </c>
      <c r="E49" s="23">
        <v>88919545.099999964</v>
      </c>
      <c r="F49" s="41">
        <f t="shared" si="7"/>
        <v>1.0944348111314874</v>
      </c>
      <c r="G49" s="23">
        <f t="shared" si="2"/>
        <v>-3493961.719999969</v>
      </c>
      <c r="H49" s="94">
        <f t="shared" si="3"/>
        <v>-3.9293517708290437</v>
      </c>
      <c r="I49" s="23">
        <v>88949285.890000015</v>
      </c>
      <c r="J49" s="41">
        <f t="shared" si="4"/>
        <v>1.1635677522359127</v>
      </c>
      <c r="K49" s="23">
        <f t="shared" si="8"/>
        <v>-3523702.5100000203</v>
      </c>
      <c r="L49" s="94">
        <f t="shared" si="9"/>
        <v>-3.9614736360645253</v>
      </c>
      <c r="M49" s="72" t="s">
        <v>119</v>
      </c>
    </row>
    <row r="50" spans="1:15" ht="15" customHeight="1">
      <c r="A50" s="18">
        <v>42</v>
      </c>
      <c r="B50" s="19" t="s">
        <v>37</v>
      </c>
      <c r="C50" s="20">
        <f>+SUM(C51:C55)</f>
        <v>1107596371.1500001</v>
      </c>
      <c r="D50" s="40">
        <f t="shared" si="0"/>
        <v>13.632458689551616</v>
      </c>
      <c r="E50" s="20">
        <f>+SUM(E51:E55)</f>
        <v>1065657008.6800001</v>
      </c>
      <c r="F50" s="40">
        <f t="shared" si="7"/>
        <v>13.116262861151798</v>
      </c>
      <c r="G50" s="20">
        <f t="shared" si="2"/>
        <v>41939362.470000029</v>
      </c>
      <c r="H50" s="89">
        <f t="shared" si="3"/>
        <v>3.9355404345295995</v>
      </c>
      <c r="I50" s="20">
        <f>+SUM(I51:I55)</f>
        <v>1008167754.3099999</v>
      </c>
      <c r="J50" s="40">
        <f t="shared" si="4"/>
        <v>13.18809337277766</v>
      </c>
      <c r="K50" s="20">
        <f t="shared" si="8"/>
        <v>99428616.840000153</v>
      </c>
      <c r="L50" s="89">
        <f t="shared" si="9"/>
        <v>9.8623087690451001</v>
      </c>
      <c r="M50" s="71" t="s">
        <v>120</v>
      </c>
    </row>
    <row r="51" spans="1:15" ht="15" customHeight="1">
      <c r="A51" s="21">
        <v>421</v>
      </c>
      <c r="B51" s="22" t="s">
        <v>38</v>
      </c>
      <c r="C51" s="107">
        <v>241353335.31</v>
      </c>
      <c r="D51" s="41">
        <f t="shared" si="0"/>
        <v>2.9706122725762181</v>
      </c>
      <c r="E51" s="107">
        <v>221530000.00000003</v>
      </c>
      <c r="F51" s="41">
        <f t="shared" si="7"/>
        <v>2.7266237522616223</v>
      </c>
      <c r="G51" s="23">
        <f t="shared" si="2"/>
        <v>19823335.309999973</v>
      </c>
      <c r="H51" s="94">
        <f t="shared" si="3"/>
        <v>8.9483750778675386</v>
      </c>
      <c r="I51" s="23">
        <v>212995359.84</v>
      </c>
      <c r="J51" s="41">
        <f t="shared" si="4"/>
        <v>2.7862453262659703</v>
      </c>
      <c r="K51" s="23">
        <f t="shared" si="8"/>
        <v>28357975.469999999</v>
      </c>
      <c r="L51" s="94">
        <f t="shared" si="9"/>
        <v>13.313893547400383</v>
      </c>
      <c r="M51" s="72" t="s">
        <v>121</v>
      </c>
    </row>
    <row r="52" spans="1:15" ht="15" customHeight="1">
      <c r="A52" s="21">
        <v>422</v>
      </c>
      <c r="B52" s="22" t="s">
        <v>39</v>
      </c>
      <c r="C52" s="23">
        <v>25664111.870000001</v>
      </c>
      <c r="D52" s="41">
        <f t="shared" si="0"/>
        <v>0.31587765542112328</v>
      </c>
      <c r="E52" s="23">
        <v>24661725.040000007</v>
      </c>
      <c r="F52" s="41">
        <f t="shared" si="7"/>
        <v>0.30354013120484458</v>
      </c>
      <c r="G52" s="23">
        <f t="shared" si="2"/>
        <v>1002386.8299999945</v>
      </c>
      <c r="H52" s="94">
        <f t="shared" si="3"/>
        <v>4.0645446673911749</v>
      </c>
      <c r="I52" s="23">
        <v>26016571.370000005</v>
      </c>
      <c r="J52" s="41">
        <f t="shared" si="4"/>
        <v>0.340329246794767</v>
      </c>
      <c r="K52" s="23">
        <f t="shared" si="8"/>
        <v>-352459.50000000373</v>
      </c>
      <c r="L52" s="94">
        <f t="shared" si="9"/>
        <v>-1.3547499975589687</v>
      </c>
      <c r="M52" s="72" t="s">
        <v>122</v>
      </c>
    </row>
    <row r="53" spans="1:15">
      <c r="A53" s="21">
        <v>423</v>
      </c>
      <c r="B53" s="22" t="s">
        <v>40</v>
      </c>
      <c r="C53" s="107">
        <v>796697682.26000011</v>
      </c>
      <c r="D53" s="41">
        <f t="shared" si="0"/>
        <v>9.8058719984737905</v>
      </c>
      <c r="E53" s="107">
        <v>777205283.63999999</v>
      </c>
      <c r="F53" s="41">
        <f t="shared" si="7"/>
        <v>9.5659566955087563</v>
      </c>
      <c r="G53" s="23">
        <f t="shared" si="2"/>
        <v>19492398.620000124</v>
      </c>
      <c r="H53" s="94">
        <f t="shared" si="3"/>
        <v>2.5080115936305276</v>
      </c>
      <c r="I53" s="23">
        <v>730408864.30999994</v>
      </c>
      <c r="J53" s="41">
        <f t="shared" si="4"/>
        <v>9.5546601859107092</v>
      </c>
      <c r="K53" s="23">
        <f t="shared" si="8"/>
        <v>66288817.950000167</v>
      </c>
      <c r="L53" s="94">
        <f t="shared" si="9"/>
        <v>9.0755768705821538</v>
      </c>
      <c r="M53" s="72" t="s">
        <v>123</v>
      </c>
    </row>
    <row r="54" spans="1:15" ht="15" customHeight="1">
      <c r="A54" s="21">
        <v>424</v>
      </c>
      <c r="B54" s="22" t="s">
        <v>41</v>
      </c>
      <c r="C54" s="23">
        <v>27038139.220000003</v>
      </c>
      <c r="D54" s="41">
        <f t="shared" si="0"/>
        <v>0.33278938570039512</v>
      </c>
      <c r="E54" s="23">
        <v>25559999.999999993</v>
      </c>
      <c r="F54" s="41">
        <f t="shared" si="7"/>
        <v>0.31459623124546132</v>
      </c>
      <c r="G54" s="23">
        <f t="shared" si="2"/>
        <v>1478139.22000001</v>
      </c>
      <c r="H54" s="94">
        <f t="shared" si="3"/>
        <v>5.7830172926447858</v>
      </c>
      <c r="I54" s="23">
        <v>22113621.279999997</v>
      </c>
      <c r="J54" s="41">
        <f t="shared" si="4"/>
        <v>0.28927378504630108</v>
      </c>
      <c r="K54" s="23">
        <f t="shared" si="8"/>
        <v>4924517.9400000051</v>
      </c>
      <c r="L54" s="94">
        <f t="shared" si="9"/>
        <v>22.269161064333858</v>
      </c>
      <c r="M54" s="72" t="s">
        <v>124</v>
      </c>
    </row>
    <row r="55" spans="1:15" ht="15" customHeight="1">
      <c r="A55" s="21">
        <v>425</v>
      </c>
      <c r="B55" s="22" t="s">
        <v>42</v>
      </c>
      <c r="C55" s="23">
        <v>16843102.490000002</v>
      </c>
      <c r="D55" s="41">
        <f t="shared" si="0"/>
        <v>0.20730737738008792</v>
      </c>
      <c r="E55" s="23">
        <v>16700000</v>
      </c>
      <c r="F55" s="41">
        <f t="shared" si="7"/>
        <v>0.20554605093111131</v>
      </c>
      <c r="G55" s="23">
        <f t="shared" si="2"/>
        <v>143102.49000000209</v>
      </c>
      <c r="H55" s="94">
        <f t="shared" si="3"/>
        <v>0.856901137724563</v>
      </c>
      <c r="I55" s="23">
        <v>16633337.509999996</v>
      </c>
      <c r="J55" s="41">
        <f t="shared" si="4"/>
        <v>0.21758482875991061</v>
      </c>
      <c r="K55" s="23">
        <f t="shared" si="8"/>
        <v>209764.98000000603</v>
      </c>
      <c r="L55" s="94">
        <f t="shared" si="9"/>
        <v>1.2611117875405142</v>
      </c>
      <c r="M55" s="72" t="s">
        <v>125</v>
      </c>
      <c r="O55" s="78"/>
    </row>
    <row r="56" spans="1:15" ht="15" customHeight="1">
      <c r="A56" s="18">
        <v>43</v>
      </c>
      <c r="B56" s="77" t="s">
        <v>43</v>
      </c>
      <c r="C56" s="20">
        <v>467904530.26000005</v>
      </c>
      <c r="D56" s="40">
        <f t="shared" si="0"/>
        <v>5.7590376292047711</v>
      </c>
      <c r="E56" s="20">
        <v>455886309.82000011</v>
      </c>
      <c r="F56" s="40">
        <f t="shared" si="7"/>
        <v>5.6111156082070739</v>
      </c>
      <c r="G56" s="20">
        <f t="shared" si="2"/>
        <v>12018220.439999938</v>
      </c>
      <c r="H56" s="89">
        <f t="shared" si="3"/>
        <v>2.6362319247413097</v>
      </c>
      <c r="I56" s="20">
        <v>429186147.31999999</v>
      </c>
      <c r="J56" s="40">
        <f t="shared" si="4"/>
        <v>5.6142908369775517</v>
      </c>
      <c r="K56" s="20">
        <f t="shared" si="8"/>
        <v>38718382.940000057</v>
      </c>
      <c r="L56" s="89">
        <f t="shared" si="9"/>
        <v>9.0213496362294734</v>
      </c>
      <c r="M56" s="71" t="s">
        <v>126</v>
      </c>
    </row>
    <row r="57" spans="1:15" ht="15" customHeight="1">
      <c r="A57" s="18">
        <v>44</v>
      </c>
      <c r="B57" s="19" t="s">
        <v>64</v>
      </c>
      <c r="C57" s="20">
        <v>331775178.20000005</v>
      </c>
      <c r="D57" s="40">
        <f t="shared" si="0"/>
        <v>4.0835375853877691</v>
      </c>
      <c r="E57" s="20">
        <v>339503808.88</v>
      </c>
      <c r="F57" s="40">
        <f t="shared" si="7"/>
        <v>4.1786627060691472</v>
      </c>
      <c r="G57" s="20">
        <f t="shared" si="2"/>
        <v>-7728630.6799999475</v>
      </c>
      <c r="H57" s="89">
        <f t="shared" si="3"/>
        <v>-2.2764488874207842</v>
      </c>
      <c r="I57" s="20">
        <v>299128487.52999997</v>
      </c>
      <c r="J57" s="40">
        <f t="shared" si="4"/>
        <v>3.9129742120182662</v>
      </c>
      <c r="K57" s="20">
        <f t="shared" si="8"/>
        <v>32646690.670000076</v>
      </c>
      <c r="L57" s="89">
        <f t="shared" si="9"/>
        <v>10.913935660081833</v>
      </c>
      <c r="M57" s="71" t="s">
        <v>127</v>
      </c>
    </row>
    <row r="58" spans="1:15" ht="15" customHeight="1">
      <c r="A58" s="18">
        <v>45</v>
      </c>
      <c r="B58" s="19" t="s">
        <v>44</v>
      </c>
      <c r="C58" s="20">
        <v>0</v>
      </c>
      <c r="D58" s="40">
        <f t="shared" si="0"/>
        <v>0</v>
      </c>
      <c r="E58" s="20">
        <v>0</v>
      </c>
      <c r="F58" s="40">
        <f t="shared" si="7"/>
        <v>0</v>
      </c>
      <c r="G58" s="20">
        <f t="shared" si="2"/>
        <v>0</v>
      </c>
      <c r="H58" s="89">
        <f>+IFERROR(C58/E58*100-100,0)</f>
        <v>0</v>
      </c>
      <c r="I58" s="20">
        <v>0</v>
      </c>
      <c r="J58" s="40">
        <f t="shared" si="4"/>
        <v>0</v>
      </c>
      <c r="K58" s="20">
        <f t="shared" si="8"/>
        <v>0</v>
      </c>
      <c r="L58" s="89">
        <f>+IFERROR(C58/I58*100-100,0)</f>
        <v>0</v>
      </c>
      <c r="M58" s="71" t="s">
        <v>128</v>
      </c>
      <c r="N58" s="87"/>
    </row>
    <row r="59" spans="1:15" ht="15" customHeight="1">
      <c r="A59" s="18">
        <v>462</v>
      </c>
      <c r="B59" s="19" t="s">
        <v>45</v>
      </c>
      <c r="C59" s="20">
        <v>4062322.96</v>
      </c>
      <c r="D59" s="40">
        <f t="shared" si="0"/>
        <v>4.9999667187711538E-2</v>
      </c>
      <c r="E59" s="20">
        <v>4100003.9999999991</v>
      </c>
      <c r="F59" s="40">
        <f t="shared" si="7"/>
        <v>5.0463450958189209E-2</v>
      </c>
      <c r="G59" s="20">
        <f t="shared" si="2"/>
        <v>-37681.039999999106</v>
      </c>
      <c r="H59" s="104">
        <f t="shared" si="3"/>
        <v>-0.91904885946451031</v>
      </c>
      <c r="I59" s="20">
        <v>5849367.6699999999</v>
      </c>
      <c r="J59" s="40">
        <f t="shared" si="4"/>
        <v>7.6517034664001574E-2</v>
      </c>
      <c r="K59" s="20">
        <f t="shared" si="8"/>
        <v>-1787044.71</v>
      </c>
      <c r="L59" s="89">
        <f t="shared" si="9"/>
        <v>-30.551075104499276</v>
      </c>
      <c r="M59" s="71" t="s">
        <v>129</v>
      </c>
    </row>
    <row r="60" spans="1:15" ht="15" customHeight="1">
      <c r="A60" s="18">
        <v>463</v>
      </c>
      <c r="B60" s="19" t="s">
        <v>46</v>
      </c>
      <c r="C60" s="20">
        <v>26461154.940000001</v>
      </c>
      <c r="D60" s="40">
        <f t="shared" si="0"/>
        <v>0.3256877785025909</v>
      </c>
      <c r="E60" s="20">
        <v>23475049.560000002</v>
      </c>
      <c r="F60" s="40">
        <f t="shared" si="7"/>
        <v>0.28893435523773187</v>
      </c>
      <c r="G60" s="20">
        <f t="shared" si="2"/>
        <v>2986105.379999999</v>
      </c>
      <c r="H60" s="89">
        <f t="shared" si="3"/>
        <v>12.72033685112271</v>
      </c>
      <c r="I60" s="20">
        <v>20422576.659999996</v>
      </c>
      <c r="J60" s="40">
        <f t="shared" si="4"/>
        <v>0.2671528093944297</v>
      </c>
      <c r="K60" s="20">
        <f t="shared" si="8"/>
        <v>6038578.2800000049</v>
      </c>
      <c r="L60" s="89">
        <f t="shared" si="9"/>
        <v>29.568150877980372</v>
      </c>
      <c r="M60" s="71" t="s">
        <v>130</v>
      </c>
    </row>
    <row r="61" spans="1:15" ht="15" customHeight="1">
      <c r="A61" s="18">
        <v>47</v>
      </c>
      <c r="B61" s="19" t="s">
        <v>47</v>
      </c>
      <c r="C61" s="20">
        <v>7354797.2799999993</v>
      </c>
      <c r="D61" s="40">
        <f t="shared" si="0"/>
        <v>9.0523924329513686E-2</v>
      </c>
      <c r="E61" s="20">
        <v>13783947.6</v>
      </c>
      <c r="F61" s="40">
        <f t="shared" si="7"/>
        <v>0.1696548500252317</v>
      </c>
      <c r="G61" s="20">
        <f t="shared" si="2"/>
        <v>-6429150.3200000003</v>
      </c>
      <c r="H61" s="89">
        <f t="shared" si="3"/>
        <v>-46.642300932716843</v>
      </c>
      <c r="I61" s="20">
        <v>48809282.959999979</v>
      </c>
      <c r="J61" s="40">
        <f t="shared" si="4"/>
        <v>0.63848638124253521</v>
      </c>
      <c r="K61" s="20">
        <f t="shared" si="8"/>
        <v>-41454485.679999977</v>
      </c>
      <c r="L61" s="89">
        <f t="shared" si="9"/>
        <v>-84.931560486091598</v>
      </c>
      <c r="M61" s="71" t="s">
        <v>131</v>
      </c>
    </row>
    <row r="62" spans="1:15" s="2" customFormat="1" ht="15" customHeight="1">
      <c r="A62" s="15"/>
      <c r="B62" s="16" t="s">
        <v>76</v>
      </c>
      <c r="C62" s="17">
        <f>+C6-C39</f>
        <v>-321817090.45000029</v>
      </c>
      <c r="D62" s="39">
        <f t="shared" si="0"/>
        <v>-3.9609719798884919</v>
      </c>
      <c r="E62" s="17">
        <f>+E6-E39</f>
        <v>-278148441.60002089</v>
      </c>
      <c r="F62" s="39">
        <f t="shared" si="7"/>
        <v>-3.4234918409297683</v>
      </c>
      <c r="G62" s="17">
        <f t="shared" si="2"/>
        <v>-43668648.849979401</v>
      </c>
      <c r="H62" s="93">
        <f t="shared" si="3"/>
        <v>15.699763981699817</v>
      </c>
      <c r="I62" s="17">
        <f>+I6-I39</f>
        <v>-247548326.07999945</v>
      </c>
      <c r="J62" s="39">
        <f t="shared" si="4"/>
        <v>-3.2382412794507895</v>
      </c>
      <c r="K62" s="17">
        <f t="shared" ref="K62" si="10">+C62-I62</f>
        <v>-74268764.370000839</v>
      </c>
      <c r="L62" s="93">
        <f t="shared" ref="L62" si="11">+C62/I62*100-100</f>
        <v>30.001723520440862</v>
      </c>
      <c r="M62" s="80" t="s">
        <v>133</v>
      </c>
    </row>
    <row r="63" spans="1:15" ht="15" customHeight="1">
      <c r="A63" s="90"/>
      <c r="B63" s="91" t="s">
        <v>178</v>
      </c>
      <c r="C63" s="20">
        <v>0</v>
      </c>
      <c r="D63" s="40">
        <f t="shared" si="0"/>
        <v>0</v>
      </c>
      <c r="E63" s="20">
        <v>0</v>
      </c>
      <c r="F63" s="40">
        <f t="shared" si="7"/>
        <v>0</v>
      </c>
      <c r="G63" s="20">
        <f t="shared" ref="G63:G64" si="12">+C63-E63</f>
        <v>0</v>
      </c>
      <c r="H63" s="89">
        <f>+IFERROR(C63/E63*100-100,0)</f>
        <v>0</v>
      </c>
      <c r="I63" s="20">
        <v>0</v>
      </c>
      <c r="J63" s="40">
        <f t="shared" si="4"/>
        <v>0</v>
      </c>
      <c r="K63" s="20">
        <f t="shared" ref="K63:K64" si="13">+C63-I63</f>
        <v>0</v>
      </c>
      <c r="L63" s="89">
        <f>+IFERROR(C63/I63*100-100,0)</f>
        <v>0</v>
      </c>
      <c r="M63" s="71" t="s">
        <v>132</v>
      </c>
    </row>
    <row r="64" spans="1:15" s="2" customFormat="1" ht="15" customHeight="1">
      <c r="A64" s="15"/>
      <c r="B64" s="16" t="s">
        <v>58</v>
      </c>
      <c r="C64" s="17">
        <f>+C62-C63</f>
        <v>-321817090.45000029</v>
      </c>
      <c r="D64" s="39">
        <f t="shared" si="0"/>
        <v>-3.9609719798884919</v>
      </c>
      <c r="E64" s="17">
        <f>+E62-E63</f>
        <v>-278148441.60002089</v>
      </c>
      <c r="F64" s="39">
        <f t="shared" si="7"/>
        <v>-3.4234918409297683</v>
      </c>
      <c r="G64" s="17">
        <f t="shared" si="12"/>
        <v>-43668648.849979401</v>
      </c>
      <c r="H64" s="93">
        <f t="shared" ref="H64" si="14">+C64/E64*100-100</f>
        <v>15.699763981699817</v>
      </c>
      <c r="I64" s="17">
        <f>+I62-I63</f>
        <v>-247548326.07999945</v>
      </c>
      <c r="J64" s="39">
        <f t="shared" si="4"/>
        <v>-3.2382412794507895</v>
      </c>
      <c r="K64" s="17">
        <f t="shared" si="13"/>
        <v>-74268764.370000839</v>
      </c>
      <c r="L64" s="93">
        <f t="shared" ref="L64" si="15">+C64/I64*100-100</f>
        <v>30.001723520440862</v>
      </c>
      <c r="M64" s="80" t="s">
        <v>136</v>
      </c>
    </row>
    <row r="65" spans="1:13" s="2" customFormat="1" ht="15" customHeight="1">
      <c r="A65" s="15"/>
      <c r="B65" s="16" t="s">
        <v>182</v>
      </c>
      <c r="C65" s="17">
        <f>+C64+C46</f>
        <v>-160721352.81000027</v>
      </c>
      <c r="D65" s="39">
        <f t="shared" si="0"/>
        <v>-1.9781819982276301</v>
      </c>
      <c r="E65" s="17">
        <f>+E64+E46</f>
        <v>-120136429.61002088</v>
      </c>
      <c r="F65" s="39">
        <f t="shared" si="7"/>
        <v>-1.4786568071439052</v>
      </c>
      <c r="G65" s="17">
        <f t="shared" ref="G65" si="16">+C65-E65</f>
        <v>-40584923.199979395</v>
      </c>
      <c r="H65" s="93">
        <f t="shared" ref="H65" si="17">+C65/E65*100-100</f>
        <v>33.78236171303206</v>
      </c>
      <c r="I65" s="17">
        <f>+I64+I46</f>
        <v>-98261925.689999431</v>
      </c>
      <c r="J65" s="39">
        <f t="shared" si="4"/>
        <v>-1.2853887117978402</v>
      </c>
      <c r="K65" s="17">
        <f t="shared" ref="K65" si="18">+C65-I65</f>
        <v>-62459427.120000839</v>
      </c>
      <c r="L65" s="93">
        <f t="shared" ref="L65" si="19">+C65/I65*100-100</f>
        <v>63.564220506984839</v>
      </c>
      <c r="M65" s="80" t="s">
        <v>135</v>
      </c>
    </row>
    <row r="66" spans="1:13" s="2" customFormat="1" ht="15" customHeight="1">
      <c r="A66" s="15"/>
      <c r="B66" s="16" t="s">
        <v>75</v>
      </c>
      <c r="C66" s="17">
        <f>+C6-(C39-C57)</f>
        <v>9958087.7499995232</v>
      </c>
      <c r="D66" s="39">
        <f t="shared" si="0"/>
        <v>0.12256560549927412</v>
      </c>
      <c r="E66" s="17">
        <f>+E6-(E39-E57)</f>
        <v>61355367.279979229</v>
      </c>
      <c r="F66" s="39">
        <f>+E66/$E$2*100</f>
        <v>0.75517086513938025</v>
      </c>
      <c r="G66" s="17">
        <f>+C66-E66</f>
        <v>-51397279.529979706</v>
      </c>
      <c r="H66" s="93">
        <f t="shared" ref="H66" si="20">+C66/E66*100-100</f>
        <v>-83.769818042880615</v>
      </c>
      <c r="I66" s="17">
        <f>+I6-(I39-I57)</f>
        <v>51580161.450000286</v>
      </c>
      <c r="J66" s="39">
        <f t="shared" si="4"/>
        <v>0.67473293256747358</v>
      </c>
      <c r="K66" s="17">
        <f>+C66-I66</f>
        <v>-41622073.700000763</v>
      </c>
      <c r="L66" s="93">
        <f t="shared" ref="L66" si="21">+C66/I66*100-100</f>
        <v>-80.693957773566709</v>
      </c>
      <c r="M66" s="80" t="s">
        <v>134</v>
      </c>
    </row>
    <row r="67" spans="1:13" s="2" customFormat="1" ht="15" customHeight="1">
      <c r="A67" s="15"/>
      <c r="B67" s="16" t="s">
        <v>0</v>
      </c>
      <c r="C67" s="17">
        <f>+C68+C69</f>
        <v>803793986.27999997</v>
      </c>
      <c r="D67" s="39">
        <f t="shared" si="0"/>
        <v>9.8932143498221468</v>
      </c>
      <c r="E67" s="17">
        <f>+E68+E69</f>
        <v>820911645.75999999</v>
      </c>
      <c r="F67" s="39">
        <f t="shared" si="7"/>
        <v>10.103901014929782</v>
      </c>
      <c r="G67" s="17">
        <f t="shared" ref="G67" si="22">+C67-E67</f>
        <v>-17117659.480000019</v>
      </c>
      <c r="H67" s="93">
        <f t="shared" ref="H67" si="23">+C67/E67*100-100</f>
        <v>-2.0852011989856152</v>
      </c>
      <c r="I67" s="17">
        <f>+I68+I69</f>
        <v>495640543.03000003</v>
      </c>
      <c r="J67" s="39">
        <f t="shared" si="4"/>
        <v>6.4835973307711532</v>
      </c>
      <c r="K67" s="17">
        <f t="shared" ref="K67" si="24">+C67-I67</f>
        <v>308153443.24999994</v>
      </c>
      <c r="L67" s="93">
        <f t="shared" ref="L67" si="25">+C67/I67*100-100</f>
        <v>62.17276766064478</v>
      </c>
      <c r="M67" s="80" t="s">
        <v>137</v>
      </c>
    </row>
    <row r="68" spans="1:13">
      <c r="A68" s="21">
        <v>4611</v>
      </c>
      <c r="B68" s="22" t="s">
        <v>175</v>
      </c>
      <c r="C68" s="23">
        <v>56819301.560000002</v>
      </c>
      <c r="D68" s="41">
        <f t="shared" si="0"/>
        <v>0.69934030253424739</v>
      </c>
      <c r="E68" s="23">
        <v>56781644.759999998</v>
      </c>
      <c r="F68" s="41">
        <f t="shared" si="7"/>
        <v>0.69887681711324723</v>
      </c>
      <c r="G68" s="23">
        <f t="shared" ref="G68:G77" si="26">+C68-E68</f>
        <v>37656.80000000447</v>
      </c>
      <c r="H68" s="94">
        <f t="shared" ref="H68:H78" si="27">+C68/E68*100-100</f>
        <v>6.6318614332445236E-2</v>
      </c>
      <c r="I68" s="23">
        <v>206764325.04000002</v>
      </c>
      <c r="J68" s="41">
        <f t="shared" si="4"/>
        <v>2.7047356088601919</v>
      </c>
      <c r="K68" s="23">
        <f t="shared" ref="K68:K71" si="28">+C68-I68</f>
        <v>-149945023.48000002</v>
      </c>
      <c r="L68" s="94">
        <f t="shared" ref="L68:L71" si="29">+C68/I68*100-100</f>
        <v>-72.519775087405478</v>
      </c>
      <c r="M68" s="72" t="s">
        <v>138</v>
      </c>
    </row>
    <row r="69" spans="1:13" ht="15" customHeight="1">
      <c r="A69" s="21">
        <v>4612</v>
      </c>
      <c r="B69" s="22" t="s">
        <v>176</v>
      </c>
      <c r="C69" s="23">
        <v>746974684.72000003</v>
      </c>
      <c r="D69" s="41">
        <f t="shared" si="0"/>
        <v>9.1938740472879008</v>
      </c>
      <c r="E69" s="23">
        <v>764130001</v>
      </c>
      <c r="F69" s="41">
        <f t="shared" si="7"/>
        <v>9.4050241978165339</v>
      </c>
      <c r="G69" s="23">
        <f t="shared" si="26"/>
        <v>-17155316.279999971</v>
      </c>
      <c r="H69" s="94">
        <f t="shared" si="27"/>
        <v>-2.2450782272059939</v>
      </c>
      <c r="I69" s="23">
        <v>288876217.99000001</v>
      </c>
      <c r="J69" s="41">
        <f t="shared" si="4"/>
        <v>3.7788617219109617</v>
      </c>
      <c r="K69" s="23">
        <f t="shared" si="28"/>
        <v>458098466.73000002</v>
      </c>
      <c r="L69" s="94">
        <f t="shared" si="29"/>
        <v>158.57950160018294</v>
      </c>
      <c r="M69" s="72" t="s">
        <v>139</v>
      </c>
    </row>
    <row r="70" spans="1:13" s="2" customFormat="1" ht="15" customHeight="1">
      <c r="A70" s="81">
        <v>4418</v>
      </c>
      <c r="B70" s="16" t="s">
        <v>62</v>
      </c>
      <c r="C70" s="17">
        <v>1485604.84</v>
      </c>
      <c r="D70" s="39">
        <f t="shared" si="0"/>
        <v>1.8285042401565598E-2</v>
      </c>
      <c r="E70" s="17">
        <v>34201934.24000001</v>
      </c>
      <c r="F70" s="39">
        <f t="shared" si="7"/>
        <v>0.42096242618188995</v>
      </c>
      <c r="G70" s="17">
        <f t="shared" si="26"/>
        <v>-32716329.40000001</v>
      </c>
      <c r="H70" s="93">
        <f t="shared" si="27"/>
        <v>-95.656371860213255</v>
      </c>
      <c r="I70" s="17">
        <v>3269563.45</v>
      </c>
      <c r="J70" s="39">
        <f t="shared" si="4"/>
        <v>4.2769973431983396E-2</v>
      </c>
      <c r="K70" s="17">
        <f t="shared" si="28"/>
        <v>-1783958.61</v>
      </c>
      <c r="L70" s="93">
        <f t="shared" si="29"/>
        <v>-54.56259336395506</v>
      </c>
      <c r="M70" s="80" t="s">
        <v>140</v>
      </c>
    </row>
    <row r="71" spans="1:13" s="2" customFormat="1" ht="15" customHeight="1">
      <c r="A71" s="81">
        <v>45</v>
      </c>
      <c r="B71" s="16" t="s">
        <v>44</v>
      </c>
      <c r="C71" s="17">
        <v>9176536.5</v>
      </c>
      <c r="D71" s="39">
        <f t="shared" si="0"/>
        <v>0.11294615801198814</v>
      </c>
      <c r="E71" s="17">
        <v>7500007.9999999981</v>
      </c>
      <c r="F71" s="39">
        <f t="shared" si="7"/>
        <v>9.2311199182739029E-2</v>
      </c>
      <c r="G71" s="17">
        <f t="shared" si="26"/>
        <v>1676528.5000000019</v>
      </c>
      <c r="H71" s="93">
        <f t="shared" si="27"/>
        <v>22.353689489397908</v>
      </c>
      <c r="I71" s="17">
        <v>9152704.9900000002</v>
      </c>
      <c r="J71" s="39">
        <f t="shared" si="4"/>
        <v>0.119728812497302</v>
      </c>
      <c r="K71" s="17">
        <f t="shared" si="28"/>
        <v>23831.509999999776</v>
      </c>
      <c r="L71" s="93">
        <f t="shared" si="29"/>
        <v>0.26037668673946257</v>
      </c>
      <c r="M71" s="80" t="s">
        <v>107</v>
      </c>
    </row>
    <row r="72" spans="1:13" s="2" customFormat="1" ht="15" customHeight="1">
      <c r="A72" s="15"/>
      <c r="B72" s="16" t="s">
        <v>53</v>
      </c>
      <c r="C72" s="17">
        <f>+C64-C67-C70-C71</f>
        <v>-1136273218.0700002</v>
      </c>
      <c r="D72" s="39">
        <f t="shared" si="0"/>
        <v>-13.985417530124192</v>
      </c>
      <c r="E72" s="17">
        <f>+E64-E67-E70-E71</f>
        <v>-1140762029.6000209</v>
      </c>
      <c r="F72" s="39">
        <f t="shared" si="7"/>
        <v>-14.040666481224179</v>
      </c>
      <c r="G72" s="17">
        <f t="shared" si="26"/>
        <v>4488811.5300207138</v>
      </c>
      <c r="H72" s="93">
        <f t="shared" si="27"/>
        <v>-0.39349236857003689</v>
      </c>
      <c r="I72" s="17">
        <f>+I64-I67-I70-I71</f>
        <v>-755611137.54999948</v>
      </c>
      <c r="J72" s="39">
        <f t="shared" si="4"/>
        <v>-9.8843373961512278</v>
      </c>
      <c r="K72" s="17">
        <f t="shared" ref="K72:K78" si="30">+C72-I72</f>
        <v>-380662080.5200007</v>
      </c>
      <c r="L72" s="93">
        <f t="shared" ref="L72:L78" si="31">+C72/I72*100-100</f>
        <v>50.378039920674411</v>
      </c>
      <c r="M72" s="80" t="s">
        <v>141</v>
      </c>
    </row>
    <row r="73" spans="1:13" s="2" customFormat="1" ht="15" customHeight="1">
      <c r="A73" s="15"/>
      <c r="B73" s="16" t="s">
        <v>48</v>
      </c>
      <c r="C73" s="17">
        <f>SUM(C74:C78)+C63</f>
        <v>1136273218.0700002</v>
      </c>
      <c r="D73" s="39">
        <f t="shared" ref="D73:D78" si="32">+C73/$C$2*100</f>
        <v>13.985417530124192</v>
      </c>
      <c r="E73" s="17">
        <f>SUM(E74:E78)+E63</f>
        <v>1140762029.6000209</v>
      </c>
      <c r="F73" s="39">
        <f t="shared" si="7"/>
        <v>14.040666481224179</v>
      </c>
      <c r="G73" s="17">
        <f t="shared" si="26"/>
        <v>-4488811.5300207138</v>
      </c>
      <c r="H73" s="93">
        <f t="shared" si="27"/>
        <v>-0.39349236857003689</v>
      </c>
      <c r="I73" s="17">
        <f>SUM(I74:I78)+I63</f>
        <v>755611137.54999948</v>
      </c>
      <c r="J73" s="39">
        <f t="shared" ref="J73:J78" si="33">+I73/$I$2*100</f>
        <v>9.8843373961512278</v>
      </c>
      <c r="K73" s="17">
        <f t="shared" si="30"/>
        <v>380662080.5200007</v>
      </c>
      <c r="L73" s="93">
        <f t="shared" si="31"/>
        <v>50.378039920674411</v>
      </c>
      <c r="M73" s="80" t="s">
        <v>142</v>
      </c>
    </row>
    <row r="74" spans="1:13">
      <c r="A74" s="21">
        <v>7511</v>
      </c>
      <c r="B74" s="22" t="s">
        <v>54</v>
      </c>
      <c r="C74" s="23">
        <v>55994697</v>
      </c>
      <c r="D74" s="41">
        <f t="shared" si="32"/>
        <v>0.68919094858887098</v>
      </c>
      <c r="E74" s="23">
        <v>115000000</v>
      </c>
      <c r="F74" s="41">
        <f t="shared" si="7"/>
        <v>1.4154368776693294</v>
      </c>
      <c r="G74" s="23">
        <f t="shared" si="26"/>
        <v>-59005303</v>
      </c>
      <c r="H74" s="94">
        <f>IFERROR(+C74/E74*100-100,0)</f>
        <v>-51.308959130434786</v>
      </c>
      <c r="I74" s="23">
        <v>0</v>
      </c>
      <c r="J74" s="41">
        <f t="shared" si="33"/>
        <v>0</v>
      </c>
      <c r="K74" s="23">
        <f t="shared" si="30"/>
        <v>55994697</v>
      </c>
      <c r="L74" s="94">
        <f>+IFERROR(C74/I74*100-100,0)</f>
        <v>0</v>
      </c>
      <c r="M74" s="72" t="s">
        <v>143</v>
      </c>
    </row>
    <row r="75" spans="1:13" ht="15" customHeight="1">
      <c r="A75" s="21">
        <v>7512</v>
      </c>
      <c r="B75" s="22" t="s">
        <v>49</v>
      </c>
      <c r="C75" s="23">
        <v>1413791710.5800002</v>
      </c>
      <c r="D75" s="41">
        <f t="shared" si="32"/>
        <v>17.401155865201179</v>
      </c>
      <c r="E75" s="23">
        <v>770014118.59000003</v>
      </c>
      <c r="F75" s="41">
        <f t="shared" si="7"/>
        <v>9.4774467806811327</v>
      </c>
      <c r="G75" s="23">
        <f t="shared" si="26"/>
        <v>643777591.99000013</v>
      </c>
      <c r="H75" s="94">
        <f>+IFERROR(C75/E75*100-100,0)</f>
        <v>83.605946494701158</v>
      </c>
      <c r="I75" s="23">
        <v>942124812.58999991</v>
      </c>
      <c r="J75" s="41">
        <f t="shared" si="33"/>
        <v>12.324169211056795</v>
      </c>
      <c r="K75" s="23">
        <f t="shared" si="30"/>
        <v>471666897.99000025</v>
      </c>
      <c r="L75" s="94">
        <f t="shared" si="31"/>
        <v>50.064162591508278</v>
      </c>
      <c r="M75" s="72" t="s">
        <v>144</v>
      </c>
    </row>
    <row r="76" spans="1:13" ht="15" customHeight="1">
      <c r="A76" s="18">
        <v>72</v>
      </c>
      <c r="B76" s="19" t="s">
        <v>168</v>
      </c>
      <c r="C76" s="20">
        <v>10168205.030000001</v>
      </c>
      <c r="D76" s="40">
        <f t="shared" si="32"/>
        <v>0.12515175981882409</v>
      </c>
      <c r="E76" s="20">
        <v>6000000</v>
      </c>
      <c r="F76" s="40">
        <f t="shared" si="7"/>
        <v>7.3848880574051964E-2</v>
      </c>
      <c r="G76" s="20">
        <f t="shared" si="26"/>
        <v>4168205.0300000012</v>
      </c>
      <c r="H76" s="89">
        <f t="shared" si="27"/>
        <v>69.470083833333348</v>
      </c>
      <c r="I76" s="20">
        <v>2361574.46</v>
      </c>
      <c r="J76" s="40">
        <f t="shared" si="33"/>
        <v>3.0892343414179811E-2</v>
      </c>
      <c r="K76" s="20">
        <f t="shared" si="30"/>
        <v>7806630.5700000012</v>
      </c>
      <c r="L76" s="89">
        <f t="shared" si="31"/>
        <v>330.56889385566956</v>
      </c>
      <c r="M76" s="71" t="s">
        <v>145</v>
      </c>
    </row>
    <row r="77" spans="1:13" ht="15" customHeight="1">
      <c r="A77" s="28">
        <v>73</v>
      </c>
      <c r="B77" s="29" t="s">
        <v>183</v>
      </c>
      <c r="C77" s="30">
        <v>20227804.669999998</v>
      </c>
      <c r="D77" s="40">
        <f t="shared" si="32"/>
        <v>0.24896678855834672</v>
      </c>
      <c r="E77" s="30">
        <v>9747904</v>
      </c>
      <c r="F77" s="40">
        <f t="shared" si="7"/>
        <v>0.11997863305722056</v>
      </c>
      <c r="G77" s="20">
        <f t="shared" si="26"/>
        <v>10479900.669999998</v>
      </c>
      <c r="H77" s="89">
        <f t="shared" si="27"/>
        <v>107.50927245487847</v>
      </c>
      <c r="I77" s="30">
        <v>20319169.149999999</v>
      </c>
      <c r="J77" s="40">
        <f>+I77/$I$2*100</f>
        <v>0.26580011001330361</v>
      </c>
      <c r="K77" s="20">
        <f t="shared" si="30"/>
        <v>-91364.480000000447</v>
      </c>
      <c r="L77" s="89">
        <f t="shared" si="31"/>
        <v>-0.44964673174149539</v>
      </c>
      <c r="M77" s="71" t="s">
        <v>107</v>
      </c>
    </row>
    <row r="78" spans="1:13" ht="15" customHeight="1" thickBot="1">
      <c r="A78" s="24"/>
      <c r="B78" s="25" t="s">
        <v>187</v>
      </c>
      <c r="C78" s="26">
        <f>+-C72-(SUM(C74:C77)+C63)</f>
        <v>-363909199.21000004</v>
      </c>
      <c r="D78" s="42">
        <f t="shared" si="32"/>
        <v>-4.4790478320430296</v>
      </c>
      <c r="E78" s="26">
        <f>+-E72-(SUM(E74:E77)+E63)</f>
        <v>240000007.01002085</v>
      </c>
      <c r="F78" s="42">
        <f t="shared" si="7"/>
        <v>2.9539553092424438</v>
      </c>
      <c r="G78" s="26">
        <f>+C78-E78</f>
        <v>-603909206.22002089</v>
      </c>
      <c r="H78" s="95">
        <f t="shared" si="27"/>
        <v>-251.62882857532813</v>
      </c>
      <c r="I78" s="26">
        <f t="shared" ref="I78" si="34">-I72-SUM(I74:I77)</f>
        <v>-209194418.65000045</v>
      </c>
      <c r="J78" s="42">
        <f t="shared" si="33"/>
        <v>-2.7365242683330493</v>
      </c>
      <c r="K78" s="26">
        <f t="shared" si="30"/>
        <v>-154714780.55999959</v>
      </c>
      <c r="L78" s="95">
        <f t="shared" si="31"/>
        <v>73.957413184550688</v>
      </c>
      <c r="M78" s="75" t="s">
        <v>146</v>
      </c>
    </row>
    <row r="79" spans="1:13" ht="13.5" customHeight="1"/>
    <row r="81" spans="2:9">
      <c r="B81" s="4" t="s">
        <v>188</v>
      </c>
    </row>
    <row r="82" spans="2:9">
      <c r="B82" s="4" t="s">
        <v>190</v>
      </c>
      <c r="I82" s="7"/>
    </row>
  </sheetData>
  <sheetProtection algorithmName="SHA-512" hashValue="9gHjDl8fAnEHSEsd8ECd6Ijk+qUHew/LECjCX+2AU/Up/lF8LapHNF9wBtqCHKlCLd+viUPjGkrFlC4TgT9ZzA==" saltValue="2sFP9Zgt7IstQo7TUwYZZg==" spinCount="100000" sheet="1"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6" customWidth="1"/>
    <col min="9" max="9" width="9.140625" style="6" customWidth="1"/>
    <col min="10" max="10" width="10.42578125" style="7" customWidth="1"/>
    <col min="11" max="11" width="11.140625" style="6" customWidth="1"/>
    <col min="12" max="12" width="11.7109375" style="96" customWidth="1"/>
    <col min="13" max="13" width="54.42578125" style="4" customWidth="1"/>
    <col min="14" max="16384" width="9.140625" style="1"/>
  </cols>
  <sheetData>
    <row r="1" spans="1:16382" ht="18.75" customHeight="1" thickBot="1">
      <c r="B1" s="5"/>
      <c r="M1" s="5"/>
    </row>
    <row r="2" spans="1:16382" ht="15.75" customHeight="1" thickBot="1">
      <c r="A2" s="8" t="s">
        <v>57</v>
      </c>
      <c r="B2" s="8"/>
      <c r="C2" s="128">
        <f>+'Centralna država-ek klas'!C2:D2</f>
        <v>8124700000</v>
      </c>
      <c r="D2" s="129"/>
      <c r="E2" s="128">
        <f>+'Centralna država-ek klas'!E2:F2</f>
        <v>8124700000</v>
      </c>
      <c r="F2" s="129"/>
      <c r="G2" s="9"/>
      <c r="H2" s="97"/>
      <c r="I2" s="128">
        <f>+'Centralna država-ek klas'!I2:J2</f>
        <v>7644530000</v>
      </c>
      <c r="J2" s="129"/>
      <c r="K2" s="9"/>
      <c r="L2" s="97"/>
      <c r="M2" s="8" t="s">
        <v>77</v>
      </c>
    </row>
    <row r="3" spans="1:16382" ht="15" customHeight="1" thickBot="1">
      <c r="A3" s="8"/>
      <c r="B3" s="8"/>
      <c r="C3" s="11"/>
      <c r="D3" s="8"/>
      <c r="E3" s="11"/>
      <c r="F3" s="10"/>
      <c r="G3" s="11"/>
      <c r="H3" s="97"/>
      <c r="I3" s="11"/>
      <c r="J3" s="10"/>
      <c r="K3" s="11"/>
      <c r="L3" s="97"/>
      <c r="M3" s="8"/>
    </row>
    <row r="4" spans="1:16382" ht="15" customHeight="1">
      <c r="A4" s="120" t="s">
        <v>69</v>
      </c>
      <c r="B4" s="118" t="s">
        <v>70</v>
      </c>
      <c r="C4" s="124" t="s">
        <v>191</v>
      </c>
      <c r="D4" s="125"/>
      <c r="E4" s="126" t="s">
        <v>192</v>
      </c>
      <c r="F4" s="127"/>
      <c r="G4" s="122" t="s">
        <v>167</v>
      </c>
      <c r="H4" s="123"/>
      <c r="I4" s="122" t="s">
        <v>193</v>
      </c>
      <c r="J4" s="123"/>
      <c r="K4" s="122" t="s">
        <v>167</v>
      </c>
      <c r="L4" s="123"/>
      <c r="M4" s="116" t="s">
        <v>147</v>
      </c>
    </row>
    <row r="5" spans="1:16382" ht="23.25" customHeight="1">
      <c r="A5" s="121"/>
      <c r="B5" s="119"/>
      <c r="C5" s="12" t="s">
        <v>60</v>
      </c>
      <c r="D5" s="13" t="s">
        <v>55</v>
      </c>
      <c r="E5" s="12" t="s">
        <v>60</v>
      </c>
      <c r="F5" s="13" t="s">
        <v>55</v>
      </c>
      <c r="G5" s="12" t="s">
        <v>63</v>
      </c>
      <c r="H5" s="98" t="s">
        <v>61</v>
      </c>
      <c r="I5" s="12" t="s">
        <v>60</v>
      </c>
      <c r="J5" s="14" t="s">
        <v>55</v>
      </c>
      <c r="K5" s="12" t="s">
        <v>60</v>
      </c>
      <c r="L5" s="100" t="s">
        <v>61</v>
      </c>
      <c r="M5" s="117"/>
    </row>
    <row r="6" spans="1:16382" s="34" customFormat="1" ht="15" customHeight="1">
      <c r="A6" s="31"/>
      <c r="B6" s="32" t="s">
        <v>50</v>
      </c>
      <c r="C6" s="33">
        <f>+C7+C12+C19+C30+C35+C36</f>
        <v>483888657.43000007</v>
      </c>
      <c r="D6" s="43">
        <f>+C6/$C$2*100</f>
        <v>5.9557726122810699</v>
      </c>
      <c r="E6" s="33">
        <f>+E7+E12+E19+E30+E35+E36</f>
        <v>473181021.65920001</v>
      </c>
      <c r="F6" s="43">
        <f t="shared" ref="F6:F62" si="0">+E6/$E$2*100</f>
        <v>5.8239814597363599</v>
      </c>
      <c r="G6" s="33">
        <f>+C6-E6</f>
        <v>10707635.770800054</v>
      </c>
      <c r="H6" s="99">
        <f>+C6/E6*100-100</f>
        <v>2.2629047406115319</v>
      </c>
      <c r="I6" s="33">
        <f>+I7+I12+I19+I30+I35+I36</f>
        <v>432664848.77999997</v>
      </c>
      <c r="J6" s="43">
        <f>+I6/$I$2*100</f>
        <v>5.6597965967822734</v>
      </c>
      <c r="K6" s="33">
        <f>+C6-I6</f>
        <v>51223808.650000095</v>
      </c>
      <c r="L6" s="99">
        <f>+C6/I6*100-100</f>
        <v>11.83914265150905</v>
      </c>
      <c r="M6" s="70" t="s">
        <v>148</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301988320.76000005</v>
      </c>
      <c r="D7" s="40">
        <f t="shared" ref="D7:D66" si="1">+C7/$C$2*100</f>
        <v>3.7169165724272903</v>
      </c>
      <c r="E7" s="20">
        <f>+SUM(E8:E11)</f>
        <v>291109053.79180002</v>
      </c>
      <c r="F7" s="40">
        <f t="shared" si="0"/>
        <v>3.5830129579159848</v>
      </c>
      <c r="G7" s="20">
        <f t="shared" ref="G7:G65" si="2">+C7-E7</f>
        <v>10879266.968200028</v>
      </c>
      <c r="H7" s="89">
        <f t="shared" ref="H7:H62" si="3">+C7/E7*100-100</f>
        <v>3.7371791864573254</v>
      </c>
      <c r="I7" s="20">
        <v>251329296.02999994</v>
      </c>
      <c r="J7" s="40">
        <f t="shared" ref="J7:J66" si="4">+I7/$I$2*100</f>
        <v>3.2877010886215361</v>
      </c>
      <c r="K7" s="20">
        <f>+C7-I7</f>
        <v>50659024.730000108</v>
      </c>
      <c r="L7" s="89">
        <f t="shared" ref="L7:L62" si="5">+C7/I7*100-100</f>
        <v>20.15643441899158</v>
      </c>
      <c r="M7" s="71" t="s">
        <v>78</v>
      </c>
    </row>
    <row r="8" spans="1:16382" ht="15" customHeight="1">
      <c r="A8" s="21">
        <v>7111</v>
      </c>
      <c r="B8" s="22" t="s">
        <v>2</v>
      </c>
      <c r="C8" s="23">
        <v>128398746.08</v>
      </c>
      <c r="D8" s="41">
        <f t="shared" si="1"/>
        <v>1.5803506108533236</v>
      </c>
      <c r="E8" s="23">
        <v>121609005.772</v>
      </c>
      <c r="F8" s="41">
        <f t="shared" si="0"/>
        <v>1.4967814906642707</v>
      </c>
      <c r="G8" s="23">
        <f t="shared" si="2"/>
        <v>6789740.3079999983</v>
      </c>
      <c r="H8" s="94">
        <f t="shared" si="3"/>
        <v>5.5832545171282959</v>
      </c>
      <c r="I8" s="23">
        <v>102461326.19999999</v>
      </c>
      <c r="J8" s="41">
        <f t="shared" si="4"/>
        <v>1.3403221152902793</v>
      </c>
      <c r="K8" s="23">
        <f t="shared" ref="K8:K65" si="6">+C8-I8</f>
        <v>25937419.88000001</v>
      </c>
      <c r="L8" s="94">
        <f t="shared" si="5"/>
        <v>25.314351123438826</v>
      </c>
      <c r="M8" s="72" t="s">
        <v>79</v>
      </c>
    </row>
    <row r="9" spans="1:16382" ht="15" customHeight="1">
      <c r="A9" s="21">
        <v>71131</v>
      </c>
      <c r="B9" s="22" t="s">
        <v>65</v>
      </c>
      <c r="C9" s="23">
        <v>111105673.15000002</v>
      </c>
      <c r="D9" s="41">
        <f t="shared" si="1"/>
        <v>1.3675049312590006</v>
      </c>
      <c r="E9" s="23">
        <v>106997744.8348</v>
      </c>
      <c r="F9" s="41">
        <f t="shared" si="0"/>
        <v>1.3169439466663384</v>
      </c>
      <c r="G9" s="23">
        <f t="shared" ref="G9" si="7">+C9-E9</f>
        <v>4107928.3152000159</v>
      </c>
      <c r="H9" s="94">
        <f t="shared" ref="H9" si="8">+C9/E9*100-100</f>
        <v>3.839266258875341</v>
      </c>
      <c r="I9" s="23">
        <v>96224287.579999998</v>
      </c>
      <c r="J9" s="41">
        <f t="shared" ref="J9" si="9">+I9/$I$2*100</f>
        <v>1.2587338604204574</v>
      </c>
      <c r="K9" s="23">
        <f t="shared" ref="K9" si="10">+C9-I9</f>
        <v>14881385.570000023</v>
      </c>
      <c r="L9" s="94">
        <f t="shared" ref="L9" si="11">+C9/I9*100-100</f>
        <v>15.465311247566021</v>
      </c>
      <c r="M9" s="72" t="s">
        <v>149</v>
      </c>
    </row>
    <row r="10" spans="1:16382" ht="15" customHeight="1">
      <c r="A10" s="21">
        <v>71132</v>
      </c>
      <c r="B10" s="22" t="s">
        <v>4</v>
      </c>
      <c r="C10" s="23">
        <v>30291129.840000007</v>
      </c>
      <c r="D10" s="41">
        <f t="shared" si="1"/>
        <v>0.37282767166787706</v>
      </c>
      <c r="E10" s="23">
        <v>31380516.379799999</v>
      </c>
      <c r="F10" s="41">
        <f t="shared" si="0"/>
        <v>0.38623600108065526</v>
      </c>
      <c r="G10" s="23">
        <f t="shared" si="2"/>
        <v>-1089386.539799992</v>
      </c>
      <c r="H10" s="94">
        <f t="shared" si="3"/>
        <v>-3.4715379651981948</v>
      </c>
      <c r="I10" s="23">
        <v>25830675.829999998</v>
      </c>
      <c r="J10" s="41">
        <f t="shared" si="4"/>
        <v>0.33789750095820148</v>
      </c>
      <c r="K10" s="23">
        <f t="shared" si="6"/>
        <v>4460454.0100000091</v>
      </c>
      <c r="L10" s="94">
        <f t="shared" si="5"/>
        <v>17.268049970336421</v>
      </c>
      <c r="M10" s="72" t="s">
        <v>81</v>
      </c>
    </row>
    <row r="11" spans="1:16382" ht="15" customHeight="1">
      <c r="A11" s="106" t="s">
        <v>185</v>
      </c>
      <c r="B11" s="22" t="s">
        <v>186</v>
      </c>
      <c r="C11" s="23">
        <v>32192771.689999998</v>
      </c>
      <c r="D11" s="41">
        <f t="shared" si="1"/>
        <v>0.39623335864708853</v>
      </c>
      <c r="E11" s="23">
        <v>31121786.805199999</v>
      </c>
      <c r="F11" s="41">
        <f t="shared" si="0"/>
        <v>0.38305151950472016</v>
      </c>
      <c r="G11" s="23">
        <f t="shared" si="2"/>
        <v>1070984.8847999983</v>
      </c>
      <c r="H11" s="94">
        <f t="shared" si="3"/>
        <v>3.4412705526954284</v>
      </c>
      <c r="I11" s="23">
        <v>26813006.419999994</v>
      </c>
      <c r="J11" s="41">
        <f t="shared" si="4"/>
        <v>0.35074761195259868</v>
      </c>
      <c r="K11" s="23">
        <f t="shared" si="6"/>
        <v>5379765.2700000033</v>
      </c>
      <c r="L11" s="94">
        <f t="shared" si="5"/>
        <v>20.064013657145139</v>
      </c>
      <c r="M11" s="72" t="s">
        <v>156</v>
      </c>
    </row>
    <row r="12" spans="1:16382" ht="15" customHeight="1">
      <c r="A12" s="18">
        <v>713</v>
      </c>
      <c r="B12" s="19" t="s">
        <v>13</v>
      </c>
      <c r="C12" s="69">
        <f>C13+C17+C18</f>
        <v>5551051.5500000007</v>
      </c>
      <c r="D12" s="40">
        <f t="shared" si="1"/>
        <v>6.8323157162726009E-2</v>
      </c>
      <c r="E12" s="69">
        <f>E13+E17+E18+E14+E15</f>
        <v>5693316.0952000003</v>
      </c>
      <c r="F12" s="40">
        <f t="shared" si="0"/>
        <v>7.0074170064125446E-2</v>
      </c>
      <c r="G12" s="20">
        <f t="shared" si="2"/>
        <v>-142264.54519999959</v>
      </c>
      <c r="H12" s="89">
        <f t="shared" si="3"/>
        <v>-2.4987993433201723</v>
      </c>
      <c r="I12" s="69">
        <v>5371052.9199999999</v>
      </c>
      <c r="J12" s="40">
        <f t="shared" si="4"/>
        <v>7.026008034503102E-2</v>
      </c>
      <c r="K12" s="20">
        <f t="shared" si="6"/>
        <v>179998.63000000082</v>
      </c>
      <c r="L12" s="89">
        <f t="shared" si="5"/>
        <v>3.3512726960806276</v>
      </c>
      <c r="M12" s="71" t="s">
        <v>91</v>
      </c>
    </row>
    <row r="13" spans="1:16382">
      <c r="A13" s="21">
        <v>7131</v>
      </c>
      <c r="B13" s="22" t="s">
        <v>14</v>
      </c>
      <c r="C13" s="107">
        <v>1260597.6500000001</v>
      </c>
      <c r="D13" s="41">
        <f t="shared" si="1"/>
        <v>1.5515620884463429E-2</v>
      </c>
      <c r="E13" s="107">
        <v>1173824.4430000002</v>
      </c>
      <c r="F13" s="41">
        <f t="shared" si="0"/>
        <v>1.4447603517668347E-2</v>
      </c>
      <c r="G13" s="23">
        <f t="shared" si="2"/>
        <v>86773.206999999937</v>
      </c>
      <c r="H13" s="94">
        <f t="shared" si="3"/>
        <v>7.3923496411634915</v>
      </c>
      <c r="I13" s="23">
        <v>1107381.5500000003</v>
      </c>
      <c r="J13" s="41">
        <f t="shared" si="4"/>
        <v>1.4485933733009097E-2</v>
      </c>
      <c r="K13" s="23">
        <f t="shared" si="6"/>
        <v>153216.09999999986</v>
      </c>
      <c r="L13" s="94">
        <f t="shared" si="5"/>
        <v>13.835890619633304</v>
      </c>
      <c r="M13" s="72" t="s">
        <v>92</v>
      </c>
    </row>
    <row r="14" spans="1:16382" hidden="1">
      <c r="A14" s="21"/>
      <c r="B14" s="22"/>
      <c r="C14" s="107"/>
      <c r="D14" s="41"/>
      <c r="E14" s="107"/>
      <c r="F14" s="41"/>
      <c r="G14" s="23"/>
      <c r="H14" s="94"/>
      <c r="I14" s="23"/>
      <c r="J14" s="41"/>
      <c r="K14" s="23"/>
      <c r="L14" s="94"/>
      <c r="M14" s="72"/>
    </row>
    <row r="15" spans="1:16382" ht="14.25" hidden="1" customHeight="1">
      <c r="A15" s="21"/>
      <c r="B15" s="22"/>
      <c r="C15" s="107"/>
      <c r="D15" s="41"/>
      <c r="E15" s="107"/>
      <c r="F15" s="41"/>
      <c r="G15" s="23"/>
      <c r="H15" s="94"/>
      <c r="I15" s="23"/>
      <c r="J15" s="41"/>
      <c r="K15" s="23"/>
      <c r="L15" s="94"/>
      <c r="M15" s="72"/>
    </row>
    <row r="16" spans="1:16382" hidden="1">
      <c r="A16" s="21"/>
      <c r="B16" s="22"/>
      <c r="C16" s="107"/>
      <c r="D16" s="41"/>
      <c r="E16" s="107"/>
      <c r="F16" s="41"/>
      <c r="G16" s="23"/>
      <c r="H16" s="94"/>
      <c r="I16" s="23"/>
      <c r="J16" s="41"/>
      <c r="K16" s="23"/>
      <c r="L16" s="94"/>
      <c r="M16" s="72"/>
    </row>
    <row r="17" spans="1:13" ht="15" customHeight="1">
      <c r="A17" s="21">
        <v>7135</v>
      </c>
      <c r="B17" s="22" t="s">
        <v>17</v>
      </c>
      <c r="C17" s="107">
        <v>2374293.33</v>
      </c>
      <c r="D17" s="41">
        <f t="shared" si="1"/>
        <v>2.9223150762489693E-2</v>
      </c>
      <c r="E17" s="107">
        <v>2970352.1505999998</v>
      </c>
      <c r="F17" s="41">
        <f t="shared" ref="F17" si="12">+E17/$E$2*100</f>
        <v>3.655953020542297E-2</v>
      </c>
      <c r="G17" s="23">
        <f t="shared" ref="G17" si="13">+C17-E17</f>
        <v>-596058.82059999974</v>
      </c>
      <c r="H17" s="94">
        <f t="shared" ref="H17" si="14">+C17/E17*100-100</f>
        <v>-20.066941237240115</v>
      </c>
      <c r="I17" s="23">
        <v>2802219.01</v>
      </c>
      <c r="J17" s="41">
        <f t="shared" ref="J17" si="15">+I17/$I$2*100</f>
        <v>3.665652446913021E-2</v>
      </c>
      <c r="K17" s="23">
        <f t="shared" ref="K17" si="16">+C17-I17</f>
        <v>-427925.6799999997</v>
      </c>
      <c r="L17" s="94">
        <f t="shared" ref="L17" si="17">+C17/I17*100-100</f>
        <v>-15.270957711474509</v>
      </c>
      <c r="M17" s="72" t="s">
        <v>152</v>
      </c>
    </row>
    <row r="18" spans="1:13" ht="15" customHeight="1">
      <c r="A18" s="21">
        <v>7136</v>
      </c>
      <c r="B18" s="22" t="s">
        <v>18</v>
      </c>
      <c r="C18" s="107">
        <v>1916160.57</v>
      </c>
      <c r="D18" s="41">
        <f t="shared" si="1"/>
        <v>2.3584385515772889E-2</v>
      </c>
      <c r="E18" s="107">
        <v>1549139.5016000005</v>
      </c>
      <c r="F18" s="41">
        <f t="shared" si="0"/>
        <v>1.9067036341034137E-2</v>
      </c>
      <c r="G18" s="23">
        <f t="shared" si="2"/>
        <v>367021.06839999952</v>
      </c>
      <c r="H18" s="94">
        <f t="shared" si="3"/>
        <v>23.691931425215643</v>
      </c>
      <c r="I18" s="23">
        <v>1461452.3600000003</v>
      </c>
      <c r="J18" s="41">
        <f t="shared" si="4"/>
        <v>1.9117622142891717E-2</v>
      </c>
      <c r="K18" s="23">
        <f t="shared" si="6"/>
        <v>454708.20999999973</v>
      </c>
      <c r="L18" s="94">
        <f t="shared" si="5"/>
        <v>31.113447310728617</v>
      </c>
      <c r="M18" s="72" t="s">
        <v>95</v>
      </c>
    </row>
    <row r="19" spans="1:13" ht="15" customHeight="1">
      <c r="A19" s="18">
        <v>714</v>
      </c>
      <c r="B19" s="19" t="s">
        <v>19</v>
      </c>
      <c r="C19" s="20">
        <v>89050574.640000015</v>
      </c>
      <c r="D19" s="40">
        <f t="shared" si="1"/>
        <v>1.0960475419400102</v>
      </c>
      <c r="E19" s="20">
        <f>+SUM(E20:E29)</f>
        <v>89284827.913800001</v>
      </c>
      <c r="F19" s="40">
        <f t="shared" si="0"/>
        <v>1.0989307656134994</v>
      </c>
      <c r="G19" s="20">
        <f t="shared" si="2"/>
        <v>-234253.27379998565</v>
      </c>
      <c r="H19" s="89">
        <f t="shared" si="3"/>
        <v>-0.26236627126183976</v>
      </c>
      <c r="I19" s="20">
        <v>84248071.330000013</v>
      </c>
      <c r="J19" s="40">
        <f t="shared" si="4"/>
        <v>1.1020699942311694</v>
      </c>
      <c r="K19" s="20">
        <f t="shared" si="6"/>
        <v>4802503.3100000024</v>
      </c>
      <c r="L19" s="89">
        <f t="shared" si="5"/>
        <v>5.7004311602441078</v>
      </c>
      <c r="M19" s="71" t="s">
        <v>96</v>
      </c>
    </row>
    <row r="20" spans="1:13" ht="15" customHeight="1">
      <c r="A20" s="21">
        <v>7141</v>
      </c>
      <c r="B20" s="22" t="s">
        <v>20</v>
      </c>
      <c r="C20" s="23">
        <v>4811915.87</v>
      </c>
      <c r="D20" s="41">
        <f t="shared" si="1"/>
        <v>5.9225766736002564E-2</v>
      </c>
      <c r="E20" s="107">
        <v>4946861.2120000003</v>
      </c>
      <c r="F20" s="41">
        <f t="shared" si="0"/>
        <v>6.0886693810232997E-2</v>
      </c>
      <c r="G20" s="23">
        <f t="shared" si="2"/>
        <v>-134945.34200000018</v>
      </c>
      <c r="H20" s="94">
        <f t="shared" si="3"/>
        <v>-2.7278982816953175</v>
      </c>
      <c r="I20" s="23">
        <v>4665258.0100000007</v>
      </c>
      <c r="J20" s="41">
        <f t="shared" si="4"/>
        <v>6.1027401422978265E-2</v>
      </c>
      <c r="K20" s="23">
        <f t="shared" si="6"/>
        <v>146657.8599999994</v>
      </c>
      <c r="L20" s="94">
        <f t="shared" si="5"/>
        <v>3.143617345185163</v>
      </c>
      <c r="M20" s="72" t="s">
        <v>97</v>
      </c>
    </row>
    <row r="21" spans="1:13" ht="15" customHeight="1">
      <c r="A21" s="21">
        <v>7142</v>
      </c>
      <c r="B21" s="22" t="s">
        <v>21</v>
      </c>
      <c r="C21" s="23">
        <v>11820964.049999997</v>
      </c>
      <c r="D21" s="41">
        <f t="shared" si="1"/>
        <v>0.14549416039976856</v>
      </c>
      <c r="E21" s="107">
        <v>10386089.180400001</v>
      </c>
      <c r="F21" s="41">
        <f t="shared" si="0"/>
        <v>0.12783350991913547</v>
      </c>
      <c r="G21" s="23">
        <f t="shared" si="2"/>
        <v>1434874.8695999961</v>
      </c>
      <c r="H21" s="94">
        <f t="shared" si="3"/>
        <v>13.815352869372674</v>
      </c>
      <c r="I21" s="23">
        <v>9798197.3399999999</v>
      </c>
      <c r="J21" s="41">
        <f t="shared" si="4"/>
        <v>0.12817265861995439</v>
      </c>
      <c r="K21" s="23">
        <f t="shared" si="6"/>
        <v>2022766.7099999972</v>
      </c>
      <c r="L21" s="94">
        <f t="shared" si="5"/>
        <v>20.644274041535041</v>
      </c>
      <c r="M21" s="72" t="s">
        <v>98</v>
      </c>
    </row>
    <row r="22" spans="1:13" hidden="1">
      <c r="A22" s="21">
        <v>7143</v>
      </c>
      <c r="B22" s="22" t="s">
        <v>22</v>
      </c>
      <c r="C22" s="23"/>
      <c r="D22" s="41">
        <f t="shared" si="1"/>
        <v>0</v>
      </c>
      <c r="E22" s="23">
        <v>0</v>
      </c>
      <c r="F22" s="41">
        <f t="shared" si="0"/>
        <v>0</v>
      </c>
      <c r="G22" s="23">
        <f t="shared" si="2"/>
        <v>0</v>
      </c>
      <c r="H22" s="94" t="e">
        <f t="shared" si="3"/>
        <v>#DIV/0!</v>
      </c>
      <c r="I22" s="23"/>
      <c r="J22" s="41">
        <f t="shared" si="4"/>
        <v>0</v>
      </c>
      <c r="K22" s="23">
        <f t="shared" si="6"/>
        <v>0</v>
      </c>
      <c r="L22" s="94" t="e">
        <f t="shared" si="5"/>
        <v>#DIV/0!</v>
      </c>
      <c r="M22" s="72" t="s">
        <v>99</v>
      </c>
    </row>
    <row r="23" spans="1:13" hidden="1">
      <c r="A23" s="21">
        <v>7144</v>
      </c>
      <c r="B23" s="22" t="s">
        <v>23</v>
      </c>
      <c r="C23" s="23"/>
      <c r="D23" s="41">
        <f>+C23/$C$2*100</f>
        <v>0</v>
      </c>
      <c r="E23" s="23">
        <v>0</v>
      </c>
      <c r="F23" s="41">
        <f>+E23/$E$2*100</f>
        <v>0</v>
      </c>
      <c r="G23" s="23">
        <f>+C23-E23</f>
        <v>0</v>
      </c>
      <c r="H23" s="94" t="e">
        <f>+C23/E23*100-100</f>
        <v>#DIV/0!</v>
      </c>
      <c r="I23" s="23"/>
      <c r="J23" s="41">
        <f>+I23/$I$2*100</f>
        <v>0</v>
      </c>
      <c r="K23" s="23">
        <f>+C23-I23</f>
        <v>0</v>
      </c>
      <c r="L23" s="94" t="e">
        <f>+C23/I23*100-100</f>
        <v>#DIV/0!</v>
      </c>
      <c r="M23" s="72" t="s">
        <v>100</v>
      </c>
    </row>
    <row r="24" spans="1:13" ht="15.75" hidden="1" customHeight="1">
      <c r="A24" s="21"/>
      <c r="B24" s="22" t="s">
        <v>24</v>
      </c>
      <c r="C24" s="23"/>
      <c r="D24" s="41"/>
      <c r="E24" s="23">
        <v>0</v>
      </c>
      <c r="F24" s="41">
        <f>+E24/$E$2*100</f>
        <v>0</v>
      </c>
      <c r="G24" s="23"/>
      <c r="H24" s="94"/>
      <c r="I24" s="23"/>
      <c r="J24" s="41">
        <f>+I24/$I$2*100</f>
        <v>0</v>
      </c>
      <c r="K24" s="23">
        <f>+C24-I24</f>
        <v>0</v>
      </c>
      <c r="L24" s="94" t="e">
        <f>+C24/I24*100-100</f>
        <v>#DIV/0!</v>
      </c>
      <c r="M24" s="72"/>
    </row>
    <row r="25" spans="1:13" ht="17.25" hidden="1" customHeight="1">
      <c r="A25" s="21">
        <v>7145</v>
      </c>
      <c r="B25" s="22" t="s">
        <v>66</v>
      </c>
      <c r="C25" s="23"/>
      <c r="D25" s="41">
        <f t="shared" ref="D25:D29" si="18">+C25/$C$2*100</f>
        <v>0</v>
      </c>
      <c r="E25" s="23">
        <v>0</v>
      </c>
      <c r="F25" s="41">
        <f t="shared" ref="F25:F29" si="19">+E25/$E$2*100</f>
        <v>0</v>
      </c>
      <c r="G25" s="23">
        <f t="shared" ref="G25:G27" si="20">+C25-E25</f>
        <v>0</v>
      </c>
      <c r="H25" s="94" t="e">
        <f t="shared" ref="H25:H27" si="21">+C25/E25*100-100</f>
        <v>#DIV/0!</v>
      </c>
      <c r="I25" s="23"/>
      <c r="J25" s="41">
        <f t="shared" ref="J25:J27" si="22">+I25/$I$2*100</f>
        <v>0</v>
      </c>
      <c r="K25" s="23">
        <f t="shared" ref="K25:K27" si="23">+C25-I25</f>
        <v>0</v>
      </c>
      <c r="L25" s="94" t="e">
        <f t="shared" ref="L25:L27" si="24">+C25/I25*100-100</f>
        <v>#DIV/0!</v>
      </c>
      <c r="M25" s="72" t="s">
        <v>153</v>
      </c>
    </row>
    <row r="26" spans="1:13" ht="15" customHeight="1">
      <c r="A26" s="21">
        <v>7146</v>
      </c>
      <c r="B26" s="22" t="s">
        <v>180</v>
      </c>
      <c r="C26" s="23">
        <v>60311721.99000001</v>
      </c>
      <c r="D26" s="41">
        <f t="shared" si="18"/>
        <v>0.742325525742489</v>
      </c>
      <c r="E26" s="23">
        <v>62597340.265400007</v>
      </c>
      <c r="F26" s="41">
        <f t="shared" si="19"/>
        <v>0.77045725091880324</v>
      </c>
      <c r="G26" s="23">
        <f t="shared" si="20"/>
        <v>-2285618.2753999978</v>
      </c>
      <c r="H26" s="94">
        <f t="shared" si="21"/>
        <v>-3.6513025405064212</v>
      </c>
      <c r="I26" s="23">
        <v>59072788.380000003</v>
      </c>
      <c r="J26" s="41">
        <f t="shared" si="22"/>
        <v>0.77274585069324075</v>
      </c>
      <c r="K26" s="23">
        <f t="shared" si="23"/>
        <v>1238933.6100000069</v>
      </c>
      <c r="L26" s="94">
        <f t="shared" si="24"/>
        <v>2.0973000326821563</v>
      </c>
      <c r="M26" s="72" t="s">
        <v>181</v>
      </c>
    </row>
    <row r="27" spans="1:13" ht="26.25" customHeight="1">
      <c r="A27" s="21">
        <v>7147</v>
      </c>
      <c r="B27" s="27" t="s">
        <v>67</v>
      </c>
      <c r="C27" s="23">
        <v>6602285.1799999997</v>
      </c>
      <c r="D27" s="41">
        <f t="shared" si="18"/>
        <v>8.1261894962275524E-2</v>
      </c>
      <c r="E27" s="23">
        <v>6390283.5534000006</v>
      </c>
      <c r="F27" s="41">
        <f t="shared" si="19"/>
        <v>7.8652547828227504E-2</v>
      </c>
      <c r="G27" s="23">
        <f t="shared" si="20"/>
        <v>212001.62659999914</v>
      </c>
      <c r="H27" s="94">
        <f t="shared" si="21"/>
        <v>3.3175621211237569</v>
      </c>
      <c r="I27" s="23">
        <v>6028569.3900000006</v>
      </c>
      <c r="J27" s="41">
        <f t="shared" si="22"/>
        <v>7.8861216974751888E-2</v>
      </c>
      <c r="K27" s="23">
        <f t="shared" si="23"/>
        <v>573715.78999999911</v>
      </c>
      <c r="L27" s="94">
        <f t="shared" si="24"/>
        <v>9.5166158483911687</v>
      </c>
      <c r="M27" s="73" t="s">
        <v>154</v>
      </c>
    </row>
    <row r="28" spans="1:13" ht="15" hidden="1" customHeight="1">
      <c r="A28" s="21">
        <v>7148</v>
      </c>
      <c r="B28" s="22" t="s">
        <v>24</v>
      </c>
      <c r="C28" s="82"/>
      <c r="D28" s="41">
        <f t="shared" si="18"/>
        <v>0</v>
      </c>
      <c r="E28" s="23">
        <v>0</v>
      </c>
      <c r="F28" s="41">
        <f t="shared" si="19"/>
        <v>0</v>
      </c>
      <c r="G28" s="76">
        <f t="shared" si="2"/>
        <v>0</v>
      </c>
      <c r="H28" s="94" t="e">
        <f t="shared" si="3"/>
        <v>#DIV/0!</v>
      </c>
      <c r="I28" s="82"/>
      <c r="J28" s="41">
        <f t="shared" si="4"/>
        <v>0</v>
      </c>
      <c r="K28" s="76">
        <f t="shared" si="6"/>
        <v>0</v>
      </c>
      <c r="L28" s="94" t="e">
        <f t="shared" si="5"/>
        <v>#DIV/0!</v>
      </c>
      <c r="M28" s="72" t="s">
        <v>101</v>
      </c>
    </row>
    <row r="29" spans="1:13" ht="15" customHeight="1">
      <c r="A29" s="21">
        <v>7149</v>
      </c>
      <c r="B29" s="22" t="s">
        <v>25</v>
      </c>
      <c r="C29" s="82">
        <v>5503687.5499999989</v>
      </c>
      <c r="D29" s="41">
        <f t="shared" si="18"/>
        <v>6.7740194099474432E-2</v>
      </c>
      <c r="E29" s="23">
        <v>4964253.7026000004</v>
      </c>
      <c r="F29" s="41">
        <f t="shared" si="19"/>
        <v>6.1100763137100451E-2</v>
      </c>
      <c r="G29" s="76">
        <f t="shared" si="2"/>
        <v>539433.84739999846</v>
      </c>
      <c r="H29" s="94">
        <f t="shared" si="3"/>
        <v>10.866363399547296</v>
      </c>
      <c r="I29" s="82">
        <v>4683258.2100000009</v>
      </c>
      <c r="J29" s="41">
        <f t="shared" si="4"/>
        <v>6.1262866520243896E-2</v>
      </c>
      <c r="K29" s="76">
        <f t="shared" si="6"/>
        <v>820429.33999999799</v>
      </c>
      <c r="L29" s="94">
        <f t="shared" si="5"/>
        <v>17.518345203520141</v>
      </c>
      <c r="M29" s="72" t="s">
        <v>102</v>
      </c>
    </row>
    <row r="30" spans="1:13" ht="15" customHeight="1">
      <c r="A30" s="18">
        <v>715</v>
      </c>
      <c r="B30" s="19" t="s">
        <v>26</v>
      </c>
      <c r="C30" s="20">
        <f>+SUM(C31:C34)</f>
        <v>17903506.289999999</v>
      </c>
      <c r="D30" s="40">
        <f t="shared" si="1"/>
        <v>0.22035898297783299</v>
      </c>
      <c r="E30" s="20">
        <f>+SUM(E31:E34)</f>
        <v>19473815.950999998</v>
      </c>
      <c r="F30" s="40">
        <f t="shared" si="0"/>
        <v>0.23968658474774451</v>
      </c>
      <c r="G30" s="20">
        <f t="shared" si="2"/>
        <v>-1570309.6609999985</v>
      </c>
      <c r="H30" s="89">
        <f t="shared" si="3"/>
        <v>-8.0636977619137866</v>
      </c>
      <c r="I30" s="20">
        <v>27923968.210000001</v>
      </c>
      <c r="J30" s="40">
        <f t="shared" si="4"/>
        <v>0.36528037969633192</v>
      </c>
      <c r="K30" s="20">
        <f t="shared" si="6"/>
        <v>-10020461.920000002</v>
      </c>
      <c r="L30" s="89">
        <f t="shared" si="5"/>
        <v>-35.884806359332259</v>
      </c>
      <c r="M30" s="71" t="s">
        <v>103</v>
      </c>
    </row>
    <row r="31" spans="1:13" ht="15" customHeight="1">
      <c r="A31" s="21">
        <v>7151</v>
      </c>
      <c r="B31" s="22" t="s">
        <v>27</v>
      </c>
      <c r="C31" s="82">
        <v>2722290.9600000004</v>
      </c>
      <c r="D31" s="41">
        <f t="shared" si="1"/>
        <v>3.350635666547689E-2</v>
      </c>
      <c r="E31" s="23">
        <v>2286036.1634</v>
      </c>
      <c r="F31" s="41">
        <f t="shared" si="0"/>
        <v>2.8136868603148422E-2</v>
      </c>
      <c r="G31" s="76">
        <f t="shared" si="2"/>
        <v>436254.79660000047</v>
      </c>
      <c r="H31" s="94">
        <f t="shared" si="3"/>
        <v>19.083459990027592</v>
      </c>
      <c r="I31" s="82">
        <v>2156637.8899999997</v>
      </c>
      <c r="J31" s="41">
        <f t="shared" si="4"/>
        <v>2.8211517124008927E-2</v>
      </c>
      <c r="K31" s="76">
        <f t="shared" si="6"/>
        <v>565653.07000000076</v>
      </c>
      <c r="L31" s="94">
        <f t="shared" si="5"/>
        <v>26.228467589429243</v>
      </c>
      <c r="M31" s="72" t="s">
        <v>104</v>
      </c>
    </row>
    <row r="32" spans="1:13" ht="15" customHeight="1">
      <c r="A32" s="21">
        <v>7152</v>
      </c>
      <c r="B32" s="22" t="s">
        <v>28</v>
      </c>
      <c r="C32" s="82">
        <v>4612904.3399999989</v>
      </c>
      <c r="D32" s="41">
        <f t="shared" si="1"/>
        <v>5.677630361736432E-2</v>
      </c>
      <c r="E32" s="23">
        <v>5000000</v>
      </c>
      <c r="F32" s="41">
        <f t="shared" si="0"/>
        <v>6.1540733811709977E-2</v>
      </c>
      <c r="G32" s="76">
        <f t="shared" si="2"/>
        <v>-387095.66000000108</v>
      </c>
      <c r="H32" s="94">
        <f t="shared" si="3"/>
        <v>-7.7419132000000133</v>
      </c>
      <c r="I32" s="82">
        <v>14269424.859999999</v>
      </c>
      <c r="J32" s="41">
        <f t="shared" si="4"/>
        <v>0.18666189890025942</v>
      </c>
      <c r="K32" s="76">
        <f t="shared" si="6"/>
        <v>-9656520.5199999996</v>
      </c>
      <c r="L32" s="94">
        <f t="shared" si="5"/>
        <v>-67.672808222769532</v>
      </c>
      <c r="M32" s="72" t="s">
        <v>105</v>
      </c>
    </row>
    <row r="33" spans="1:16382">
      <c r="A33" s="21">
        <v>7153</v>
      </c>
      <c r="B33" s="22" t="s">
        <v>29</v>
      </c>
      <c r="C33" s="82">
        <v>3323822.83</v>
      </c>
      <c r="D33" s="41">
        <f t="shared" si="1"/>
        <v>4.0910099203662904E-2</v>
      </c>
      <c r="E33" s="23">
        <v>4892989.8707999997</v>
      </c>
      <c r="F33" s="41">
        <f t="shared" si="0"/>
        <v>6.0223637436459185E-2</v>
      </c>
      <c r="G33" s="76">
        <f t="shared" si="2"/>
        <v>-1569167.0407999996</v>
      </c>
      <c r="H33" s="94">
        <f t="shared" si="3"/>
        <v>-32.069697306433255</v>
      </c>
      <c r="I33" s="82">
        <v>4616028.18</v>
      </c>
      <c r="J33" s="41">
        <f t="shared" si="4"/>
        <v>6.0383413761212257E-2</v>
      </c>
      <c r="K33" s="76">
        <f t="shared" si="6"/>
        <v>-1292205.3499999996</v>
      </c>
      <c r="L33" s="94">
        <f t="shared" si="5"/>
        <v>-27.99387914481926</v>
      </c>
      <c r="M33" s="72" t="s">
        <v>106</v>
      </c>
    </row>
    <row r="34" spans="1:16382" s="3" customFormat="1" ht="15" customHeight="1">
      <c r="A34" s="21">
        <v>7155</v>
      </c>
      <c r="B34" s="22" t="s">
        <v>26</v>
      </c>
      <c r="C34" s="82">
        <v>7244488.1599999992</v>
      </c>
      <c r="D34" s="41">
        <f t="shared" si="1"/>
        <v>8.9166223491328897E-2</v>
      </c>
      <c r="E34" s="23">
        <v>7294789.9167999998</v>
      </c>
      <c r="F34" s="41">
        <f t="shared" si="0"/>
        <v>8.9785344896426936E-2</v>
      </c>
      <c r="G34" s="76">
        <f t="shared" si="2"/>
        <v>-50301.756800000556</v>
      </c>
      <c r="H34" s="94">
        <f t="shared" si="3"/>
        <v>-0.6895573056073232</v>
      </c>
      <c r="I34" s="82">
        <v>6881877.2799999993</v>
      </c>
      <c r="J34" s="41">
        <f t="shared" si="4"/>
        <v>9.0023549910851278E-2</v>
      </c>
      <c r="K34" s="76">
        <f t="shared" si="6"/>
        <v>362610.87999999989</v>
      </c>
      <c r="L34" s="94">
        <f t="shared" si="5"/>
        <v>5.2690692560562553</v>
      </c>
      <c r="M34" s="72" t="s">
        <v>103</v>
      </c>
      <c r="N34" s="1"/>
      <c r="O34" s="1"/>
      <c r="P34" s="1"/>
    </row>
    <row r="35" spans="1:16382" ht="15" hidden="1" customHeight="1">
      <c r="A35" s="18">
        <v>73</v>
      </c>
      <c r="B35" s="102" t="s">
        <v>184</v>
      </c>
      <c r="C35" s="20"/>
      <c r="D35" s="109">
        <f t="shared" si="1"/>
        <v>0</v>
      </c>
      <c r="E35" s="111"/>
      <c r="F35" s="40">
        <f t="shared" si="0"/>
        <v>0</v>
      </c>
      <c r="G35" s="20">
        <f t="shared" si="2"/>
        <v>0</v>
      </c>
      <c r="H35" s="89">
        <v>0</v>
      </c>
      <c r="I35" s="20"/>
      <c r="J35" s="40">
        <f t="shared" si="4"/>
        <v>0</v>
      </c>
      <c r="K35" s="20">
        <f t="shared" si="6"/>
        <v>0</v>
      </c>
      <c r="L35" s="89">
        <v>0</v>
      </c>
      <c r="M35" s="71" t="s">
        <v>107</v>
      </c>
    </row>
    <row r="36" spans="1:16382" ht="15" customHeight="1">
      <c r="A36" s="18">
        <v>74</v>
      </c>
      <c r="B36" s="19" t="s">
        <v>179</v>
      </c>
      <c r="C36" s="20">
        <v>69395204.189999998</v>
      </c>
      <c r="D36" s="40">
        <f t="shared" si="1"/>
        <v>0.85412635777321</v>
      </c>
      <c r="E36" s="111">
        <v>67620007.907400012</v>
      </c>
      <c r="F36" s="40">
        <f t="shared" si="0"/>
        <v>0.83227698139500561</v>
      </c>
      <c r="G36" s="20">
        <f t="shared" si="2"/>
        <v>1775196.2825999856</v>
      </c>
      <c r="H36" s="89">
        <f t="shared" si="3"/>
        <v>2.6252529946920049</v>
      </c>
      <c r="I36" s="20">
        <v>63792460.290000021</v>
      </c>
      <c r="J36" s="40">
        <f t="shared" si="4"/>
        <v>0.83448505388820526</v>
      </c>
      <c r="K36" s="20">
        <f t="shared" si="6"/>
        <v>5602743.8999999762</v>
      </c>
      <c r="L36" s="89">
        <f t="shared" si="5"/>
        <v>8.7827681743735155</v>
      </c>
      <c r="M36" s="71" t="s">
        <v>108</v>
      </c>
    </row>
    <row r="37" spans="1:16382" s="34" customFormat="1" ht="15" customHeight="1">
      <c r="A37" s="31"/>
      <c r="B37" s="32" t="s">
        <v>71</v>
      </c>
      <c r="C37" s="33">
        <f>+C38+C48+C49++C50+C51+C52+C53+C54</f>
        <v>511605078.96480012</v>
      </c>
      <c r="D37" s="43">
        <f t="shared" si="1"/>
        <v>6.2969103962583244</v>
      </c>
      <c r="E37" s="33">
        <f>+E38+E48+E49++E50+E51+E52+E53+E54</f>
        <v>496558942.21037996</v>
      </c>
      <c r="F37" s="43">
        <f t="shared" si="0"/>
        <v>6.1117203368786539</v>
      </c>
      <c r="G37" s="33">
        <f t="shared" si="2"/>
        <v>15046136.754420161</v>
      </c>
      <c r="H37" s="99">
        <f t="shared" si="3"/>
        <v>3.0300807165900352</v>
      </c>
      <c r="I37" s="33">
        <f>+I38+I48+I49++I50+I51+I52+I53+I54</f>
        <v>434489568.12299997</v>
      </c>
      <c r="J37" s="43">
        <f t="shared" si="4"/>
        <v>5.683666204763405</v>
      </c>
      <c r="K37" s="33">
        <f t="shared" si="6"/>
        <v>77115510.841800153</v>
      </c>
      <c r="L37" s="99">
        <f t="shared" si="5"/>
        <v>17.748529884144304</v>
      </c>
      <c r="M37" s="70" t="s">
        <v>109</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68</v>
      </c>
      <c r="C38" s="69">
        <f>SUM(C39:C47)</f>
        <v>150401304.33480003</v>
      </c>
      <c r="D38" s="40">
        <f t="shared" si="1"/>
        <v>1.8511613270003822</v>
      </c>
      <c r="E38" s="69">
        <f>SUM(E39:E47)</f>
        <v>143581266.12900001</v>
      </c>
      <c r="F38" s="40">
        <f t="shared" si="0"/>
        <v>1.7672192958386159</v>
      </c>
      <c r="G38" s="20">
        <f t="shared" si="2"/>
        <v>6820038.2058000267</v>
      </c>
      <c r="H38" s="89">
        <f t="shared" si="3"/>
        <v>4.7499498992247311</v>
      </c>
      <c r="I38" s="69">
        <v>135454024.64999998</v>
      </c>
      <c r="J38" s="40">
        <f t="shared" si="4"/>
        <v>1.7719078170927445</v>
      </c>
      <c r="K38" s="20">
        <f t="shared" si="6"/>
        <v>14947279.684800059</v>
      </c>
      <c r="L38" s="89">
        <f t="shared" si="5"/>
        <v>11.03494689317823</v>
      </c>
      <c r="M38" s="71" t="s">
        <v>110</v>
      </c>
    </row>
    <row r="39" spans="1:16382" ht="15" customHeight="1">
      <c r="A39" s="21">
        <v>411</v>
      </c>
      <c r="B39" s="22" t="s">
        <v>30</v>
      </c>
      <c r="C39" s="23">
        <v>82241153.954800025</v>
      </c>
      <c r="D39" s="41">
        <f t="shared" si="1"/>
        <v>1.0122361927800414</v>
      </c>
      <c r="E39" s="23">
        <v>84612574.107199997</v>
      </c>
      <c r="F39" s="41">
        <f>+E39/$E$2*100</f>
        <v>1.0414239800509557</v>
      </c>
      <c r="G39" s="23">
        <f>+C39-E39</f>
        <v>-2371420.1523999721</v>
      </c>
      <c r="H39" s="94">
        <f>+C39/E39*100-100</f>
        <v>-2.802680544141694</v>
      </c>
      <c r="I39" s="23">
        <v>79823183.11999999</v>
      </c>
      <c r="J39" s="41">
        <f t="shared" si="4"/>
        <v>1.0441869300009285</v>
      </c>
      <c r="K39" s="23">
        <f t="shared" si="6"/>
        <v>2417970.8348000348</v>
      </c>
      <c r="L39" s="94">
        <f t="shared" si="5"/>
        <v>3.0291586232098098</v>
      </c>
      <c r="M39" s="72" t="s">
        <v>111</v>
      </c>
    </row>
    <row r="40" spans="1:16382" ht="15" customHeight="1">
      <c r="A40" s="21">
        <v>412</v>
      </c>
      <c r="B40" s="22" t="s">
        <v>31</v>
      </c>
      <c r="C40" s="23">
        <v>7423055.6600000001</v>
      </c>
      <c r="D40" s="41">
        <f t="shared" si="1"/>
        <v>9.1364058488313415E-2</v>
      </c>
      <c r="E40" s="23">
        <v>5983055.1172000002</v>
      </c>
      <c r="F40" s="41">
        <f t="shared" si="0"/>
        <v>7.3640320469678888E-2</v>
      </c>
      <c r="G40" s="23">
        <f t="shared" si="2"/>
        <v>1440000.5427999999</v>
      </c>
      <c r="H40" s="94">
        <f t="shared" si="3"/>
        <v>24.067980564984381</v>
      </c>
      <c r="I40" s="23">
        <v>5644391.6200000001</v>
      </c>
      <c r="J40" s="41">
        <f t="shared" si="4"/>
        <v>7.383569192612234E-2</v>
      </c>
      <c r="K40" s="23">
        <f t="shared" si="6"/>
        <v>1778664.04</v>
      </c>
      <c r="L40" s="94">
        <f t="shared" si="5"/>
        <v>31.512059398883451</v>
      </c>
      <c r="M40" s="72" t="s">
        <v>112</v>
      </c>
    </row>
    <row r="41" spans="1:16382" ht="15" customHeight="1">
      <c r="A41" s="21">
        <v>413</v>
      </c>
      <c r="B41" s="22" t="s">
        <v>72</v>
      </c>
      <c r="C41" s="23">
        <v>9505143.8200000003</v>
      </c>
      <c r="D41" s="41">
        <f t="shared" si="1"/>
        <v>0.11699070513372802</v>
      </c>
      <c r="E41" s="23">
        <v>9876712.8902000003</v>
      </c>
      <c r="F41" s="41">
        <f t="shared" si="0"/>
        <v>0.12156403178209657</v>
      </c>
      <c r="G41" s="23">
        <f t="shared" si="2"/>
        <v>-371569.07019999996</v>
      </c>
      <c r="H41" s="94">
        <f t="shared" si="3"/>
        <v>-3.7620722028751459</v>
      </c>
      <c r="I41" s="23">
        <v>9317653.6699999999</v>
      </c>
      <c r="J41" s="41">
        <f t="shared" si="4"/>
        <v>0.12188654724358462</v>
      </c>
      <c r="K41" s="23">
        <f t="shared" si="6"/>
        <v>187490.15000000037</v>
      </c>
      <c r="L41" s="94">
        <f t="shared" si="5"/>
        <v>2.0122034649523641</v>
      </c>
      <c r="M41" s="72" t="s">
        <v>113</v>
      </c>
    </row>
    <row r="42" spans="1:16382" ht="15" customHeight="1">
      <c r="A42" s="21">
        <v>414</v>
      </c>
      <c r="B42" s="22" t="s">
        <v>73</v>
      </c>
      <c r="C42" s="23">
        <v>14528190.58</v>
      </c>
      <c r="D42" s="41">
        <f t="shared" si="1"/>
        <v>0.17881510184991448</v>
      </c>
      <c r="E42" s="23">
        <v>14273566.718800001</v>
      </c>
      <c r="F42" s="41">
        <f t="shared" si="0"/>
        <v>0.17568115399707065</v>
      </c>
      <c r="G42" s="23">
        <f t="shared" si="2"/>
        <v>254623.86119999923</v>
      </c>
      <c r="H42" s="94">
        <f t="shared" si="3"/>
        <v>1.7838839178481578</v>
      </c>
      <c r="I42" s="23">
        <v>13465628.98</v>
      </c>
      <c r="J42" s="41">
        <f t="shared" si="4"/>
        <v>0.17614724489275338</v>
      </c>
      <c r="K42" s="23">
        <f t="shared" si="6"/>
        <v>1062561.5999999996</v>
      </c>
      <c r="L42" s="94">
        <f t="shared" si="5"/>
        <v>7.8909169529190422</v>
      </c>
      <c r="M42" s="72" t="s">
        <v>114</v>
      </c>
    </row>
    <row r="43" spans="1:16382" ht="15.75" customHeight="1">
      <c r="A43" s="21">
        <v>415</v>
      </c>
      <c r="B43" s="22" t="s">
        <v>32</v>
      </c>
      <c r="C43" s="23">
        <v>8790861.75</v>
      </c>
      <c r="D43" s="41">
        <f t="shared" si="1"/>
        <v>0.10819921658645856</v>
      </c>
      <c r="E43" s="23">
        <v>7178183.2812000001</v>
      </c>
      <c r="F43" s="41">
        <f t="shared" si="0"/>
        <v>8.8350133311999215E-2</v>
      </c>
      <c r="G43" s="23">
        <f t="shared" si="2"/>
        <v>1612678.4687999999</v>
      </c>
      <c r="H43" s="94">
        <f t="shared" si="3"/>
        <v>22.466387463575657</v>
      </c>
      <c r="I43" s="23">
        <v>6771871.0199999996</v>
      </c>
      <c r="J43" s="41">
        <f t="shared" si="4"/>
        <v>8.8584530638247214E-2</v>
      </c>
      <c r="K43" s="23">
        <f t="shared" si="6"/>
        <v>2018990.7300000004</v>
      </c>
      <c r="L43" s="94">
        <f t="shared" si="5"/>
        <v>29.814370711390183</v>
      </c>
      <c r="M43" s="72" t="s">
        <v>115</v>
      </c>
    </row>
    <row r="44" spans="1:16382" ht="15" customHeight="1">
      <c r="A44" s="21">
        <v>416</v>
      </c>
      <c r="B44" s="22" t="s">
        <v>33</v>
      </c>
      <c r="C44" s="23">
        <v>2117397.59</v>
      </c>
      <c r="D44" s="41">
        <f t="shared" si="1"/>
        <v>2.6061240291949238E-2</v>
      </c>
      <c r="E44" s="23">
        <v>3122737.0192000004</v>
      </c>
      <c r="F44" s="41">
        <f t="shared" si="0"/>
        <v>3.8435105532511976E-2</v>
      </c>
      <c r="G44" s="23">
        <f t="shared" si="2"/>
        <v>-1005339.4292000006</v>
      </c>
      <c r="H44" s="94">
        <f t="shared" si="3"/>
        <v>-32.194175270562937</v>
      </c>
      <c r="I44" s="23">
        <v>2945978.3200000003</v>
      </c>
      <c r="J44" s="41">
        <f t="shared" si="4"/>
        <v>3.8537075791448272E-2</v>
      </c>
      <c r="K44" s="23">
        <f t="shared" si="6"/>
        <v>-828580.73000000045</v>
      </c>
      <c r="L44" s="94">
        <f t="shared" si="5"/>
        <v>-28.12582578679671</v>
      </c>
      <c r="M44" s="72" t="s">
        <v>116</v>
      </c>
    </row>
    <row r="45" spans="1:16382" ht="15" customHeight="1">
      <c r="A45" s="21">
        <v>417</v>
      </c>
      <c r="B45" s="22" t="s">
        <v>34</v>
      </c>
      <c r="C45" s="23">
        <v>750141.71</v>
      </c>
      <c r="D45" s="41">
        <f t="shared" si="1"/>
        <v>9.2328542592341866E-3</v>
      </c>
      <c r="E45" s="23">
        <v>676270.40700000012</v>
      </c>
      <c r="F45" s="41">
        <f t="shared" si="0"/>
        <v>8.3236354203847542E-3</v>
      </c>
      <c r="G45" s="23">
        <f t="shared" si="2"/>
        <v>73871.30299999984</v>
      </c>
      <c r="H45" s="94">
        <f t="shared" si="3"/>
        <v>10.923338096028772</v>
      </c>
      <c r="I45" s="23">
        <v>637990.95000000007</v>
      </c>
      <c r="J45" s="41">
        <f t="shared" si="4"/>
        <v>8.345718441813952E-3</v>
      </c>
      <c r="K45" s="23">
        <f t="shared" si="6"/>
        <v>112150.75999999989</v>
      </c>
      <c r="L45" s="94">
        <f t="shared" si="5"/>
        <v>17.578738381790515</v>
      </c>
      <c r="M45" s="72" t="s">
        <v>117</v>
      </c>
    </row>
    <row r="46" spans="1:16382" ht="15" customHeight="1">
      <c r="A46" s="21">
        <v>418</v>
      </c>
      <c r="B46" s="22" t="s">
        <v>35</v>
      </c>
      <c r="C46" s="23">
        <v>8466315.5899999999</v>
      </c>
      <c r="D46" s="41">
        <f t="shared" si="1"/>
        <v>0.10420465481802405</v>
      </c>
      <c r="E46" s="23">
        <v>6252104.709400001</v>
      </c>
      <c r="F46" s="41">
        <f t="shared" si="0"/>
        <v>7.6951822336824752E-2</v>
      </c>
      <c r="G46" s="23">
        <f t="shared" si="2"/>
        <v>2214210.8805999989</v>
      </c>
      <c r="H46" s="94">
        <f t="shared" si="3"/>
        <v>35.415447813453085</v>
      </c>
      <c r="I46" s="23">
        <v>5898211.9900000002</v>
      </c>
      <c r="J46" s="41">
        <f t="shared" si="4"/>
        <v>7.7155979373486672E-2</v>
      </c>
      <c r="K46" s="23">
        <f t="shared" si="6"/>
        <v>2568103.5999999996</v>
      </c>
      <c r="L46" s="94">
        <f t="shared" si="5"/>
        <v>43.54037468226025</v>
      </c>
      <c r="M46" s="72" t="s">
        <v>118</v>
      </c>
    </row>
    <row r="47" spans="1:16382" ht="15" customHeight="1">
      <c r="A47" s="21">
        <v>419</v>
      </c>
      <c r="B47" s="22" t="s">
        <v>36</v>
      </c>
      <c r="C47" s="23">
        <v>16579043.68</v>
      </c>
      <c r="D47" s="41">
        <f t="shared" si="1"/>
        <v>0.20405730279271847</v>
      </c>
      <c r="E47" s="23">
        <v>11606061.878799997</v>
      </c>
      <c r="F47" s="41">
        <f t="shared" si="0"/>
        <v>0.14284911293709301</v>
      </c>
      <c r="G47" s="23">
        <f t="shared" si="2"/>
        <v>4972981.8012000024</v>
      </c>
      <c r="H47" s="94">
        <f t="shared" si="3"/>
        <v>42.848141368984159</v>
      </c>
      <c r="I47" s="23">
        <v>10949114.979999997</v>
      </c>
      <c r="J47" s="41">
        <f t="shared" si="4"/>
        <v>0.14322809878435949</v>
      </c>
      <c r="K47" s="23">
        <f t="shared" si="6"/>
        <v>5629928.700000003</v>
      </c>
      <c r="L47" s="94">
        <f t="shared" si="5"/>
        <v>51.419029851123241</v>
      </c>
      <c r="M47" s="72" t="s">
        <v>119</v>
      </c>
    </row>
    <row r="48" spans="1:16382" ht="15" customHeight="1">
      <c r="A48" s="18">
        <v>42</v>
      </c>
      <c r="B48" s="19" t="s">
        <v>37</v>
      </c>
      <c r="C48" s="20">
        <v>4417218.05</v>
      </c>
      <c r="D48" s="40">
        <f t="shared" si="1"/>
        <v>5.4367768040666113E-2</v>
      </c>
      <c r="E48" s="23">
        <v>2044351.2768000003</v>
      </c>
      <c r="F48" s="40">
        <f t="shared" si="0"/>
        <v>2.5162175548635646E-2</v>
      </c>
      <c r="G48" s="20">
        <f t="shared" si="2"/>
        <v>2372866.7731999997</v>
      </c>
      <c r="H48" s="89">
        <f t="shared" si="3"/>
        <v>116.06942506056103</v>
      </c>
      <c r="I48" s="20">
        <v>1928633.2800000003</v>
      </c>
      <c r="J48" s="40">
        <f t="shared" si="4"/>
        <v>2.5228932059917355E-2</v>
      </c>
      <c r="K48" s="20">
        <f t="shared" si="6"/>
        <v>2488584.7699999996</v>
      </c>
      <c r="L48" s="89">
        <f t="shared" si="5"/>
        <v>129.03359056419475</v>
      </c>
      <c r="M48" s="71" t="s">
        <v>120</v>
      </c>
    </row>
    <row r="49" spans="1:16382" ht="15" customHeight="1">
      <c r="A49" s="18">
        <v>43</v>
      </c>
      <c r="B49" s="19" t="s">
        <v>169</v>
      </c>
      <c r="C49" s="20">
        <v>144725091.49000001</v>
      </c>
      <c r="D49" s="40">
        <f t="shared" si="1"/>
        <v>1.7812976662522926</v>
      </c>
      <c r="E49" s="111">
        <v>143228673.14697999</v>
      </c>
      <c r="F49" s="40">
        <f t="shared" si="0"/>
        <v>1.7628795296685416</v>
      </c>
      <c r="G49" s="20">
        <f t="shared" si="2"/>
        <v>1496418.3430200219</v>
      </c>
      <c r="H49" s="89">
        <f t="shared" si="3"/>
        <v>1.0447756794370378</v>
      </c>
      <c r="I49" s="20">
        <v>116253465.233</v>
      </c>
      <c r="J49" s="40">
        <f t="shared" si="4"/>
        <v>1.5207405194694767</v>
      </c>
      <c r="K49" s="20">
        <f t="shared" si="6"/>
        <v>28471626.257000014</v>
      </c>
      <c r="L49" s="89">
        <f t="shared" si="5"/>
        <v>24.490991472758267</v>
      </c>
      <c r="M49" s="71" t="s">
        <v>126</v>
      </c>
    </row>
    <row r="50" spans="1:16382" ht="15" customHeight="1">
      <c r="A50" s="18">
        <v>44</v>
      </c>
      <c r="B50" s="19" t="s">
        <v>64</v>
      </c>
      <c r="C50" s="20">
        <v>179172970.11000001</v>
      </c>
      <c r="D50" s="40">
        <f t="shared" si="1"/>
        <v>2.2052872119585958</v>
      </c>
      <c r="E50" s="111">
        <v>170094323.91139999</v>
      </c>
      <c r="F50" s="40">
        <f t="shared" si="0"/>
        <v>2.0935459021428482</v>
      </c>
      <c r="G50" s="20">
        <f t="shared" si="2"/>
        <v>9078646.198600024</v>
      </c>
      <c r="H50" s="89">
        <f t="shared" si="3"/>
        <v>5.3374186685553298</v>
      </c>
      <c r="I50" s="20">
        <v>145372003.68999994</v>
      </c>
      <c r="J50" s="40">
        <f t="shared" si="4"/>
        <v>1.9016473699494927</v>
      </c>
      <c r="K50" s="20">
        <f t="shared" si="6"/>
        <v>33800966.420000076</v>
      </c>
      <c r="L50" s="89">
        <f t="shared" si="5"/>
        <v>23.251358970107688</v>
      </c>
      <c r="M50" s="71" t="s">
        <v>127</v>
      </c>
    </row>
    <row r="51" spans="1:16382" ht="15" customHeight="1">
      <c r="A51" s="18">
        <v>45</v>
      </c>
      <c r="B51" s="19" t="s">
        <v>44</v>
      </c>
      <c r="C51" s="20"/>
      <c r="D51" s="40">
        <f t="shared" si="1"/>
        <v>0</v>
      </c>
      <c r="E51" s="111">
        <v>0</v>
      </c>
      <c r="F51" s="40">
        <f t="shared" si="0"/>
        <v>0</v>
      </c>
      <c r="G51" s="20">
        <f t="shared" si="2"/>
        <v>0</v>
      </c>
      <c r="H51" s="89">
        <f>+IFERROR(C51/E51*100-100,0)</f>
        <v>0</v>
      </c>
      <c r="I51" s="20"/>
      <c r="J51" s="40">
        <f t="shared" si="4"/>
        <v>0</v>
      </c>
      <c r="K51" s="20">
        <f t="shared" si="6"/>
        <v>0</v>
      </c>
      <c r="L51" s="89">
        <f>+IFERROR(C51/I51*100-100,0)</f>
        <v>0</v>
      </c>
      <c r="M51" s="71" t="s">
        <v>128</v>
      </c>
    </row>
    <row r="52" spans="1:16382" ht="15" customHeight="1">
      <c r="A52" s="18">
        <v>462</v>
      </c>
      <c r="B52" s="19" t="s">
        <v>45</v>
      </c>
      <c r="C52" s="20">
        <v>0</v>
      </c>
      <c r="D52" s="40">
        <f t="shared" si="1"/>
        <v>0</v>
      </c>
      <c r="E52" s="111">
        <v>0</v>
      </c>
      <c r="F52" s="40">
        <f t="shared" si="0"/>
        <v>0</v>
      </c>
      <c r="G52" s="20">
        <f t="shared" si="2"/>
        <v>0</v>
      </c>
      <c r="H52" s="89">
        <v>0</v>
      </c>
      <c r="I52" s="20">
        <v>0</v>
      </c>
      <c r="J52" s="40">
        <f t="shared" si="4"/>
        <v>0</v>
      </c>
      <c r="K52" s="20">
        <f t="shared" si="6"/>
        <v>0</v>
      </c>
      <c r="L52" s="89">
        <f>+IFERROR(C52/I52*100-100,0)</f>
        <v>0</v>
      </c>
      <c r="M52" s="71" t="s">
        <v>129</v>
      </c>
    </row>
    <row r="53" spans="1:16382" ht="15" customHeight="1">
      <c r="A53" s="18">
        <v>463</v>
      </c>
      <c r="B53" s="19" t="s">
        <v>46</v>
      </c>
      <c r="C53" s="20">
        <v>28153004.439999998</v>
      </c>
      <c r="D53" s="40">
        <f>+C53/$C$2*100</f>
        <v>0.34651131044838573</v>
      </c>
      <c r="E53" s="111">
        <v>33329134.185200002</v>
      </c>
      <c r="F53" s="40">
        <f>+E53/$E$2*100</f>
        <v>0.41021987501323126</v>
      </c>
      <c r="G53" s="20">
        <f>+C53-E53</f>
        <v>-5176129.7452000044</v>
      </c>
      <c r="H53" s="89">
        <f>+C53/E53*100-100</f>
        <v>-15.530345662259947</v>
      </c>
      <c r="I53" s="20">
        <v>31442579.420000002</v>
      </c>
      <c r="J53" s="40">
        <v>0</v>
      </c>
      <c r="K53" s="20">
        <f>+C53-I53</f>
        <v>-3289574.9800000042</v>
      </c>
      <c r="L53" s="89">
        <f>+C53/I53*100-100</f>
        <v>-10.462166401995546</v>
      </c>
      <c r="M53" s="71" t="s">
        <v>130</v>
      </c>
    </row>
    <row r="54" spans="1:16382" ht="15" customHeight="1">
      <c r="A54" s="18">
        <v>47</v>
      </c>
      <c r="B54" s="19" t="s">
        <v>47</v>
      </c>
      <c r="C54" s="20">
        <v>4735490.540000001</v>
      </c>
      <c r="D54" s="40">
        <f t="shared" si="1"/>
        <v>5.8285112558002151E-2</v>
      </c>
      <c r="E54" s="111">
        <v>4281193.5609999998</v>
      </c>
      <c r="F54" s="40">
        <f t="shared" si="0"/>
        <v>5.2693558666781541E-2</v>
      </c>
      <c r="G54" s="20">
        <f t="shared" si="2"/>
        <v>454296.97900000121</v>
      </c>
      <c r="H54" s="89">
        <f t="shared" si="3"/>
        <v>10.61145618685569</v>
      </c>
      <c r="I54" s="20">
        <v>4038861.8499999992</v>
      </c>
      <c r="J54" s="40">
        <f t="shared" si="4"/>
        <v>5.2833357315623053E-2</v>
      </c>
      <c r="K54" s="20">
        <f t="shared" si="6"/>
        <v>696628.69000000181</v>
      </c>
      <c r="L54" s="89">
        <f t="shared" si="5"/>
        <v>17.248143558067028</v>
      </c>
      <c r="M54" s="71" t="s">
        <v>131</v>
      </c>
    </row>
    <row r="55" spans="1:16382" s="34" customFormat="1" ht="15" customHeight="1">
      <c r="A55" s="31"/>
      <c r="B55" s="32" t="s">
        <v>76</v>
      </c>
      <c r="C55" s="33">
        <f>+C6-C37</f>
        <v>-27716421.534800053</v>
      </c>
      <c r="D55" s="43">
        <f t="shared" si="1"/>
        <v>-0.34113778397725519</v>
      </c>
      <c r="E55" s="33">
        <f>+E6-E37</f>
        <v>-23377920.551179945</v>
      </c>
      <c r="F55" s="43">
        <f t="shared" si="0"/>
        <v>-0.28773887714229379</v>
      </c>
      <c r="G55" s="33">
        <f t="shared" si="2"/>
        <v>-4338500.9836201072</v>
      </c>
      <c r="H55" s="99">
        <f t="shared" si="3"/>
        <v>18.558113302344736</v>
      </c>
      <c r="I55" s="33">
        <f>+I6-I37</f>
        <v>-1824719.3429999948</v>
      </c>
      <c r="J55" s="43">
        <f t="shared" si="4"/>
        <v>-2.3869607981131538E-2</v>
      </c>
      <c r="K55" s="33">
        <f t="shared" si="6"/>
        <v>-25891702.191800058</v>
      </c>
      <c r="L55" s="99">
        <f t="shared" si="5"/>
        <v>1418.9416192208432</v>
      </c>
      <c r="M55" s="70" t="s">
        <v>133</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178</v>
      </c>
      <c r="C56" s="20">
        <v>0</v>
      </c>
      <c r="D56" s="40">
        <f>+C56/$C$2*100</f>
        <v>0</v>
      </c>
      <c r="E56" s="20">
        <v>0</v>
      </c>
      <c r="F56" s="40">
        <f>+E56/$E$2*100</f>
        <v>0</v>
      </c>
      <c r="G56" s="20">
        <f>+C56-E56</f>
        <v>0</v>
      </c>
      <c r="H56" s="89" t="e">
        <f>+C56/E56*100-100</f>
        <v>#DIV/0!</v>
      </c>
      <c r="I56" s="20">
        <v>0</v>
      </c>
      <c r="J56" s="40">
        <f t="shared" si="4"/>
        <v>0</v>
      </c>
      <c r="K56" s="20">
        <f>+C56-I56</f>
        <v>0</v>
      </c>
      <c r="L56" s="89" t="e">
        <f>+C56/I56*100-100</f>
        <v>#DIV/0!</v>
      </c>
      <c r="M56" s="71" t="s">
        <v>132</v>
      </c>
    </row>
    <row r="57" spans="1:16382" s="34" customFormat="1" ht="15" customHeight="1">
      <c r="A57" s="31"/>
      <c r="B57" s="32" t="s">
        <v>58</v>
      </c>
      <c r="C57" s="33">
        <f>+C55-C56</f>
        <v>-27716421.534800053</v>
      </c>
      <c r="D57" s="43">
        <f t="shared" si="1"/>
        <v>-0.34113778397725519</v>
      </c>
      <c r="E57" s="33">
        <f>+E55-E56</f>
        <v>-23377920.551179945</v>
      </c>
      <c r="F57" s="43">
        <f t="shared" si="0"/>
        <v>-0.28773887714229379</v>
      </c>
      <c r="G57" s="33">
        <f t="shared" si="2"/>
        <v>-4338500.9836201072</v>
      </c>
      <c r="H57" s="99">
        <f t="shared" si="3"/>
        <v>18.558113302344736</v>
      </c>
      <c r="I57" s="33">
        <f>+I55-I56</f>
        <v>-1824719.3429999948</v>
      </c>
      <c r="J57" s="43">
        <f t="shared" si="4"/>
        <v>-2.3869607981131538E-2</v>
      </c>
      <c r="K57" s="33">
        <f t="shared" si="6"/>
        <v>-25891702.191800058</v>
      </c>
      <c r="L57" s="99">
        <f t="shared" si="5"/>
        <v>1418.9416192208432</v>
      </c>
      <c r="M57" s="70" t="s">
        <v>136</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74</v>
      </c>
      <c r="C58" s="33">
        <f>+C57+C44</f>
        <v>-25599023.944800053</v>
      </c>
      <c r="D58" s="43">
        <f t="shared" si="1"/>
        <v>-0.31507654368530597</v>
      </c>
      <c r="E58" s="33">
        <f>+E57+E44</f>
        <v>-20255183.531979945</v>
      </c>
      <c r="F58" s="43">
        <f t="shared" si="0"/>
        <v>-0.24930377160978182</v>
      </c>
      <c r="G58" s="33">
        <f t="shared" si="2"/>
        <v>-5343840.4128201082</v>
      </c>
      <c r="H58" s="99">
        <f t="shared" si="3"/>
        <v>26.382582040705643</v>
      </c>
      <c r="I58" s="33">
        <f>+I57+I44</f>
        <v>1121258.9770000055</v>
      </c>
      <c r="J58" s="43">
        <f t="shared" si="4"/>
        <v>1.466746781031673E-2</v>
      </c>
      <c r="K58" s="33">
        <f t="shared" si="6"/>
        <v>-26720282.921800058</v>
      </c>
      <c r="L58" s="99">
        <f t="shared" si="5"/>
        <v>-2383.0607798826059</v>
      </c>
      <c r="M58" s="70" t="s">
        <v>135</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75</v>
      </c>
      <c r="C59" s="33">
        <f>+C6-(C37-C50)</f>
        <v>151456548.57519996</v>
      </c>
      <c r="D59" s="43">
        <f t="shared" si="1"/>
        <v>1.8641494279813404</v>
      </c>
      <c r="E59" s="33">
        <f>+E6-(E37-E50)</f>
        <v>146716403.36022002</v>
      </c>
      <c r="F59" s="43">
        <f t="shared" si="0"/>
        <v>1.805807025000554</v>
      </c>
      <c r="G59" s="33">
        <f t="shared" si="2"/>
        <v>4740145.2149799466</v>
      </c>
      <c r="H59" s="99">
        <f t="shared" si="3"/>
        <v>3.2308215757865071</v>
      </c>
      <c r="I59" s="33">
        <f>+I6-(I37-I50)</f>
        <v>143547284.34699994</v>
      </c>
      <c r="J59" s="43">
        <f t="shared" si="4"/>
        <v>1.8777777619683609</v>
      </c>
      <c r="K59" s="33">
        <f t="shared" si="6"/>
        <v>7909264.2282000184</v>
      </c>
      <c r="L59" s="99">
        <f t="shared" si="5"/>
        <v>5.5098668457431756</v>
      </c>
      <c r="M59" s="70" t="s">
        <v>134</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19136587.259999998</v>
      </c>
      <c r="D60" s="43">
        <f t="shared" si="1"/>
        <v>0.23553592452644403</v>
      </c>
      <c r="E60" s="33">
        <f>+E61+E62</f>
        <v>15565839.489822611</v>
      </c>
      <c r="F60" s="43">
        <f t="shared" si="0"/>
        <v>0.19158663691979533</v>
      </c>
      <c r="G60" s="33">
        <f t="shared" si="2"/>
        <v>3570747.7701773867</v>
      </c>
      <c r="H60" s="99">
        <f t="shared" si="3"/>
        <v>22.939641466250777</v>
      </c>
      <c r="I60" s="33">
        <f>+I61+I62</f>
        <v>17205538.73</v>
      </c>
      <c r="J60" s="43">
        <f t="shared" si="4"/>
        <v>0.22506993536554895</v>
      </c>
      <c r="K60" s="33">
        <f t="shared" si="6"/>
        <v>1931048.5299999975</v>
      </c>
      <c r="L60" s="99">
        <f t="shared" si="5"/>
        <v>11.223412183153414</v>
      </c>
      <c r="M60" s="70" t="s">
        <v>137</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51</v>
      </c>
      <c r="C61" s="23">
        <v>16108679.439999999</v>
      </c>
      <c r="D61" s="41">
        <f t="shared" si="1"/>
        <v>0.19826799069504103</v>
      </c>
      <c r="E61" s="23">
        <v>11843421.474055201</v>
      </c>
      <c r="F61" s="41">
        <f t="shared" si="0"/>
        <v>0.14577056967094418</v>
      </c>
      <c r="G61" s="23">
        <f t="shared" si="2"/>
        <v>4265257.9659447987</v>
      </c>
      <c r="H61" s="94">
        <f t="shared" si="3"/>
        <v>36.013731127347683</v>
      </c>
      <c r="I61" s="23">
        <v>14504497.350000001</v>
      </c>
      <c r="J61" s="41">
        <f t="shared" si="4"/>
        <v>0.18973694066214669</v>
      </c>
      <c r="K61" s="23">
        <f t="shared" si="6"/>
        <v>1604182.089999998</v>
      </c>
      <c r="L61" s="94">
        <f t="shared" si="5"/>
        <v>11.059894398891373</v>
      </c>
      <c r="M61" s="72" t="s">
        <v>138</v>
      </c>
    </row>
    <row r="62" spans="1:16382" ht="15" customHeight="1">
      <c r="A62" s="21">
        <v>4612</v>
      </c>
      <c r="B62" s="22" t="s">
        <v>52</v>
      </c>
      <c r="C62" s="23">
        <v>3027907.8200000003</v>
      </c>
      <c r="D62" s="41">
        <f t="shared" si="1"/>
        <v>3.7267933831403012E-2</v>
      </c>
      <c r="E62" s="23">
        <v>3722418.0157674099</v>
      </c>
      <c r="F62" s="41">
        <f t="shared" si="0"/>
        <v>4.5816067248851157E-2</v>
      </c>
      <c r="G62" s="23">
        <f t="shared" si="2"/>
        <v>-694510.19576740963</v>
      </c>
      <c r="H62" s="94">
        <f t="shared" si="3"/>
        <v>-18.657501463446749</v>
      </c>
      <c r="I62" s="23">
        <v>2701041.38</v>
      </c>
      <c r="J62" s="41">
        <f t="shared" si="4"/>
        <v>3.5332994703402301E-2</v>
      </c>
      <c r="K62" s="23">
        <f t="shared" si="6"/>
        <v>326866.44000000041</v>
      </c>
      <c r="L62" s="94">
        <f t="shared" si="5"/>
        <v>12.101496941894325</v>
      </c>
      <c r="M62" s="72" t="s">
        <v>139</v>
      </c>
    </row>
    <row r="63" spans="1:16382" ht="15" hidden="1" customHeight="1">
      <c r="A63" s="21">
        <v>463</v>
      </c>
      <c r="B63" s="22" t="s">
        <v>46</v>
      </c>
      <c r="C63" s="23"/>
      <c r="D63" s="41"/>
      <c r="E63" s="23"/>
      <c r="F63" s="41"/>
      <c r="G63" s="23"/>
      <c r="H63" s="94"/>
      <c r="I63" s="23"/>
      <c r="J63" s="41">
        <f t="shared" si="4"/>
        <v>0</v>
      </c>
      <c r="K63" s="23"/>
      <c r="L63" s="94"/>
      <c r="M63" s="72"/>
    </row>
    <row r="64" spans="1:16382" s="34" customFormat="1" ht="15" customHeight="1">
      <c r="A64" s="31">
        <v>4418</v>
      </c>
      <c r="B64" s="32" t="s">
        <v>62</v>
      </c>
      <c r="C64" s="33">
        <v>0</v>
      </c>
      <c r="D64" s="43">
        <f t="shared" si="1"/>
        <v>0</v>
      </c>
      <c r="E64" s="33">
        <v>0</v>
      </c>
      <c r="F64" s="43">
        <f t="shared" ref="F64:F73" si="25">+E64/$E$2*100</f>
        <v>0</v>
      </c>
      <c r="G64" s="33">
        <f t="shared" si="2"/>
        <v>0</v>
      </c>
      <c r="H64" s="99">
        <f>+IFERROR(C64/E64*100-100,0)</f>
        <v>0</v>
      </c>
      <c r="I64" s="33">
        <v>0</v>
      </c>
      <c r="J64" s="43">
        <f t="shared" si="4"/>
        <v>0</v>
      </c>
      <c r="K64" s="33">
        <f t="shared" si="6"/>
        <v>0</v>
      </c>
      <c r="L64" s="99">
        <f>+IFERROR(C64/I64*100-100,0)</f>
        <v>0</v>
      </c>
      <c r="M64" s="70" t="s">
        <v>140</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160000</v>
      </c>
      <c r="D65" s="43">
        <f t="shared" si="1"/>
        <v>1.9693034819747188E-3</v>
      </c>
      <c r="E65" s="33">
        <v>0</v>
      </c>
      <c r="F65" s="43">
        <f t="shared" si="25"/>
        <v>0</v>
      </c>
      <c r="G65" s="33">
        <f t="shared" si="2"/>
        <v>160000</v>
      </c>
      <c r="H65" s="99">
        <f>+IFERROR(C65/E65*100-100,0)</f>
        <v>0</v>
      </c>
      <c r="I65" s="33">
        <v>402205.12</v>
      </c>
      <c r="J65" s="43">
        <f t="shared" si="4"/>
        <v>5.2613453018040346E-3</v>
      </c>
      <c r="K65" s="33">
        <f t="shared" si="6"/>
        <v>-242205.12</v>
      </c>
      <c r="L65" s="99">
        <f>+IFERROR(C65/I65*100-100,0)</f>
        <v>-60.219303026276741</v>
      </c>
      <c r="M65" s="70" t="s">
        <v>128</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53</v>
      </c>
      <c r="C66" s="33">
        <f>+C57-C60-C64-C65</f>
        <v>-47013008.794800051</v>
      </c>
      <c r="D66" s="43">
        <f t="shared" si="1"/>
        <v>-0.57864301198567392</v>
      </c>
      <c r="E66" s="33">
        <f>+E57-E60-E64-E65</f>
        <v>-38943760.041002557</v>
      </c>
      <c r="F66" s="43">
        <f t="shared" si="25"/>
        <v>-0.47932551406208912</v>
      </c>
      <c r="G66" s="33">
        <f t="shared" ref="G66:G73" si="26">+C66-E66</f>
        <v>-8069248.7537974939</v>
      </c>
      <c r="H66" s="99">
        <f t="shared" ref="H66:H73" si="27">+C66/E66*100-100</f>
        <v>20.72026107726029</v>
      </c>
      <c r="I66" s="33">
        <f>+I57-I60-I64-I65</f>
        <v>-19432463.192999996</v>
      </c>
      <c r="J66" s="43">
        <f t="shared" si="4"/>
        <v>-0.25420088864848456</v>
      </c>
      <c r="K66" s="33">
        <f t="shared" ref="K66:K73" si="28">+C66-I66</f>
        <v>-27580545.601800054</v>
      </c>
      <c r="L66" s="99">
        <f t="shared" ref="L66:L73" si="29">+C66/I66*100-100</f>
        <v>141.93026034772154</v>
      </c>
      <c r="M66" s="70" t="s">
        <v>141</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47013008.794800051</v>
      </c>
      <c r="D67" s="43">
        <f t="shared" ref="D67:D73" si="30">+C67/$C$2*100</f>
        <v>0.57864301198567392</v>
      </c>
      <c r="E67" s="33">
        <f>+SUM(E68:E73)+E56</f>
        <v>38943760.041002557</v>
      </c>
      <c r="F67" s="43">
        <f t="shared" si="25"/>
        <v>0.47932551406208912</v>
      </c>
      <c r="G67" s="33">
        <f t="shared" si="26"/>
        <v>8069248.7537974939</v>
      </c>
      <c r="H67" s="99">
        <f t="shared" si="27"/>
        <v>20.72026107726029</v>
      </c>
      <c r="I67" s="33">
        <f>+SUM(I68:I73)+I56</f>
        <v>19432463.192999996</v>
      </c>
      <c r="J67" s="43">
        <f t="shared" ref="J67:J73" si="31">+I67/$I$2*100</f>
        <v>0.25420088864848456</v>
      </c>
      <c r="K67" s="33">
        <f t="shared" si="28"/>
        <v>27580545.601800054</v>
      </c>
      <c r="L67" s="99">
        <f t="shared" si="29"/>
        <v>141.93026034772154</v>
      </c>
      <c r="M67" s="70" t="s">
        <v>142</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54</v>
      </c>
      <c r="C68" s="23">
        <v>2661279.67</v>
      </c>
      <c r="D68" s="41">
        <f t="shared" si="30"/>
        <v>3.2755420753997067E-2</v>
      </c>
      <c r="E68" s="23">
        <v>4092130</v>
      </c>
      <c r="F68" s="41">
        <f t="shared" si="25"/>
        <v>5.0366536610582546E-2</v>
      </c>
      <c r="G68" s="23">
        <f t="shared" si="26"/>
        <v>-1430850.33</v>
      </c>
      <c r="H68" s="94">
        <f t="shared" si="27"/>
        <v>-34.965906019603494</v>
      </c>
      <c r="I68" s="23">
        <v>855621.6</v>
      </c>
      <c r="J68" s="41">
        <f t="shared" si="31"/>
        <v>1.1192599152596693E-2</v>
      </c>
      <c r="K68" s="23">
        <f t="shared" si="28"/>
        <v>1805658.0699999998</v>
      </c>
      <c r="L68" s="94">
        <f t="shared" si="29"/>
        <v>211.03465246786664</v>
      </c>
      <c r="M68" s="72" t="s">
        <v>143</v>
      </c>
    </row>
    <row r="69" spans="1:16382" ht="15" customHeight="1">
      <c r="A69" s="21">
        <v>7512</v>
      </c>
      <c r="B69" s="22" t="s">
        <v>49</v>
      </c>
      <c r="C69" s="23">
        <v>460934.10000000003</v>
      </c>
      <c r="D69" s="41">
        <f t="shared" si="30"/>
        <v>5.6732445505680218E-3</v>
      </c>
      <c r="E69" s="23">
        <v>4000000</v>
      </c>
      <c r="F69" s="41">
        <f t="shared" si="25"/>
        <v>4.9232587049367976E-2</v>
      </c>
      <c r="G69" s="23">
        <f t="shared" si="26"/>
        <v>-3539065.9</v>
      </c>
      <c r="H69" s="94">
        <f t="shared" si="27"/>
        <v>-88.476647499999999</v>
      </c>
      <c r="I69" s="23">
        <v>996666.25</v>
      </c>
      <c r="J69" s="41">
        <f t="shared" si="31"/>
        <v>1.303763933165283E-2</v>
      </c>
      <c r="K69" s="23">
        <f t="shared" si="28"/>
        <v>-535732.14999999991</v>
      </c>
      <c r="L69" s="94">
        <f t="shared" si="29"/>
        <v>-53.752412103851213</v>
      </c>
      <c r="M69" s="72" t="s">
        <v>144</v>
      </c>
    </row>
    <row r="70" spans="1:16382" ht="15" customHeight="1">
      <c r="A70" s="18">
        <v>72</v>
      </c>
      <c r="B70" s="19" t="s">
        <v>168</v>
      </c>
      <c r="C70" s="20">
        <v>8111872.1299999999</v>
      </c>
      <c r="D70" s="40">
        <f t="shared" si="30"/>
        <v>9.9842112693391757E-2</v>
      </c>
      <c r="E70" s="20">
        <v>8000000</v>
      </c>
      <c r="F70" s="40">
        <f t="shared" si="25"/>
        <v>9.8465174098735953E-2</v>
      </c>
      <c r="G70" s="20">
        <f t="shared" si="26"/>
        <v>111872.12999999989</v>
      </c>
      <c r="H70" s="89">
        <f t="shared" si="27"/>
        <v>1.3984016250000053</v>
      </c>
      <c r="I70" s="20">
        <v>5851046.4699999997</v>
      </c>
      <c r="J70" s="40">
        <f t="shared" si="31"/>
        <v>7.6538995464730988E-2</v>
      </c>
      <c r="K70" s="20">
        <f t="shared" si="28"/>
        <v>2260825.66</v>
      </c>
      <c r="L70" s="89">
        <f t="shared" si="29"/>
        <v>38.639680467278879</v>
      </c>
      <c r="M70" s="71" t="s">
        <v>145</v>
      </c>
    </row>
    <row r="71" spans="1:16382" ht="15" customHeight="1">
      <c r="A71" s="28">
        <v>73</v>
      </c>
      <c r="B71" s="19" t="s">
        <v>184</v>
      </c>
      <c r="C71" s="30">
        <v>257334.22999999998</v>
      </c>
      <c r="D71" s="40">
        <f t="shared" si="30"/>
        <v>3.1673074698142698E-3</v>
      </c>
      <c r="E71" s="30">
        <v>0</v>
      </c>
      <c r="F71" s="40">
        <f t="shared" si="25"/>
        <v>0</v>
      </c>
      <c r="G71" s="20">
        <f t="shared" si="26"/>
        <v>257334.22999999998</v>
      </c>
      <c r="H71" s="89">
        <f>+IFERROR(C71/E71*100-100,0)</f>
        <v>0</v>
      </c>
      <c r="I71" s="30">
        <v>199288.69999999998</v>
      </c>
      <c r="J71" s="40">
        <f t="shared" si="31"/>
        <v>2.6069450966900516E-3</v>
      </c>
      <c r="K71" s="20">
        <f t="shared" si="28"/>
        <v>58045.53</v>
      </c>
      <c r="L71" s="89">
        <f t="shared" si="29"/>
        <v>29.126352873996353</v>
      </c>
      <c r="M71" s="74" t="s">
        <v>107</v>
      </c>
    </row>
    <row r="72" spans="1:16382" ht="15" customHeight="1">
      <c r="A72" s="28"/>
      <c r="B72" s="29" t="s">
        <v>150</v>
      </c>
      <c r="C72" s="30">
        <v>32628887.930000003</v>
      </c>
      <c r="D72" s="40">
        <f t="shared" si="30"/>
        <v>0.4016011413344493</v>
      </c>
      <c r="E72" s="30">
        <v>26000000</v>
      </c>
      <c r="F72" s="40">
        <f t="shared" ref="F72" si="32">+E72/$E$2*100</f>
        <v>0.32001181582089189</v>
      </c>
      <c r="G72" s="20">
        <f t="shared" ref="G72" si="33">+C72-E72</f>
        <v>6628887.9300000034</v>
      </c>
      <c r="H72" s="89">
        <f t="shared" ref="H72" si="34">+C72/E72*100-100</f>
        <v>25.495722807692317</v>
      </c>
      <c r="I72" s="30">
        <v>27366859.339999996</v>
      </c>
      <c r="J72" s="40">
        <f t="shared" ref="J72" si="35">+I72/$I$2*100</f>
        <v>0.35799269987821353</v>
      </c>
      <c r="K72" s="20">
        <f t="shared" ref="K72" si="36">+C72-I72</f>
        <v>5262028.5900000073</v>
      </c>
      <c r="L72" s="89">
        <f t="shared" ref="L72" si="37">+C72/I72*100-100</f>
        <v>19.227740109399065</v>
      </c>
      <c r="M72" s="74" t="s">
        <v>151</v>
      </c>
    </row>
    <row r="73" spans="1:16382" ht="15" customHeight="1" thickBot="1">
      <c r="A73" s="24"/>
      <c r="B73" s="25" t="s">
        <v>189</v>
      </c>
      <c r="C73" s="26">
        <f>+-C66-SUM(C68:C72)</f>
        <v>2892700.7348000482</v>
      </c>
      <c r="D73" s="42">
        <f t="shared" si="30"/>
        <v>3.5603785183453522E-2</v>
      </c>
      <c r="E73" s="26">
        <f>+-E66-SUM(E68:E72)</f>
        <v>-3148369.9589974433</v>
      </c>
      <c r="F73" s="42">
        <f t="shared" si="25"/>
        <v>-3.875059951748918E-2</v>
      </c>
      <c r="G73" s="26">
        <f t="shared" si="26"/>
        <v>6041070.6937974915</v>
      </c>
      <c r="H73" s="95">
        <f t="shared" si="27"/>
        <v>-191.8793144539211</v>
      </c>
      <c r="I73" s="26">
        <f>+-I66-(SUM(I68:I72)+I56)</f>
        <v>-15837019.167000003</v>
      </c>
      <c r="J73" s="42">
        <f t="shared" si="31"/>
        <v>-0.20716799027539956</v>
      </c>
      <c r="K73" s="26">
        <f t="shared" si="28"/>
        <v>18729719.901800051</v>
      </c>
      <c r="L73" s="95">
        <f t="shared" si="29"/>
        <v>-118.26543684955337</v>
      </c>
      <c r="M73" s="75" t="s">
        <v>146</v>
      </c>
    </row>
    <row r="74" spans="1:16382" ht="13.5" customHeight="1"/>
    <row r="76" spans="1:16382">
      <c r="B76" s="4" t="s">
        <v>188</v>
      </c>
    </row>
    <row r="77" spans="1:16382">
      <c r="B77" s="4" t="s">
        <v>190</v>
      </c>
    </row>
    <row r="78" spans="1:16382">
      <c r="G78" s="84"/>
    </row>
    <row r="80" spans="1:16382">
      <c r="J80" s="85"/>
    </row>
  </sheetData>
  <sheetProtection algorithmName="SHA-512" hashValue="aqIUZeicuLfJDXNhwiXTCPYjnL7JFO3iLRcSmoLaW/iauT11Uj7s6yWP9v4ku6UAWiGJVmphdEXLfQsvgA6OsA==" saltValue="dch62CNUm6oai/QGsKzeJA=="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7"/>
  <sheetViews>
    <sheetView zoomScale="90" zoomScaleNormal="90" zoomScaleSheetLayoutView="90" workbookViewId="0">
      <pane ySplit="5" topLeftCell="A6" activePane="bottomLeft" state="frozen"/>
      <selection activeCell="G14" sqref="G14"/>
      <selection pane="bottomLeft"/>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6" customWidth="1"/>
    <col min="9" max="9" width="9.140625" style="6"/>
    <col min="10" max="10" width="9.5703125" style="7" customWidth="1"/>
    <col min="11" max="11" width="11.28515625" style="6" customWidth="1"/>
    <col min="12" max="12" width="11.7109375" style="96"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5"/>
      <c r="M1" s="5"/>
    </row>
    <row r="2" spans="1:16357" ht="15.75" customHeight="1" thickBot="1">
      <c r="A2" s="8" t="s">
        <v>57</v>
      </c>
      <c r="B2" s="8"/>
      <c r="C2" s="114">
        <f>'Centralna država-ek klas'!C2:D2</f>
        <v>8124700000</v>
      </c>
      <c r="D2" s="115"/>
      <c r="E2" s="114">
        <f>'Centralna država-ek klas'!E2:F2</f>
        <v>8124700000</v>
      </c>
      <c r="F2" s="115"/>
      <c r="G2" s="9"/>
      <c r="H2" s="97"/>
      <c r="I2" s="128">
        <f>+'Centralna država-ek klas'!I2:J2</f>
        <v>7644530000</v>
      </c>
      <c r="J2" s="129"/>
      <c r="K2" s="9"/>
      <c r="L2" s="97"/>
      <c r="M2" s="8" t="s">
        <v>77</v>
      </c>
    </row>
    <row r="3" spans="1:16357" ht="15" customHeight="1" thickBot="1">
      <c r="A3" s="8"/>
      <c r="B3" s="8"/>
      <c r="C3" s="11"/>
      <c r="D3" s="8"/>
      <c r="E3" s="11"/>
      <c r="F3" s="10"/>
      <c r="G3" s="11"/>
      <c r="H3" s="97"/>
      <c r="I3" s="11"/>
      <c r="J3" s="10"/>
      <c r="K3" s="11"/>
      <c r="L3" s="97"/>
      <c r="M3" s="8"/>
    </row>
    <row r="4" spans="1:16357" ht="15" customHeight="1">
      <c r="A4" s="120" t="s">
        <v>69</v>
      </c>
      <c r="B4" s="118" t="s">
        <v>70</v>
      </c>
      <c r="C4" s="124" t="s">
        <v>191</v>
      </c>
      <c r="D4" s="125"/>
      <c r="E4" s="126" t="s">
        <v>192</v>
      </c>
      <c r="F4" s="127"/>
      <c r="G4" s="122" t="s">
        <v>167</v>
      </c>
      <c r="H4" s="123"/>
      <c r="I4" s="122" t="s">
        <v>193</v>
      </c>
      <c r="J4" s="123"/>
      <c r="K4" s="122" t="s">
        <v>167</v>
      </c>
      <c r="L4" s="123"/>
      <c r="M4" s="116" t="s">
        <v>147</v>
      </c>
    </row>
    <row r="5" spans="1:16357" ht="24" customHeight="1">
      <c r="A5" s="121"/>
      <c r="B5" s="119"/>
      <c r="C5" s="12" t="s">
        <v>60</v>
      </c>
      <c r="D5" s="13" t="s">
        <v>55</v>
      </c>
      <c r="E5" s="12" t="s">
        <v>60</v>
      </c>
      <c r="F5" s="13" t="s">
        <v>55</v>
      </c>
      <c r="G5" s="12" t="s">
        <v>63</v>
      </c>
      <c r="H5" s="98" t="s">
        <v>61</v>
      </c>
      <c r="I5" s="12" t="s">
        <v>60</v>
      </c>
      <c r="J5" s="14" t="s">
        <v>55</v>
      </c>
      <c r="K5" s="12" t="s">
        <v>60</v>
      </c>
      <c r="L5" s="100" t="s">
        <v>61</v>
      </c>
      <c r="M5" s="117"/>
    </row>
    <row r="6" spans="1:16357" s="38" customFormat="1" ht="15" customHeight="1">
      <c r="A6" s="35"/>
      <c r="B6" s="36" t="s">
        <v>50</v>
      </c>
      <c r="C6" s="37">
        <f>+C7+C17+C22+C23+C24+C25+C26</f>
        <v>3357879691.5600004</v>
      </c>
      <c r="D6" s="44">
        <f>+C6/$C$2*100</f>
        <v>41.329276054008155</v>
      </c>
      <c r="E6" s="37">
        <f>+E7+E17+E22+E23+E24+E25+E26</f>
        <v>3359254021.7391796</v>
      </c>
      <c r="F6" s="44">
        <f t="shared" ref="F6:F52" si="0">+E6/$E$2*100</f>
        <v>41.346191511553407</v>
      </c>
      <c r="G6" s="37">
        <f>+C6-E6</f>
        <v>-1374330.1791791916</v>
      </c>
      <c r="H6" s="101">
        <f>+C6/E6*100-100</f>
        <v>-4.0911767025804124E-2</v>
      </c>
      <c r="I6" s="37">
        <f>+I7+I17+I22+I23+I24+I25+I26</f>
        <v>3188382115.6500006</v>
      </c>
      <c r="J6" s="44">
        <f>+I6/$I$2*100</f>
        <v>41.708020187637437</v>
      </c>
      <c r="K6" s="37">
        <f>+C6-I6</f>
        <v>169497575.90999985</v>
      </c>
      <c r="L6" s="101">
        <f>+C6/I6*100-100</f>
        <v>5.316099819969196</v>
      </c>
      <c r="M6" s="79" t="s">
        <v>148</v>
      </c>
      <c r="N6" s="1"/>
      <c r="O6" s="1"/>
      <c r="P6" s="8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2540586481.7900004</v>
      </c>
      <c r="D7" s="40">
        <f t="shared" ref="D7:D56" si="1">+C7/$C$2*100</f>
        <v>31.269911280293432</v>
      </c>
      <c r="E7" s="20">
        <f>+SUM(E8:E16)</f>
        <v>2474688063.2225432</v>
      </c>
      <c r="F7" s="40">
        <f t="shared" si="0"/>
        <v>30.458823873158924</v>
      </c>
      <c r="G7" s="20">
        <f t="shared" ref="G7:G55" si="2">+C7-E7</f>
        <v>65898418.567457199</v>
      </c>
      <c r="H7" s="89">
        <f t="shared" ref="H7:H55" si="3">+C7/E7*100-100</f>
        <v>2.6628979848734673</v>
      </c>
      <c r="I7" s="20">
        <f>+SUM(I8:I16)</f>
        <v>2219928879.29</v>
      </c>
      <c r="J7" s="40">
        <f t="shared" ref="J7:J56" si="4">+I7/$I$2*100</f>
        <v>29.039442310907276</v>
      </c>
      <c r="K7" s="20">
        <f t="shared" ref="K7:K55" si="5">+C7-I7</f>
        <v>320657602.50000048</v>
      </c>
      <c r="L7" s="89">
        <f t="shared" ref="L7:L55" si="6">+C7/I7*100-100</f>
        <v>14.444498897755523</v>
      </c>
      <c r="M7" s="71" t="s">
        <v>78</v>
      </c>
      <c r="Q7" s="83"/>
    </row>
    <row r="8" spans="1:16357" ht="15" customHeight="1">
      <c r="A8" s="21">
        <v>7111</v>
      </c>
      <c r="B8" s="22" t="s">
        <v>2</v>
      </c>
      <c r="C8" s="23">
        <f>+'Centralna država-ek klas'!C8+'Lokalna država-ek klas '!C8</f>
        <v>240429954.64999998</v>
      </c>
      <c r="D8" s="41">
        <f t="shared" si="1"/>
        <v>2.95924716789543</v>
      </c>
      <c r="E8" s="23">
        <f>+'Centralna država-ek klas'!E8+'Lokalna država-ek klas '!E8</f>
        <v>229932499.5656895</v>
      </c>
      <c r="F8" s="41">
        <f t="shared" si="0"/>
        <v>2.8300429500866433</v>
      </c>
      <c r="G8" s="23">
        <f t="shared" si="2"/>
        <v>10497455.084310472</v>
      </c>
      <c r="H8" s="94">
        <f t="shared" si="3"/>
        <v>4.5654507753965561</v>
      </c>
      <c r="I8" s="23">
        <f>+'Centralna država-ek klas'!I8+'Lokalna država-ek klas '!I8</f>
        <v>190616672.42000002</v>
      </c>
      <c r="J8" s="41">
        <f t="shared" si="4"/>
        <v>2.4935041450553532</v>
      </c>
      <c r="K8" s="23">
        <f t="shared" si="5"/>
        <v>49813282.229999959</v>
      </c>
      <c r="L8" s="94">
        <f t="shared" si="6"/>
        <v>26.132699515519093</v>
      </c>
      <c r="M8" s="72" t="s">
        <v>79</v>
      </c>
      <c r="P8" s="86"/>
      <c r="Q8" s="86"/>
      <c r="R8" s="86"/>
    </row>
    <row r="9" spans="1:16357" ht="15" customHeight="1">
      <c r="A9" s="21">
        <v>7112</v>
      </c>
      <c r="B9" s="22" t="s">
        <v>3</v>
      </c>
      <c r="C9" s="23">
        <f>+'Centralna država-ek klas'!C9</f>
        <v>233431231.62</v>
      </c>
      <c r="D9" s="41">
        <f t="shared" si="1"/>
        <v>2.8731058576932074</v>
      </c>
      <c r="E9" s="23">
        <f>+'Centralna država-ek klas'!E9</f>
        <v>219862849.24098608</v>
      </c>
      <c r="F9" s="41">
        <f t="shared" si="0"/>
        <v>2.7061042160447286</v>
      </c>
      <c r="G9" s="23">
        <f t="shared" si="2"/>
        <v>13568382.379013926</v>
      </c>
      <c r="H9" s="94">
        <f t="shared" si="3"/>
        <v>6.1712937978630293</v>
      </c>
      <c r="I9" s="23">
        <f>+'Centralna država-ek klas'!I9</f>
        <v>213967876.99999997</v>
      </c>
      <c r="J9" s="41">
        <f t="shared" si="4"/>
        <v>2.79896706533953</v>
      </c>
      <c r="K9" s="23">
        <f t="shared" si="5"/>
        <v>19463354.620000035</v>
      </c>
      <c r="L9" s="94">
        <f t="shared" si="6"/>
        <v>9.0963909596579526</v>
      </c>
      <c r="M9" s="72" t="s">
        <v>80</v>
      </c>
    </row>
    <row r="10" spans="1:16357" ht="15" customHeight="1">
      <c r="A10" s="21">
        <v>71131</v>
      </c>
      <c r="B10" s="22" t="s">
        <v>65</v>
      </c>
      <c r="C10" s="23">
        <f>+'Lokalna država-ek klas '!C9</f>
        <v>111105673.15000002</v>
      </c>
      <c r="D10" s="41">
        <f t="shared" si="1"/>
        <v>1.3675049312590006</v>
      </c>
      <c r="E10" s="23">
        <f>+'Lokalna država-ek klas '!E9</f>
        <v>106997744.8348</v>
      </c>
      <c r="F10" s="41">
        <f t="shared" si="0"/>
        <v>1.3169439466663384</v>
      </c>
      <c r="G10" s="23">
        <f t="shared" si="2"/>
        <v>4107928.3152000159</v>
      </c>
      <c r="H10" s="94">
        <f t="shared" si="3"/>
        <v>3.839266258875341</v>
      </c>
      <c r="I10" s="23">
        <f>+'Lokalna država-ek klas '!I9</f>
        <v>96224287.579999998</v>
      </c>
      <c r="J10" s="41">
        <f t="shared" si="4"/>
        <v>1.2587338604204574</v>
      </c>
      <c r="K10" s="23">
        <f t="shared" si="5"/>
        <v>14881385.570000023</v>
      </c>
      <c r="L10" s="94">
        <f t="shared" si="6"/>
        <v>15.465311247566021</v>
      </c>
      <c r="M10" s="72" t="s">
        <v>149</v>
      </c>
    </row>
    <row r="11" spans="1:16357" ht="15" customHeight="1">
      <c r="A11" s="21">
        <v>71132</v>
      </c>
      <c r="B11" s="22" t="s">
        <v>4</v>
      </c>
      <c r="C11" s="23">
        <f>+'Centralna država-ek klas'!C10+'Lokalna država-ek klas '!C10</f>
        <v>30291129.840000007</v>
      </c>
      <c r="D11" s="41">
        <f t="shared" si="1"/>
        <v>0.37282767166787706</v>
      </c>
      <c r="E11" s="23">
        <f>+'Centralna država-ek klas'!E10+'Lokalna država-ek klas '!E10</f>
        <v>31380516.379799999</v>
      </c>
      <c r="F11" s="41">
        <f t="shared" si="0"/>
        <v>0.38623600108065526</v>
      </c>
      <c r="G11" s="23">
        <f t="shared" si="2"/>
        <v>-1089386.539799992</v>
      </c>
      <c r="H11" s="94">
        <f t="shared" si="3"/>
        <v>-3.4715379651981948</v>
      </c>
      <c r="I11" s="23">
        <f>+'Centralna država-ek klas'!I10+'Lokalna država-ek klas '!I10</f>
        <v>25830675.829999998</v>
      </c>
      <c r="J11" s="41">
        <f t="shared" si="4"/>
        <v>0.33789750095820148</v>
      </c>
      <c r="K11" s="23">
        <f t="shared" si="5"/>
        <v>4460454.0100000091</v>
      </c>
      <c r="L11" s="94">
        <f t="shared" si="6"/>
        <v>17.268049970336421</v>
      </c>
      <c r="M11" s="72" t="s">
        <v>81</v>
      </c>
    </row>
    <row r="12" spans="1:16357" ht="15" customHeight="1">
      <c r="A12" s="21">
        <v>7114</v>
      </c>
      <c r="B12" s="22" t="s">
        <v>5</v>
      </c>
      <c r="C12" s="23">
        <f>+'Centralna država-ek klas'!C11</f>
        <v>1403654521.4600003</v>
      </c>
      <c r="D12" s="41">
        <f t="shared" si="1"/>
        <v>17.276385853754604</v>
      </c>
      <c r="E12" s="23">
        <f>+'Centralna država-ek klas'!E11</f>
        <v>1372592999.9958332</v>
      </c>
      <c r="F12" s="41">
        <f t="shared" si="0"/>
        <v>16.894076088911998</v>
      </c>
      <c r="G12" s="23">
        <f t="shared" si="2"/>
        <v>31061521.464167118</v>
      </c>
      <c r="H12" s="94">
        <f t="shared" si="3"/>
        <v>2.2629811942987743</v>
      </c>
      <c r="I12" s="23">
        <f>+'Centralna država-ek klas'!I11</f>
        <v>1222596931.1700001</v>
      </c>
      <c r="J12" s="41">
        <f t="shared" si="4"/>
        <v>15.993094816424295</v>
      </c>
      <c r="K12" s="23">
        <f t="shared" si="5"/>
        <v>181057590.2900002</v>
      </c>
      <c r="L12" s="94">
        <f t="shared" si="6"/>
        <v>14.809262617462309</v>
      </c>
      <c r="M12" s="72" t="s">
        <v>82</v>
      </c>
    </row>
    <row r="13" spans="1:16357" ht="15" customHeight="1">
      <c r="A13" s="21">
        <v>7115</v>
      </c>
      <c r="B13" s="22" t="s">
        <v>6</v>
      </c>
      <c r="C13" s="23">
        <f>+'Centralna država-ek klas'!C12</f>
        <v>403172372.66999996</v>
      </c>
      <c r="D13" s="41">
        <f t="shared" si="1"/>
        <v>4.9623047333440002</v>
      </c>
      <c r="E13" s="23">
        <f>+'Centralna država-ek klas'!E12</f>
        <v>403500000</v>
      </c>
      <c r="F13" s="41">
        <f t="shared" si="0"/>
        <v>4.9663372186049948</v>
      </c>
      <c r="G13" s="23">
        <f t="shared" si="2"/>
        <v>-327627.33000004292</v>
      </c>
      <c r="H13" s="94">
        <f t="shared" si="3"/>
        <v>-8.1196364312276614E-2</v>
      </c>
      <c r="I13" s="23">
        <f>+'Centralna država-ek klas'!I12</f>
        <v>368589654.71000004</v>
      </c>
      <c r="J13" s="41">
        <f t="shared" si="4"/>
        <v>4.8216130319326371</v>
      </c>
      <c r="K13" s="23">
        <f t="shared" si="5"/>
        <v>34582717.959999919</v>
      </c>
      <c r="L13" s="94">
        <f t="shared" si="6"/>
        <v>9.3824440046232525</v>
      </c>
      <c r="M13" s="72" t="s">
        <v>83</v>
      </c>
    </row>
    <row r="14" spans="1:16357" ht="15" customHeight="1">
      <c r="A14" s="21">
        <v>7116</v>
      </c>
      <c r="B14" s="22" t="s">
        <v>7</v>
      </c>
      <c r="C14" s="23">
        <f>+'Centralna država-ek klas'!C13</f>
        <v>69907569.540000007</v>
      </c>
      <c r="D14" s="41">
        <f t="shared" si="1"/>
        <v>0.860432625696949</v>
      </c>
      <c r="E14" s="23">
        <f>+'Centralna država-ek klas'!E13</f>
        <v>63992988.618167341</v>
      </c>
      <c r="F14" s="41">
        <f t="shared" si="0"/>
        <v>0.78763509567328449</v>
      </c>
      <c r="G14" s="23">
        <f t="shared" si="2"/>
        <v>5914580.9218326658</v>
      </c>
      <c r="H14" s="94">
        <f t="shared" si="3"/>
        <v>9.2425452374536263</v>
      </c>
      <c r="I14" s="23">
        <f>+'Centralna država-ek klas'!I13</f>
        <v>60376879.519999996</v>
      </c>
      <c r="J14" s="41">
        <f t="shared" si="4"/>
        <v>0.78980499154297257</v>
      </c>
      <c r="K14" s="23">
        <f t="shared" si="5"/>
        <v>9530690.0200000107</v>
      </c>
      <c r="L14" s="94">
        <f t="shared" si="6"/>
        <v>15.785330569863149</v>
      </c>
      <c r="M14" s="72" t="s">
        <v>84</v>
      </c>
    </row>
    <row r="15" spans="1:16357" ht="15" customHeight="1">
      <c r="A15" s="21"/>
      <c r="B15" s="22" t="s">
        <v>155</v>
      </c>
      <c r="C15" s="23">
        <f>+'Lokalna država-ek klas '!C11</f>
        <v>32192771.689999998</v>
      </c>
      <c r="D15" s="41">
        <f t="shared" si="1"/>
        <v>0.39623335864708853</v>
      </c>
      <c r="E15" s="23">
        <f>+'Lokalna država-ek klas '!E11</f>
        <v>31121786.805199999</v>
      </c>
      <c r="F15" s="41">
        <f t="shared" si="0"/>
        <v>0.38305151950472016</v>
      </c>
      <c r="G15" s="23">
        <f t="shared" si="2"/>
        <v>1070984.8847999983</v>
      </c>
      <c r="H15" s="94">
        <f t="shared" si="3"/>
        <v>3.4412705526954284</v>
      </c>
      <c r="I15" s="23">
        <f>+'Lokalna država-ek klas '!I11</f>
        <v>26813006.419999994</v>
      </c>
      <c r="J15" s="41">
        <f t="shared" si="4"/>
        <v>0.35074761195259868</v>
      </c>
      <c r="K15" s="23">
        <f t="shared" si="5"/>
        <v>5379765.2700000033</v>
      </c>
      <c r="L15" s="94">
        <f t="shared" si="6"/>
        <v>20.064013657145139</v>
      </c>
      <c r="M15" s="72" t="s">
        <v>156</v>
      </c>
    </row>
    <row r="16" spans="1:16357" ht="15" customHeight="1">
      <c r="A16" s="21">
        <v>7118</v>
      </c>
      <c r="B16" s="22" t="s">
        <v>59</v>
      </c>
      <c r="C16" s="23">
        <f>+'Centralna država-ek klas'!C14</f>
        <v>16401257.169999998</v>
      </c>
      <c r="D16" s="41">
        <f t="shared" si="1"/>
        <v>0.2018690803352739</v>
      </c>
      <c r="E16" s="23">
        <f>+'Centralna država-ek klas'!E14</f>
        <v>15306677.782066878</v>
      </c>
      <c r="F16" s="41">
        <f t="shared" si="0"/>
        <v>0.18839683658555859</v>
      </c>
      <c r="G16" s="23">
        <f t="shared" si="2"/>
        <v>1094579.3879331201</v>
      </c>
      <c r="H16" s="94">
        <f t="shared" si="3"/>
        <v>7.1509925505554008</v>
      </c>
      <c r="I16" s="23">
        <f>+'Centralna država-ek klas'!I14</f>
        <v>14912894.639999997</v>
      </c>
      <c r="J16" s="41">
        <f t="shared" si="4"/>
        <v>0.19507928728123242</v>
      </c>
      <c r="K16" s="23">
        <f t="shared" si="5"/>
        <v>1488362.5300000012</v>
      </c>
      <c r="L16" s="94">
        <f t="shared" si="6"/>
        <v>9.9803731329788405</v>
      </c>
      <c r="M16" s="72" t="s">
        <v>85</v>
      </c>
    </row>
    <row r="17" spans="1:16357" ht="15" customHeight="1">
      <c r="A17" s="18">
        <v>712</v>
      </c>
      <c r="B17" s="19" t="s">
        <v>8</v>
      </c>
      <c r="C17" s="20">
        <f>+SUM(C18:C21)</f>
        <v>420381280.55000001</v>
      </c>
      <c r="D17" s="40">
        <f t="shared" si="1"/>
        <v>5.1741144971506641</v>
      </c>
      <c r="E17" s="20">
        <f>+SUM(E18:E21)</f>
        <v>449051321.86718369</v>
      </c>
      <c r="F17" s="40">
        <f t="shared" si="0"/>
        <v>5.5269895733649692</v>
      </c>
      <c r="G17" s="20">
        <f t="shared" si="2"/>
        <v>-28670041.317183673</v>
      </c>
      <c r="H17" s="89">
        <f t="shared" si="3"/>
        <v>-6.384580096094993</v>
      </c>
      <c r="I17" s="20">
        <f>+SUM(I18:I21)</f>
        <v>584706543.50999999</v>
      </c>
      <c r="J17" s="40">
        <f t="shared" si="4"/>
        <v>7.6486918556144063</v>
      </c>
      <c r="K17" s="20">
        <f t="shared" si="5"/>
        <v>-164325262.95999998</v>
      </c>
      <c r="L17" s="89">
        <f t="shared" si="6"/>
        <v>-28.103886433962856</v>
      </c>
      <c r="M17" s="71" t="s">
        <v>86</v>
      </c>
    </row>
    <row r="18" spans="1:16357" ht="15" customHeight="1">
      <c r="A18" s="21">
        <v>7121</v>
      </c>
      <c r="B18" s="22" t="s">
        <v>9</v>
      </c>
      <c r="C18" s="23">
        <f>+'Centralna država-ek klas'!C16</f>
        <v>353301163.85000002</v>
      </c>
      <c r="D18" s="41">
        <f t="shared" si="1"/>
        <v>4.348482575972036</v>
      </c>
      <c r="E18" s="23">
        <f>+'Centralna država-ek klas'!E16</f>
        <v>397338927.3414011</v>
      </c>
      <c r="F18" s="41">
        <f t="shared" si="0"/>
        <v>4.8905058321095067</v>
      </c>
      <c r="G18" s="23">
        <f t="shared" si="2"/>
        <v>-44037763.491401076</v>
      </c>
      <c r="H18" s="94">
        <f t="shared" si="3"/>
        <v>-11.083173699103227</v>
      </c>
      <c r="I18" s="23">
        <f>+'Centralna država-ek klas'!I16</f>
        <v>532748560.6500001</v>
      </c>
      <c r="J18" s="41">
        <f t="shared" si="4"/>
        <v>6.9690165471258547</v>
      </c>
      <c r="K18" s="23">
        <f t="shared" si="5"/>
        <v>-179447396.80000007</v>
      </c>
      <c r="L18" s="94">
        <f t="shared" si="6"/>
        <v>-33.683318933993647</v>
      </c>
      <c r="M18" s="72" t="s">
        <v>87</v>
      </c>
    </row>
    <row r="19" spans="1:16357" ht="15" customHeight="1">
      <c r="A19" s="21">
        <v>7122</v>
      </c>
      <c r="B19" s="22" t="s">
        <v>10</v>
      </c>
      <c r="C19" s="23">
        <f>+'Centralna država-ek klas'!C17</f>
        <v>7466196.290000001</v>
      </c>
      <c r="D19" s="41">
        <f t="shared" si="1"/>
        <v>9.1895039693773314E-2</v>
      </c>
      <c r="E19" s="23">
        <f>+'Centralna država-ek klas'!E17</f>
        <v>6000000.0043292958</v>
      </c>
      <c r="F19" s="41">
        <f t="shared" si="0"/>
        <v>7.3848880627337563E-2</v>
      </c>
      <c r="G19" s="23">
        <f t="shared" si="2"/>
        <v>1466196.2856707051</v>
      </c>
      <c r="H19" s="94">
        <f t="shared" si="3"/>
        <v>24.436604743546212</v>
      </c>
      <c r="I19" s="23">
        <f>+'Centralna država-ek klas'!I17</f>
        <v>5424031.6500000004</v>
      </c>
      <c r="J19" s="41">
        <f t="shared" si="4"/>
        <v>7.0953108300968154E-2</v>
      </c>
      <c r="K19" s="23">
        <f t="shared" si="5"/>
        <v>2042164.6400000006</v>
      </c>
      <c r="L19" s="94">
        <f t="shared" si="6"/>
        <v>37.650308327385972</v>
      </c>
      <c r="M19" s="72" t="s">
        <v>88</v>
      </c>
    </row>
    <row r="20" spans="1:16357" ht="15" customHeight="1">
      <c r="A20" s="21">
        <v>7123</v>
      </c>
      <c r="B20" s="22" t="s">
        <v>11</v>
      </c>
      <c r="C20" s="23">
        <f>+'Centralna država-ek klas'!C18</f>
        <v>34755174.259999998</v>
      </c>
      <c r="D20" s="41">
        <f t="shared" si="1"/>
        <v>0.42777178554285078</v>
      </c>
      <c r="E20" s="23">
        <f>+'Centralna država-ek klas'!E18</f>
        <v>26000000.003721446</v>
      </c>
      <c r="F20" s="41">
        <f t="shared" si="0"/>
        <v>0.32001181586669591</v>
      </c>
      <c r="G20" s="23">
        <f t="shared" si="2"/>
        <v>8755174.2562785521</v>
      </c>
      <c r="H20" s="94">
        <f t="shared" si="3"/>
        <v>33.673747134713096</v>
      </c>
      <c r="I20" s="23">
        <f>+'Centralna država-ek klas'!I18</f>
        <v>26960661.290000003</v>
      </c>
      <c r="J20" s="41">
        <f t="shared" si="4"/>
        <v>0.35267912206505836</v>
      </c>
      <c r="K20" s="23">
        <f t="shared" si="5"/>
        <v>7794512.9699999951</v>
      </c>
      <c r="L20" s="94">
        <f t="shared" si="6"/>
        <v>28.910689119079819</v>
      </c>
      <c r="M20" s="72" t="s">
        <v>89</v>
      </c>
    </row>
    <row r="21" spans="1:16357" ht="15" customHeight="1">
      <c r="A21" s="21">
        <v>7124</v>
      </c>
      <c r="B21" s="22" t="s">
        <v>12</v>
      </c>
      <c r="C21" s="23">
        <f>+'Centralna država-ek klas'!C19</f>
        <v>24858746.150000002</v>
      </c>
      <c r="D21" s="41">
        <f t="shared" si="1"/>
        <v>0.30596509594200405</v>
      </c>
      <c r="E21" s="23">
        <f>+'Centralna država-ek klas'!E19</f>
        <v>19712394.517731793</v>
      </c>
      <c r="F21" s="41">
        <f t="shared" si="0"/>
        <v>0.24262304476142865</v>
      </c>
      <c r="G21" s="23">
        <f t="shared" si="2"/>
        <v>5146351.632268209</v>
      </c>
      <c r="H21" s="94">
        <f t="shared" si="3"/>
        <v>26.107186661868681</v>
      </c>
      <c r="I21" s="23">
        <f>+'Centralna država-ek klas'!I19</f>
        <v>19573289.920000002</v>
      </c>
      <c r="J21" s="41">
        <f t="shared" si="4"/>
        <v>0.25604307812252686</v>
      </c>
      <c r="K21" s="23">
        <f t="shared" si="5"/>
        <v>5285456.2300000004</v>
      </c>
      <c r="L21" s="94">
        <f t="shared" si="6"/>
        <v>27.003412566833319</v>
      </c>
      <c r="M21" s="72" t="s">
        <v>90</v>
      </c>
    </row>
    <row r="22" spans="1:16357" ht="15" customHeight="1">
      <c r="A22" s="18">
        <v>713</v>
      </c>
      <c r="B22" s="19" t="s">
        <v>13</v>
      </c>
      <c r="C22" s="20">
        <f>+'Centralna država-ek klas'!C20+'Lokalna država-ek klas '!C12</f>
        <v>22937967.16</v>
      </c>
      <c r="D22" s="40">
        <f t="shared" si="1"/>
        <v>0.28232386623506095</v>
      </c>
      <c r="E22" s="20">
        <f>+'Centralna država-ek klas'!E20+'Lokalna država-ek klas '!E12</f>
        <v>23483285.117596306</v>
      </c>
      <c r="F22" s="40">
        <f t="shared" si="0"/>
        <v>0.28903571968929692</v>
      </c>
      <c r="G22" s="20">
        <f t="shared" si="2"/>
        <v>-545317.95759630576</v>
      </c>
      <c r="H22" s="89">
        <f t="shared" si="3"/>
        <v>-2.3221536291261486</v>
      </c>
      <c r="I22" s="20">
        <f>+'Centralna država-ek klas'!I20+'Lokalna država-ek klas '!I12</f>
        <v>21630368.550000004</v>
      </c>
      <c r="J22" s="40">
        <f t="shared" si="4"/>
        <v>0.28295223578166356</v>
      </c>
      <c r="K22" s="20">
        <f t="shared" si="5"/>
        <v>1307598.6099999957</v>
      </c>
      <c r="L22" s="89">
        <f t="shared" si="6"/>
        <v>6.0451980139746553</v>
      </c>
      <c r="M22" s="71" t="s">
        <v>91</v>
      </c>
    </row>
    <row r="23" spans="1:16357" ht="15" customHeight="1">
      <c r="A23" s="18">
        <v>714</v>
      </c>
      <c r="B23" s="19" t="s">
        <v>19</v>
      </c>
      <c r="C23" s="20">
        <f>+'Centralna država-ek klas'!C25+'Lokalna država-ek klas '!C19</f>
        <v>164881488.42000002</v>
      </c>
      <c r="D23" s="40">
        <f t="shared" si="1"/>
        <v>2.0293855578667523</v>
      </c>
      <c r="E23" s="20">
        <f>+'Centralna država-ek klas'!E25+'Lokalna država-ek klas '!E19</f>
        <v>163467935.44423929</v>
      </c>
      <c r="F23" s="40">
        <f t="shared" si="0"/>
        <v>2.0119873403847439</v>
      </c>
      <c r="G23" s="20">
        <f t="shared" si="2"/>
        <v>1413552.9757607281</v>
      </c>
      <c r="H23" s="89">
        <f t="shared" si="3"/>
        <v>0.86472797978348126</v>
      </c>
      <c r="I23" s="20">
        <f>+'Centralna država-ek klas'!I25+'Lokalna država-ek klas '!I19</f>
        <v>137376238.01000002</v>
      </c>
      <c r="J23" s="40">
        <f t="shared" si="4"/>
        <v>1.7970527685809332</v>
      </c>
      <c r="K23" s="20">
        <f t="shared" si="5"/>
        <v>27505250.409999996</v>
      </c>
      <c r="L23" s="89">
        <f t="shared" si="6"/>
        <v>20.021839881798044</v>
      </c>
      <c r="M23" s="71" t="s">
        <v>96</v>
      </c>
    </row>
    <row r="24" spans="1:16357" ht="15" customHeight="1">
      <c r="A24" s="18">
        <v>715</v>
      </c>
      <c r="B24" s="19" t="s">
        <v>26</v>
      </c>
      <c r="C24" s="20">
        <f>+'Centralna država-ek klas'!C32+'Lokalna država-ek klas '!C30</f>
        <v>72377412.310000002</v>
      </c>
      <c r="D24" s="40">
        <f t="shared" si="1"/>
        <v>0.89083181299001812</v>
      </c>
      <c r="E24" s="20">
        <f>+'Centralna država-ek klas'!E32+'Lokalna država-ek klas '!E30</f>
        <v>71743408.180217236</v>
      </c>
      <c r="F24" s="40">
        <f t="shared" si="0"/>
        <v>0.88302839711272096</v>
      </c>
      <c r="G24" s="20">
        <f t="shared" si="2"/>
        <v>634004.1297827661</v>
      </c>
      <c r="H24" s="89">
        <f t="shared" si="3"/>
        <v>0.88371063748486733</v>
      </c>
      <c r="I24" s="20">
        <f>+'Centralna država-ek klas'!I32+'Lokalna država-ek klas '!I30</f>
        <v>120092272.62</v>
      </c>
      <c r="J24" s="40">
        <f t="shared" si="4"/>
        <v>1.5709569145519737</v>
      </c>
      <c r="K24" s="20">
        <f t="shared" si="5"/>
        <v>-47714860.310000002</v>
      </c>
      <c r="L24" s="89">
        <f t="shared" si="6"/>
        <v>-39.731832256169355</v>
      </c>
      <c r="M24" s="71" t="s">
        <v>103</v>
      </c>
    </row>
    <row r="25" spans="1:16357" ht="15" customHeight="1">
      <c r="A25" s="18">
        <v>73</v>
      </c>
      <c r="B25" s="19" t="s">
        <v>183</v>
      </c>
      <c r="C25" s="20">
        <f>+'Centralna država-ek klas'!C37+'Lokalna država-ek klas '!C35</f>
        <v>0</v>
      </c>
      <c r="D25" s="40">
        <f t="shared" si="1"/>
        <v>0</v>
      </c>
      <c r="E25" s="20">
        <f>+'Centralna država-ek klas'!E37+'Lokalna država-ek klas '!E35</f>
        <v>0</v>
      </c>
      <c r="F25" s="40">
        <f t="shared" si="0"/>
        <v>0</v>
      </c>
      <c r="G25" s="20">
        <f t="shared" si="2"/>
        <v>0</v>
      </c>
      <c r="H25" s="89">
        <f>+IFERROR(C25/E25*100-100,0)</f>
        <v>0</v>
      </c>
      <c r="I25" s="20">
        <f>+'Centralna država-ek klas'!I37+'Lokalna država-ek klas '!I35</f>
        <v>0</v>
      </c>
      <c r="J25" s="40">
        <f t="shared" si="4"/>
        <v>0</v>
      </c>
      <c r="K25" s="20">
        <f t="shared" si="5"/>
        <v>0</v>
      </c>
      <c r="L25" s="89">
        <f>+IFERROR(C25/I25*100-100,0)</f>
        <v>0</v>
      </c>
      <c r="M25" s="71" t="s">
        <v>107</v>
      </c>
    </row>
    <row r="26" spans="1:16357" ht="15" customHeight="1">
      <c r="A26" s="18">
        <v>74</v>
      </c>
      <c r="B26" s="19" t="s">
        <v>179</v>
      </c>
      <c r="C26" s="20">
        <f>+'Centralna država-ek klas'!C38+'Lokalna država-ek klas '!C36</f>
        <v>136715061.32999998</v>
      </c>
      <c r="D26" s="40">
        <f t="shared" si="1"/>
        <v>1.6827090394722264</v>
      </c>
      <c r="E26" s="20">
        <f>+'Centralna država-ek klas'!E38+'Lokalna država-ek klas '!E36</f>
        <v>176820007.90739995</v>
      </c>
      <c r="F26" s="40">
        <f t="shared" si="0"/>
        <v>2.1763266078427503</v>
      </c>
      <c r="G26" s="20">
        <f t="shared" si="2"/>
        <v>-40104946.577399969</v>
      </c>
      <c r="H26" s="89">
        <f t="shared" si="3"/>
        <v>-22.681226548979012</v>
      </c>
      <c r="I26" s="20">
        <f>+'Centralna država-ek klas'!I38+'Lokalna država-ek klas '!I36</f>
        <v>104647813.67000002</v>
      </c>
      <c r="J26" s="40">
        <f t="shared" si="4"/>
        <v>1.368924102201182</v>
      </c>
      <c r="K26" s="20">
        <f t="shared" si="5"/>
        <v>32067247.659999967</v>
      </c>
      <c r="L26" s="89">
        <f t="shared" si="6"/>
        <v>30.643017312451377</v>
      </c>
      <c r="M26" s="71" t="s">
        <v>108</v>
      </c>
    </row>
    <row r="27" spans="1:16357" s="38" customFormat="1" ht="15" customHeight="1">
      <c r="A27" s="35"/>
      <c r="B27" s="36" t="s">
        <v>71</v>
      </c>
      <c r="C27" s="37">
        <f>+C28+C38+C39+C40+C41+C42+C43+C44</f>
        <v>3707413203.5448003</v>
      </c>
      <c r="D27" s="44">
        <f t="shared" si="1"/>
        <v>45.631385817873891</v>
      </c>
      <c r="E27" s="37">
        <f>+E28+E38+E39+E40+E41+E42+E43+E44</f>
        <v>3660780383.8903799</v>
      </c>
      <c r="F27" s="44">
        <f t="shared" si="0"/>
        <v>45.057422229625459</v>
      </c>
      <c r="G27" s="37">
        <f>+C27-E27</f>
        <v>46632819.654420376</v>
      </c>
      <c r="H27" s="101">
        <f t="shared" si="3"/>
        <v>1.2738491459261638</v>
      </c>
      <c r="I27" s="37">
        <f>+I28+I38+I39+I40+I41+I42+I43+I44</f>
        <v>3437755161.0729995</v>
      </c>
      <c r="J27" s="44">
        <f t="shared" si="4"/>
        <v>44.970131075069361</v>
      </c>
      <c r="K27" s="37">
        <f t="shared" si="5"/>
        <v>269658042.4718008</v>
      </c>
      <c r="L27" s="101">
        <f t="shared" si="6"/>
        <v>7.8440153483075363</v>
      </c>
      <c r="M27" s="79" t="s">
        <v>109</v>
      </c>
      <c r="N27" s="1"/>
      <c r="O27" s="1"/>
      <c r="P27" s="8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68</v>
      </c>
      <c r="C28" s="20">
        <f>+SUM(C29:C37)</f>
        <v>1401055074.1248</v>
      </c>
      <c r="D28" s="40">
        <f t="shared" si="1"/>
        <v>17.244391474451977</v>
      </c>
      <c r="E28" s="20">
        <f>+SUM(E29:E37)</f>
        <v>1405396579.2690001</v>
      </c>
      <c r="F28" s="40">
        <f t="shared" si="0"/>
        <v>17.297827356936256</v>
      </c>
      <c r="G28" s="20">
        <f t="shared" si="2"/>
        <v>-4341505.1442000866</v>
      </c>
      <c r="H28" s="89">
        <f t="shared" si="3"/>
        <v>-0.30891672914546575</v>
      </c>
      <c r="I28" s="20">
        <f>+SUM(I29:I37)</f>
        <v>1327156001.1500001</v>
      </c>
      <c r="J28" s="40">
        <f t="shared" si="4"/>
        <v>17.36085804032426</v>
      </c>
      <c r="K28" s="20">
        <f t="shared" si="5"/>
        <v>73899072.974799871</v>
      </c>
      <c r="L28" s="89">
        <f t="shared" si="6"/>
        <v>5.5682280689508588</v>
      </c>
      <c r="M28" s="71" t="s">
        <v>110</v>
      </c>
    </row>
    <row r="29" spans="1:16357" ht="15" customHeight="1">
      <c r="A29" s="21">
        <v>411</v>
      </c>
      <c r="B29" s="22" t="s">
        <v>30</v>
      </c>
      <c r="C29" s="23">
        <f>+'Centralna država-ek klas'!C41+'Lokalna država-ek klas '!C39</f>
        <v>769286926.28479993</v>
      </c>
      <c r="D29" s="41">
        <f t="shared" si="1"/>
        <v>9.468496391064285</v>
      </c>
      <c r="E29" s="23">
        <f>+'Centralna država-ek klas'!E41+'Lokalna država-ek klas '!E39</f>
        <v>798986360.64719999</v>
      </c>
      <c r="F29" s="41">
        <f t="shared" si="0"/>
        <v>9.8340413879552475</v>
      </c>
      <c r="G29" s="23">
        <f t="shared" si="2"/>
        <v>-29699434.362400055</v>
      </c>
      <c r="H29" s="94">
        <f t="shared" si="3"/>
        <v>-3.7171390933811068</v>
      </c>
      <c r="I29" s="23">
        <f>+'Centralna država-ek klas'!I41+'Lokalna država-ek klas '!I39</f>
        <v>755062440.11000001</v>
      </c>
      <c r="J29" s="41">
        <f t="shared" si="4"/>
        <v>9.8771597483429332</v>
      </c>
      <c r="K29" s="23">
        <f t="shared" si="5"/>
        <v>14224486.174799919</v>
      </c>
      <c r="L29" s="94">
        <f t="shared" si="6"/>
        <v>1.8838821028798236</v>
      </c>
      <c r="M29" s="72" t="s">
        <v>111</v>
      </c>
    </row>
    <row r="30" spans="1:16357" ht="15" customHeight="1">
      <c r="A30" s="21">
        <v>412</v>
      </c>
      <c r="B30" s="22" t="s">
        <v>31</v>
      </c>
      <c r="C30" s="23">
        <f>+'Centralna država-ek klas'!C42+'Lokalna država-ek klas '!C40</f>
        <v>35048486.810000002</v>
      </c>
      <c r="D30" s="41">
        <f t="shared" si="1"/>
        <v>0.43138191945548765</v>
      </c>
      <c r="E30" s="23">
        <f>+'Centralna država-ek klas'!E42+'Lokalna država-ek klas '!E40</f>
        <v>32513221.667200007</v>
      </c>
      <c r="F30" s="41">
        <f t="shared" si="0"/>
        <v>0.40017750399645535</v>
      </c>
      <c r="G30" s="23">
        <f t="shared" si="2"/>
        <v>2535265.1427999958</v>
      </c>
      <c r="H30" s="94">
        <f t="shared" si="3"/>
        <v>7.7976435825110002</v>
      </c>
      <c r="I30" s="23">
        <f>+'Centralna država-ek klas'!I42+'Lokalna država-ek klas '!I40</f>
        <v>26349586.880000003</v>
      </c>
      <c r="J30" s="41">
        <f t="shared" si="4"/>
        <v>0.34468550558373112</v>
      </c>
      <c r="K30" s="23">
        <f t="shared" si="5"/>
        <v>8698899.9299999997</v>
      </c>
      <c r="L30" s="94">
        <f t="shared" si="6"/>
        <v>33.013420550447734</v>
      </c>
      <c r="M30" s="72" t="s">
        <v>112</v>
      </c>
    </row>
    <row r="31" spans="1:16357" ht="15" customHeight="1">
      <c r="A31" s="21">
        <v>413</v>
      </c>
      <c r="B31" s="22" t="s">
        <v>72</v>
      </c>
      <c r="C31" s="23">
        <f>+'Centralna država-ek klas'!C43+'Lokalna država-ek klas '!C41</f>
        <v>55667177.900000006</v>
      </c>
      <c r="D31" s="41">
        <f t="shared" si="1"/>
        <v>0.68515979543860084</v>
      </c>
      <c r="E31" s="23">
        <f>+'Centralna država-ek klas'!E43+'Lokalna država-ek klas '!E41</f>
        <v>60489196.460199997</v>
      </c>
      <c r="F31" s="41">
        <f t="shared" si="0"/>
        <v>0.74450990756827939</v>
      </c>
      <c r="G31" s="23">
        <f t="shared" si="2"/>
        <v>-4822018.5601999909</v>
      </c>
      <c r="H31" s="94">
        <f t="shared" si="3"/>
        <v>-7.9717021259700971</v>
      </c>
      <c r="I31" s="23">
        <f>+'Centralna država-ek klas'!I43+'Lokalna država-ek klas '!I41</f>
        <v>49375675.920000002</v>
      </c>
      <c r="J31" s="41">
        <f t="shared" si="4"/>
        <v>0.64589550855317468</v>
      </c>
      <c r="K31" s="23">
        <f t="shared" si="5"/>
        <v>6291501.9800000042</v>
      </c>
      <c r="L31" s="94">
        <f t="shared" si="6"/>
        <v>12.742108057809048</v>
      </c>
      <c r="M31" s="72" t="s">
        <v>113</v>
      </c>
    </row>
    <row r="32" spans="1:16357" ht="15" customHeight="1">
      <c r="A32" s="21">
        <v>414</v>
      </c>
      <c r="B32" s="22" t="s">
        <v>73</v>
      </c>
      <c r="C32" s="23">
        <f>+'Centralna država-ek klas'!C44+'Lokalna država-ek klas '!C42</f>
        <v>116139822.62</v>
      </c>
      <c r="D32" s="41">
        <f t="shared" si="1"/>
        <v>1.4294659817593265</v>
      </c>
      <c r="E32" s="23">
        <f>+'Centralna država-ek klas'!E44+'Lokalna država-ek klas '!E42</f>
        <v>112771108.73880002</v>
      </c>
      <c r="F32" s="41">
        <f t="shared" si="0"/>
        <v>1.3880033569091783</v>
      </c>
      <c r="G32" s="23">
        <f t="shared" si="2"/>
        <v>3368713.8811999857</v>
      </c>
      <c r="H32" s="94">
        <f t="shared" si="3"/>
        <v>2.9872135858862521</v>
      </c>
      <c r="I32" s="23">
        <f>+'Centralna država-ek klas'!I44+'Lokalna država-ek klas '!I42</f>
        <v>94771937.270000011</v>
      </c>
      <c r="J32" s="41">
        <f t="shared" si="4"/>
        <v>1.2397353044595287</v>
      </c>
      <c r="K32" s="23">
        <f t="shared" si="5"/>
        <v>21367885.349999994</v>
      </c>
      <c r="L32" s="94">
        <f t="shared" si="6"/>
        <v>22.546637713149266</v>
      </c>
      <c r="M32" s="72" t="s">
        <v>114</v>
      </c>
    </row>
    <row r="33" spans="1:16357" ht="15.75" customHeight="1">
      <c r="A33" s="21">
        <v>415</v>
      </c>
      <c r="B33" s="22" t="s">
        <v>32</v>
      </c>
      <c r="C33" s="23">
        <f>+'Centralna država-ek klas'!C45+'Lokalna država-ek klas '!C43</f>
        <v>44404486.329999998</v>
      </c>
      <c r="D33" s="41">
        <f t="shared" si="1"/>
        <v>0.5465369346560488</v>
      </c>
      <c r="E33" s="23">
        <f>+'Centralna država-ek klas'!E45+'Lokalna država-ek klas '!E43</f>
        <v>48012624.591200002</v>
      </c>
      <c r="F33" s="41">
        <f t="shared" si="0"/>
        <v>0.59094642991371993</v>
      </c>
      <c r="G33" s="23">
        <f t="shared" si="2"/>
        <v>-3608138.2612000033</v>
      </c>
      <c r="H33" s="94">
        <f t="shared" si="3"/>
        <v>-7.5149781790127719</v>
      </c>
      <c r="I33" s="23">
        <f>+'Centralna država-ek klas'!I45+'Lokalna država-ek klas '!I43</f>
        <v>40640217.930000007</v>
      </c>
      <c r="J33" s="41">
        <f t="shared" si="4"/>
        <v>0.53162480793456246</v>
      </c>
      <c r="K33" s="23">
        <f t="shared" si="5"/>
        <v>3764268.3999999911</v>
      </c>
      <c r="L33" s="94">
        <f t="shared" si="6"/>
        <v>9.2624217874118813</v>
      </c>
      <c r="M33" s="72" t="s">
        <v>115</v>
      </c>
    </row>
    <row r="34" spans="1:16357" ht="15" customHeight="1">
      <c r="A34" s="21">
        <v>416</v>
      </c>
      <c r="B34" s="22" t="s">
        <v>33</v>
      </c>
      <c r="C34" s="23">
        <f>+'Centralna država-ek klas'!C46+'Lokalna država-ek klas '!C44</f>
        <v>163213135.23000002</v>
      </c>
      <c r="D34" s="41">
        <f t="shared" si="1"/>
        <v>2.0088512219528107</v>
      </c>
      <c r="E34" s="23">
        <f>+'Centralna država-ek klas'!E46+'Lokalna država-ek klas '!E44</f>
        <v>161134749.00920001</v>
      </c>
      <c r="F34" s="41">
        <f t="shared" si="0"/>
        <v>1.9832701393183751</v>
      </c>
      <c r="G34" s="23">
        <f t="shared" si="2"/>
        <v>2078386.2208000124</v>
      </c>
      <c r="H34" s="94">
        <f t="shared" si="3"/>
        <v>1.2898435834478761</v>
      </c>
      <c r="I34" s="23">
        <f>+'Centralna država-ek klas'!I46+'Lokalna država-ek klas '!I44</f>
        <v>152232378.71000001</v>
      </c>
      <c r="J34" s="41">
        <f t="shared" si="4"/>
        <v>1.9913896434443978</v>
      </c>
      <c r="K34" s="23">
        <f t="shared" si="5"/>
        <v>10980756.520000011</v>
      </c>
      <c r="L34" s="94">
        <f t="shared" si="6"/>
        <v>7.213154397934062</v>
      </c>
      <c r="M34" s="72" t="s">
        <v>116</v>
      </c>
    </row>
    <row r="35" spans="1:16357" ht="15" customHeight="1">
      <c r="A35" s="21">
        <v>417</v>
      </c>
      <c r="B35" s="22" t="s">
        <v>34</v>
      </c>
      <c r="C35" s="23">
        <f>+'Centralna država-ek klas'!C47+'Lokalna država-ek klas '!C45</f>
        <v>15685582.719999999</v>
      </c>
      <c r="D35" s="41">
        <f t="shared" si="1"/>
        <v>0.19306045417061551</v>
      </c>
      <c r="E35" s="23">
        <f>+'Centralna država-ek klas'!E47+'Lokalna država-ek klas '!E45</f>
        <v>14024448.936999999</v>
      </c>
      <c r="F35" s="41">
        <f t="shared" si="0"/>
        <v>0.17261497577756715</v>
      </c>
      <c r="G35" s="23">
        <f t="shared" si="2"/>
        <v>1661133.7829999998</v>
      </c>
      <c r="H35" s="94">
        <f t="shared" si="3"/>
        <v>11.844556534535315</v>
      </c>
      <c r="I35" s="23">
        <f>+'Centralna država-ek klas'!I47+'Lokalna država-ek klas '!I45</f>
        <v>14138990.950000001</v>
      </c>
      <c r="J35" s="41">
        <f t="shared" si="4"/>
        <v>0.18495566045263739</v>
      </c>
      <c r="K35" s="23">
        <f t="shared" si="5"/>
        <v>1546591.7699999977</v>
      </c>
      <c r="L35" s="94">
        <f t="shared" si="6"/>
        <v>10.938487587050872</v>
      </c>
      <c r="M35" s="72" t="s">
        <v>117</v>
      </c>
    </row>
    <row r="36" spans="1:16357" ht="15" customHeight="1">
      <c r="A36" s="21">
        <v>418</v>
      </c>
      <c r="B36" s="22" t="s">
        <v>35</v>
      </c>
      <c r="C36" s="23">
        <f>+'Centralna država-ek klas'!C48+'Lokalna država-ek klas '!C46</f>
        <v>99604829.170000136</v>
      </c>
      <c r="D36" s="41">
        <f t="shared" si="1"/>
        <v>1.2259508556623646</v>
      </c>
      <c r="E36" s="23">
        <f>+'Centralna država-ek klas'!E48+'Lokalna država-ek klas '!E46</f>
        <v>76939262.239399999</v>
      </c>
      <c r="F36" s="41">
        <f t="shared" si="0"/>
        <v>0.94697973142885283</v>
      </c>
      <c r="G36" s="23">
        <f t="shared" si="2"/>
        <v>22665566.930600137</v>
      </c>
      <c r="H36" s="94">
        <f t="shared" si="3"/>
        <v>29.459038559630585</v>
      </c>
      <c r="I36" s="23">
        <f>+'Centralna država-ek klas'!I48+'Lokalna država-ek klas '!I46</f>
        <v>94686372.509999976</v>
      </c>
      <c r="J36" s="41">
        <f t="shared" si="4"/>
        <v>1.2386160105330213</v>
      </c>
      <c r="K36" s="23">
        <f t="shared" si="5"/>
        <v>4918456.6600001603</v>
      </c>
      <c r="L36" s="94">
        <f t="shared" si="6"/>
        <v>5.1944715270201272</v>
      </c>
      <c r="M36" s="72" t="s">
        <v>118</v>
      </c>
    </row>
    <row r="37" spans="1:16357" ht="15" customHeight="1">
      <c r="A37" s="21">
        <v>419</v>
      </c>
      <c r="B37" s="22" t="s">
        <v>36</v>
      </c>
      <c r="C37" s="23">
        <f>+'Centralna država-ek klas'!C49+'Lokalna država-ek klas '!C47</f>
        <v>102004627.06</v>
      </c>
      <c r="D37" s="41">
        <f t="shared" si="1"/>
        <v>1.2554879202924416</v>
      </c>
      <c r="E37" s="23">
        <f>+'Centralna država-ek klas'!E49+'Lokalna država-ek klas '!E47</f>
        <v>100525606.97879997</v>
      </c>
      <c r="F37" s="41">
        <f t="shared" si="0"/>
        <v>1.2372839240685807</v>
      </c>
      <c r="G37" s="23">
        <f t="shared" si="2"/>
        <v>1479020.0812000334</v>
      </c>
      <c r="H37" s="94">
        <f t="shared" si="3"/>
        <v>1.4712868946038355</v>
      </c>
      <c r="I37" s="23">
        <f>+'Centralna država-ek klas'!I49+'Lokalna država-ek klas '!I47</f>
        <v>99898400.870000005</v>
      </c>
      <c r="J37" s="41">
        <f t="shared" si="4"/>
        <v>1.3067958510202722</v>
      </c>
      <c r="K37" s="23">
        <f t="shared" si="5"/>
        <v>2106226.1899999976</v>
      </c>
      <c r="L37" s="94">
        <f t="shared" si="6"/>
        <v>2.1083682738233875</v>
      </c>
      <c r="M37" s="72" t="s">
        <v>119</v>
      </c>
    </row>
    <row r="38" spans="1:16357" ht="15" customHeight="1">
      <c r="A38" s="18">
        <v>42</v>
      </c>
      <c r="B38" s="19" t="s">
        <v>37</v>
      </c>
      <c r="C38" s="20">
        <f>+'Centralna država-ek klas'!C50+'Lokalna država-ek klas '!C48</f>
        <v>1112013589.2</v>
      </c>
      <c r="D38" s="40">
        <f t="shared" si="1"/>
        <v>13.68682645759228</v>
      </c>
      <c r="E38" s="20">
        <f>+'Centralna država-ek klas'!E50+'Lokalna država-ek klas '!E48</f>
        <v>1067701359.9568001</v>
      </c>
      <c r="F38" s="40">
        <f t="shared" si="0"/>
        <v>13.141425036700433</v>
      </c>
      <c r="G38" s="20">
        <f t="shared" si="2"/>
        <v>44312229.243199944</v>
      </c>
      <c r="H38" s="89">
        <f t="shared" si="3"/>
        <v>4.1502456496817359</v>
      </c>
      <c r="I38" s="20">
        <f>+'Centralna država-ek klas'!I50+'Lokalna država-ek klas '!I48</f>
        <v>1010096387.5899999</v>
      </c>
      <c r="J38" s="40">
        <f t="shared" si="4"/>
        <v>13.213322304837574</v>
      </c>
      <c r="K38" s="20">
        <f t="shared" si="5"/>
        <v>101917201.61000013</v>
      </c>
      <c r="L38" s="89">
        <f t="shared" si="6"/>
        <v>10.089849133424337</v>
      </c>
      <c r="M38" s="71" t="s">
        <v>120</v>
      </c>
    </row>
    <row r="39" spans="1:16357" ht="15" customHeight="1">
      <c r="A39" s="18">
        <v>43</v>
      </c>
      <c r="B39" s="19" t="s">
        <v>43</v>
      </c>
      <c r="C39" s="20">
        <f>+'Centralna država-ek klas'!C56+'Lokalna država-ek klas '!C49</f>
        <v>612629621.75</v>
      </c>
      <c r="D39" s="40">
        <f t="shared" si="1"/>
        <v>7.5403352954570622</v>
      </c>
      <c r="E39" s="20">
        <f>+'Centralna država-ek klas'!E56+'Lokalna država-ek klas '!E49</f>
        <v>599114982.9669801</v>
      </c>
      <c r="F39" s="40">
        <f t="shared" si="0"/>
        <v>7.3739951378756148</v>
      </c>
      <c r="G39" s="20">
        <f t="shared" si="2"/>
        <v>13514638.7830199</v>
      </c>
      <c r="H39" s="89">
        <f t="shared" si="3"/>
        <v>2.2557671177061422</v>
      </c>
      <c r="I39" s="20">
        <f>+'Centralna država-ek klas'!I56+'Lokalna država-ek klas '!I49</f>
        <v>545439612.55299997</v>
      </c>
      <c r="J39" s="40">
        <f t="shared" si="4"/>
        <v>7.1350313564470271</v>
      </c>
      <c r="K39" s="20">
        <f t="shared" si="5"/>
        <v>67190009.197000027</v>
      </c>
      <c r="L39" s="89">
        <f t="shared" si="6"/>
        <v>12.318505596340643</v>
      </c>
      <c r="M39" s="71" t="s">
        <v>126</v>
      </c>
    </row>
    <row r="40" spans="1:16357" ht="15" customHeight="1">
      <c r="A40" s="18">
        <v>44</v>
      </c>
      <c r="B40" s="19" t="s">
        <v>64</v>
      </c>
      <c r="C40" s="20">
        <f>+'Centralna država-ek klas'!C57+'Lokalna država-ek klas '!C50</f>
        <v>510948148.31000006</v>
      </c>
      <c r="D40" s="40">
        <f t="shared" si="1"/>
        <v>6.288824797346364</v>
      </c>
      <c r="E40" s="20">
        <f>+'Centralna država-ek klas'!E57+'Lokalna država-ek klas '!E50</f>
        <v>509598132.79139996</v>
      </c>
      <c r="F40" s="40">
        <f t="shared" si="0"/>
        <v>6.2722086082119946</v>
      </c>
      <c r="G40" s="20">
        <f t="shared" si="2"/>
        <v>1350015.5186001062</v>
      </c>
      <c r="H40" s="89">
        <f t="shared" si="3"/>
        <v>0.26491767369813601</v>
      </c>
      <c r="I40" s="20">
        <f>+'Centralna država-ek klas'!I57+'Lokalna država-ek klas '!I50</f>
        <v>444500491.21999991</v>
      </c>
      <c r="J40" s="40">
        <f t="shared" si="4"/>
        <v>5.8146215819677591</v>
      </c>
      <c r="K40" s="20">
        <f t="shared" si="5"/>
        <v>66447657.090000153</v>
      </c>
      <c r="L40" s="89">
        <f t="shared" si="6"/>
        <v>14.948837718407091</v>
      </c>
      <c r="M40" s="71" t="s">
        <v>127</v>
      </c>
      <c r="O40" s="87"/>
    </row>
    <row r="41" spans="1:16357" ht="15" customHeight="1">
      <c r="A41" s="18">
        <v>45</v>
      </c>
      <c r="B41" s="19" t="s">
        <v>44</v>
      </c>
      <c r="C41" s="20">
        <f>+'Centralna država-ek klas'!C58+'Lokalna država-ek klas '!C51</f>
        <v>0</v>
      </c>
      <c r="D41" s="40">
        <f t="shared" si="1"/>
        <v>0</v>
      </c>
      <c r="E41" s="20">
        <f>+'Centralna država-ek klas'!E58+'Lokalna država-ek klas '!E51</f>
        <v>0</v>
      </c>
      <c r="F41" s="40">
        <f t="shared" si="0"/>
        <v>0</v>
      </c>
      <c r="G41" s="20">
        <f t="shared" si="2"/>
        <v>0</v>
      </c>
      <c r="H41" s="89">
        <f>+IFERROR(C41/E41*100-100,0)</f>
        <v>0</v>
      </c>
      <c r="I41" s="20">
        <f>+'Centralna država-ek klas'!I58+'Lokalna država-ek klas '!I51</f>
        <v>0</v>
      </c>
      <c r="J41" s="40">
        <f t="shared" si="4"/>
        <v>0</v>
      </c>
      <c r="K41" s="20">
        <f t="shared" si="5"/>
        <v>0</v>
      </c>
      <c r="L41" s="89">
        <f>+IFERROR(C41/I41*100-100,0)</f>
        <v>0</v>
      </c>
      <c r="M41" s="71" t="s">
        <v>128</v>
      </c>
    </row>
    <row r="42" spans="1:16357" ht="15" customHeight="1">
      <c r="A42" s="18">
        <v>462</v>
      </c>
      <c r="B42" s="19" t="s">
        <v>45</v>
      </c>
      <c r="C42" s="20">
        <f>+'Centralna država-ek klas'!C59+'Lokalna država-ek klas '!C52</f>
        <v>4062322.96</v>
      </c>
      <c r="D42" s="40">
        <f t="shared" si="1"/>
        <v>4.9999667187711538E-2</v>
      </c>
      <c r="E42" s="20">
        <f>+'Centralna država-ek klas'!E59+'Lokalna država-ek klas '!E52</f>
        <v>4100003.9999999991</v>
      </c>
      <c r="F42" s="40">
        <f t="shared" si="0"/>
        <v>5.0463450958189209E-2</v>
      </c>
      <c r="G42" s="20">
        <f t="shared" si="2"/>
        <v>-37681.039999999106</v>
      </c>
      <c r="H42" s="104">
        <f t="shared" si="3"/>
        <v>-0.91904885946451031</v>
      </c>
      <c r="I42" s="20">
        <f>+'Centralna država-ek klas'!I59+'Lokalna država-ek klas '!I52</f>
        <v>5849367.6699999999</v>
      </c>
      <c r="J42" s="40">
        <f t="shared" si="4"/>
        <v>7.6517034664001574E-2</v>
      </c>
      <c r="K42" s="20">
        <f t="shared" si="5"/>
        <v>-1787044.71</v>
      </c>
      <c r="L42" s="89">
        <f t="shared" si="6"/>
        <v>-30.551075104499276</v>
      </c>
      <c r="M42" s="71" t="s">
        <v>129</v>
      </c>
    </row>
    <row r="43" spans="1:16357" ht="15" customHeight="1">
      <c r="A43" s="18">
        <v>463</v>
      </c>
      <c r="B43" s="19" t="s">
        <v>46</v>
      </c>
      <c r="C43" s="20">
        <f>+'Centralna država-ek klas'!C60+'Lokalna država-ek klas '!C53</f>
        <v>54614159.379999995</v>
      </c>
      <c r="D43" s="40">
        <f t="shared" si="1"/>
        <v>0.67219908895097658</v>
      </c>
      <c r="E43" s="20">
        <f>+'Centralna država-ek klas'!E60+'Lokalna država-ek klas '!E53</f>
        <v>56804183.745200008</v>
      </c>
      <c r="F43" s="40">
        <f t="shared" si="0"/>
        <v>0.69915423025096324</v>
      </c>
      <c r="G43" s="20">
        <f t="shared" si="2"/>
        <v>-2190024.3652000129</v>
      </c>
      <c r="H43" s="89">
        <f t="shared" si="3"/>
        <v>-3.8553927207607614</v>
      </c>
      <c r="I43" s="20">
        <f>+'Centralna država-ek klas'!I60+'Lokalna država-ek klas '!I53</f>
        <v>51865156.079999998</v>
      </c>
      <c r="J43" s="40">
        <f t="shared" si="4"/>
        <v>0.67846101827058036</v>
      </c>
      <c r="K43" s="20">
        <f t="shared" si="5"/>
        <v>2749003.299999997</v>
      </c>
      <c r="L43" s="89">
        <f t="shared" si="6"/>
        <v>5.3002892650313669</v>
      </c>
      <c r="M43" s="71" t="s">
        <v>130</v>
      </c>
    </row>
    <row r="44" spans="1:16357" ht="15" customHeight="1">
      <c r="A44" s="18">
        <v>47</v>
      </c>
      <c r="B44" s="19" t="s">
        <v>47</v>
      </c>
      <c r="C44" s="20">
        <f>+'Centralna država-ek klas'!C61+'Lokalna država-ek klas '!C54</f>
        <v>12090287.82</v>
      </c>
      <c r="D44" s="40">
        <f t="shared" si="1"/>
        <v>0.14880903688751584</v>
      </c>
      <c r="E44" s="20">
        <f>+'Centralna država-ek klas'!E61+'Lokalna država-ek klas '!E54</f>
        <v>18065141.160999998</v>
      </c>
      <c r="F44" s="40">
        <f t="shared" si="0"/>
        <v>0.22234840869201322</v>
      </c>
      <c r="G44" s="20">
        <f t="shared" si="2"/>
        <v>-5974853.3409999982</v>
      </c>
      <c r="H44" s="89">
        <f t="shared" si="3"/>
        <v>-33.073936637145323</v>
      </c>
      <c r="I44" s="20">
        <f>+'Centralna država-ek klas'!I61+'Lokalna država-ek klas '!I54</f>
        <v>52848144.80999998</v>
      </c>
      <c r="J44" s="40">
        <f t="shared" si="4"/>
        <v>0.69131973855815831</v>
      </c>
      <c r="K44" s="20">
        <f t="shared" si="5"/>
        <v>-40757856.98999998</v>
      </c>
      <c r="L44" s="89">
        <f t="shared" si="6"/>
        <v>-77.122588004806815</v>
      </c>
      <c r="M44" s="71" t="s">
        <v>131</v>
      </c>
      <c r="Q44" s="103"/>
    </row>
    <row r="45" spans="1:16357" s="38" customFormat="1" ht="15" customHeight="1">
      <c r="A45" s="35"/>
      <c r="B45" s="36" t="s">
        <v>76</v>
      </c>
      <c r="C45" s="37">
        <f>+C6-C27</f>
        <v>-349533511.98479986</v>
      </c>
      <c r="D45" s="44">
        <f t="shared" si="1"/>
        <v>-4.3021097638657411</v>
      </c>
      <c r="E45" s="37">
        <f>+E6-E27</f>
        <v>-301526362.15120029</v>
      </c>
      <c r="F45" s="44">
        <f t="shared" si="0"/>
        <v>-3.7112307180720552</v>
      </c>
      <c r="G45" s="37">
        <f>C45-E45</f>
        <v>-48007149.833599567</v>
      </c>
      <c r="H45" s="101">
        <f t="shared" si="3"/>
        <v>15.921377318752121</v>
      </c>
      <c r="I45" s="37">
        <f>+I6-I27</f>
        <v>-249373045.42299891</v>
      </c>
      <c r="J45" s="44">
        <f t="shared" si="4"/>
        <v>-3.262110887431914</v>
      </c>
      <c r="K45" s="37">
        <f t="shared" si="5"/>
        <v>-100160466.56180096</v>
      </c>
      <c r="L45" s="101">
        <f t="shared" si="6"/>
        <v>40.164912928702392</v>
      </c>
      <c r="M45" s="79" t="s">
        <v>133</v>
      </c>
      <c r="N45" s="1"/>
      <c r="O45" s="1"/>
      <c r="P45" s="10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56</v>
      </c>
      <c r="C46" s="20">
        <f>+'Centralna država-ek klas'!C63+'Lokalna država-ek klas '!C56</f>
        <v>0</v>
      </c>
      <c r="D46" s="40">
        <f t="shared" si="1"/>
        <v>0</v>
      </c>
      <c r="E46" s="20">
        <f>+'Centralna država-ek klas'!E63+'Lokalna država-ek klas '!E56</f>
        <v>0</v>
      </c>
      <c r="F46" s="40">
        <f t="shared" si="0"/>
        <v>0</v>
      </c>
      <c r="G46" s="20">
        <f t="shared" si="2"/>
        <v>0</v>
      </c>
      <c r="H46" s="89" t="e">
        <f t="shared" si="3"/>
        <v>#DIV/0!</v>
      </c>
      <c r="I46" s="20">
        <f>+'Centralna država-ek klas'!I63+'Lokalna država-ek klas '!I56</f>
        <v>0</v>
      </c>
      <c r="J46" s="40">
        <f t="shared" si="4"/>
        <v>0</v>
      </c>
      <c r="K46" s="20">
        <f t="shared" si="5"/>
        <v>0</v>
      </c>
      <c r="L46" s="89" t="e">
        <f t="shared" si="6"/>
        <v>#DIV/0!</v>
      </c>
      <c r="M46" s="71" t="s">
        <v>132</v>
      </c>
    </row>
    <row r="47" spans="1:16357" s="38" customFormat="1" ht="15" hidden="1" customHeight="1">
      <c r="A47" s="35"/>
      <c r="B47" s="36" t="s">
        <v>58</v>
      </c>
      <c r="C47" s="37">
        <f>+C45-C46</f>
        <v>-349533511.98479986</v>
      </c>
      <c r="D47" s="44">
        <f t="shared" si="1"/>
        <v>-4.3021097638657411</v>
      </c>
      <c r="E47" s="37">
        <f>+E45-E46</f>
        <v>-301526362.15120029</v>
      </c>
      <c r="F47" s="44">
        <f t="shared" si="0"/>
        <v>-3.7112307180720552</v>
      </c>
      <c r="G47" s="37">
        <f t="shared" si="2"/>
        <v>-48007149.833599567</v>
      </c>
      <c r="H47" s="101">
        <f t="shared" si="3"/>
        <v>15.921377318752121</v>
      </c>
      <c r="I47" s="37">
        <f>+I45-I46</f>
        <v>-249373045.42299891</v>
      </c>
      <c r="J47" s="44">
        <f t="shared" si="4"/>
        <v>-3.262110887431914</v>
      </c>
      <c r="K47" s="37">
        <f t="shared" si="5"/>
        <v>-100160466.56180096</v>
      </c>
      <c r="L47" s="101">
        <f t="shared" si="6"/>
        <v>40.164912928702392</v>
      </c>
      <c r="M47" s="79" t="s">
        <v>136</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74</v>
      </c>
      <c r="C48" s="37">
        <f>+C47+C34</f>
        <v>-186320376.75479984</v>
      </c>
      <c r="D48" s="44">
        <f t="shared" si="1"/>
        <v>-2.2932585419129303</v>
      </c>
      <c r="E48" s="37">
        <f>+E47+E34</f>
        <v>-140391613.14200029</v>
      </c>
      <c r="F48" s="44">
        <f t="shared" si="0"/>
        <v>-1.7279605787536807</v>
      </c>
      <c r="G48" s="37">
        <f>+C48-E48</f>
        <v>-45928763.612799555</v>
      </c>
      <c r="H48" s="101">
        <f t="shared" si="3"/>
        <v>32.714748826444861</v>
      </c>
      <c r="I48" s="37">
        <f>+I47+I34</f>
        <v>-97140666.712998897</v>
      </c>
      <c r="J48" s="44">
        <f t="shared" si="4"/>
        <v>-1.2707212439875164</v>
      </c>
      <c r="K48" s="37">
        <f t="shared" si="5"/>
        <v>-89179710.041800946</v>
      </c>
      <c r="L48" s="101">
        <f t="shared" si="6"/>
        <v>91.804712752570964</v>
      </c>
      <c r="M48" s="79" t="s">
        <v>135</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75</v>
      </c>
      <c r="C49" s="37">
        <f>+C6-(C27-C40)</f>
        <v>161414636.32520008</v>
      </c>
      <c r="D49" s="44">
        <f t="shared" si="1"/>
        <v>1.9867150334806218</v>
      </c>
      <c r="E49" s="37">
        <f>+E6-(E27-E40)</f>
        <v>208071770.64019966</v>
      </c>
      <c r="F49" s="44">
        <f t="shared" si="0"/>
        <v>2.5609778901399394</v>
      </c>
      <c r="G49" s="37">
        <f t="shared" si="2"/>
        <v>-46657134.31499958</v>
      </c>
      <c r="H49" s="101">
        <f t="shared" si="3"/>
        <v>-22.423577293279095</v>
      </c>
      <c r="I49" s="37">
        <f>+I6-(I27-I40)</f>
        <v>195127445.79700089</v>
      </c>
      <c r="J49" s="44">
        <f t="shared" si="4"/>
        <v>2.5525106945358429</v>
      </c>
      <c r="K49" s="37">
        <f t="shared" si="5"/>
        <v>-33712809.471800804</v>
      </c>
      <c r="L49" s="101">
        <f t="shared" si="6"/>
        <v>-17.277328329748968</v>
      </c>
      <c r="M49" s="79" t="s">
        <v>134</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822930573.54000008</v>
      </c>
      <c r="D50" s="44">
        <f t="shared" si="1"/>
        <v>10.128750274348592</v>
      </c>
      <c r="E50" s="37">
        <f>+E51+E52+E53</f>
        <v>836477485.24982262</v>
      </c>
      <c r="F50" s="44">
        <f t="shared" si="0"/>
        <v>10.295487651849577</v>
      </c>
      <c r="G50" s="37">
        <f t="shared" si="2"/>
        <v>-13546911.709822536</v>
      </c>
      <c r="H50" s="101">
        <f t="shared" si="3"/>
        <v>-1.6195189887001789</v>
      </c>
      <c r="I50" s="37">
        <f>+I51+I52+I53</f>
        <v>512846081.75999999</v>
      </c>
      <c r="J50" s="44">
        <f t="shared" si="4"/>
        <v>6.7086672661367013</v>
      </c>
      <c r="K50" s="37">
        <f t="shared" si="5"/>
        <v>310084491.78000009</v>
      </c>
      <c r="L50" s="101">
        <f t="shared" si="6"/>
        <v>60.463461223266677</v>
      </c>
      <c r="M50" s="79" t="s">
        <v>137</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51</v>
      </c>
      <c r="C51" s="23">
        <f>+'Centralna država-ek klas'!C68+'Lokalna država-ek klas '!C61</f>
        <v>72927981</v>
      </c>
      <c r="D51" s="41">
        <f t="shared" si="1"/>
        <v>0.89760829322928848</v>
      </c>
      <c r="E51" s="23">
        <f>+'Centralna država-ek klas'!E68+'Lokalna država-ek klas '!E61</f>
        <v>68625066.234055191</v>
      </c>
      <c r="F51" s="41">
        <f t="shared" si="0"/>
        <v>0.84464738678419127</v>
      </c>
      <c r="G51" s="23">
        <f t="shared" si="2"/>
        <v>4302914.7659448087</v>
      </c>
      <c r="H51" s="94">
        <f t="shared" si="3"/>
        <v>6.2701793995638866</v>
      </c>
      <c r="I51" s="23">
        <f>+'Centralna država-ek klas'!I68+'Lokalna država-ek klas '!I61</f>
        <v>221268822.39000002</v>
      </c>
      <c r="J51" s="41">
        <f t="shared" si="4"/>
        <v>2.8944725495223382</v>
      </c>
      <c r="K51" s="23">
        <f t="shared" si="5"/>
        <v>-148340841.39000002</v>
      </c>
      <c r="L51" s="94">
        <f t="shared" si="6"/>
        <v>-67.041004596906149</v>
      </c>
      <c r="M51" s="72" t="s">
        <v>138</v>
      </c>
    </row>
    <row r="52" spans="1:16357" ht="15" customHeight="1">
      <c r="A52" s="21">
        <v>4612</v>
      </c>
      <c r="B52" s="22" t="s">
        <v>52</v>
      </c>
      <c r="C52" s="23">
        <f>+'Centralna država-ek klas'!C69+'Lokalna država-ek klas '!C62</f>
        <v>750002592.54000008</v>
      </c>
      <c r="D52" s="41">
        <f t="shared" si="1"/>
        <v>9.2311419811193041</v>
      </c>
      <c r="E52" s="23">
        <f>+'Centralna država-ek klas'!E69+'Lokalna država-ek klas '!E62</f>
        <v>767852419.01576746</v>
      </c>
      <c r="F52" s="41">
        <f t="shared" si="0"/>
        <v>9.4508402650653878</v>
      </c>
      <c r="G52" s="23">
        <f t="shared" si="2"/>
        <v>-17849826.475767374</v>
      </c>
      <c r="H52" s="94">
        <f t="shared" si="3"/>
        <v>-2.3246428654411631</v>
      </c>
      <c r="I52" s="23">
        <f>+'Centralna država-ek klas'!I69+'Lokalna država-ek klas '!I62</f>
        <v>291577259.37</v>
      </c>
      <c r="J52" s="41">
        <f t="shared" si="4"/>
        <v>3.8141947166143635</v>
      </c>
      <c r="K52" s="23">
        <f t="shared" si="5"/>
        <v>458425333.17000008</v>
      </c>
      <c r="L52" s="94">
        <f t="shared" si="6"/>
        <v>157.22259484861831</v>
      </c>
      <c r="M52" s="72" t="s">
        <v>139</v>
      </c>
    </row>
    <row r="53" spans="1:16357" ht="15" hidden="1" customHeight="1">
      <c r="A53" s="18">
        <v>463</v>
      </c>
      <c r="B53" s="19" t="s">
        <v>46</v>
      </c>
      <c r="C53" s="20">
        <v>0</v>
      </c>
      <c r="D53" s="40">
        <f t="shared" ref="D53" si="7">+C53/$C$2*100</f>
        <v>0</v>
      </c>
      <c r="E53" s="20">
        <v>0</v>
      </c>
      <c r="F53" s="40">
        <f t="shared" ref="F53" si="8">+E53/$E$2*100</f>
        <v>0</v>
      </c>
      <c r="G53" s="20">
        <f t="shared" ref="G53" si="9">+C53-E53</f>
        <v>0</v>
      </c>
      <c r="H53" s="89" t="e">
        <f t="shared" ref="H53" si="10">+C53/E53*100-100</f>
        <v>#DIV/0!</v>
      </c>
      <c r="I53" s="20">
        <f>+'Lokalna država-ek klas '!I63</f>
        <v>0</v>
      </c>
      <c r="J53" s="40">
        <f t="shared" ref="J53" si="11">+I53/$I$2*100</f>
        <v>0</v>
      </c>
      <c r="K53" s="20">
        <f t="shared" ref="K53" si="12">+C53-I53</f>
        <v>0</v>
      </c>
      <c r="L53" s="89" t="e">
        <f t="shared" ref="L53" si="13">+C53/I53*100-100</f>
        <v>#DIV/0!</v>
      </c>
      <c r="M53" s="71" t="s">
        <v>130</v>
      </c>
    </row>
    <row r="54" spans="1:16357" s="38" customFormat="1" ht="15" customHeight="1">
      <c r="A54" s="35">
        <v>4418</v>
      </c>
      <c r="B54" s="36" t="s">
        <v>62</v>
      </c>
      <c r="C54" s="37">
        <f>+'Centralna država-ek klas'!C70+'Lokalna država-ek klas '!C64</f>
        <v>1485604.84</v>
      </c>
      <c r="D54" s="44">
        <f t="shared" si="1"/>
        <v>1.8285042401565598E-2</v>
      </c>
      <c r="E54" s="37">
        <f>+'Centralna država-ek klas'!E70+'Lokalna država-ek klas '!E64</f>
        <v>34201934.24000001</v>
      </c>
      <c r="F54" s="44">
        <f t="shared" ref="F54:F63" si="14">+E54/$E$2*100</f>
        <v>0.42096242618188995</v>
      </c>
      <c r="G54" s="37">
        <f t="shared" si="2"/>
        <v>-32716329.40000001</v>
      </c>
      <c r="H54" s="101">
        <f t="shared" si="3"/>
        <v>-95.656371860213255</v>
      </c>
      <c r="I54" s="37">
        <f>+'Centralna država-ek klas'!I70+'Lokalna država-ek klas '!I64</f>
        <v>3269563.45</v>
      </c>
      <c r="J54" s="44">
        <f t="shared" si="4"/>
        <v>4.2769973431983396E-2</v>
      </c>
      <c r="K54" s="37">
        <f t="shared" si="5"/>
        <v>-1783958.61</v>
      </c>
      <c r="L54" s="101">
        <f t="shared" si="6"/>
        <v>-54.56259336395506</v>
      </c>
      <c r="M54" s="79" t="s">
        <v>140</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9336536.5</v>
      </c>
      <c r="D55" s="44">
        <f t="shared" si="1"/>
        <v>0.11491546149396287</v>
      </c>
      <c r="E55" s="37">
        <f>+'Centralna država-ek klas'!E71+'Lokalna država-ek klas '!E65</f>
        <v>7500007.9999999981</v>
      </c>
      <c r="F55" s="44">
        <f t="shared" si="14"/>
        <v>9.2311199182739029E-2</v>
      </c>
      <c r="G55" s="37">
        <f t="shared" si="2"/>
        <v>1836528.5000000019</v>
      </c>
      <c r="H55" s="101">
        <f t="shared" si="3"/>
        <v>24.487020547178105</v>
      </c>
      <c r="I55" s="37">
        <f>+'Centralna država-ek klas'!I71+'Lokalna država-ek klas '!I65</f>
        <v>9554910.1099999994</v>
      </c>
      <c r="J55" s="44">
        <f t="shared" si="4"/>
        <v>0.12499015779910602</v>
      </c>
      <c r="K55" s="37">
        <f t="shared" si="5"/>
        <v>-218373.6099999994</v>
      </c>
      <c r="L55" s="101">
        <f t="shared" si="6"/>
        <v>-2.2854595960191517</v>
      </c>
      <c r="M55" s="79" t="s">
        <v>128</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53</v>
      </c>
      <c r="C56" s="37">
        <f>+C47-C50-C54-C55</f>
        <v>-1183286226.8647997</v>
      </c>
      <c r="D56" s="44">
        <f t="shared" si="1"/>
        <v>-14.564060542109861</v>
      </c>
      <c r="E56" s="37">
        <f>+E47-E50-E54-E55</f>
        <v>-1179705789.6410229</v>
      </c>
      <c r="F56" s="44">
        <f t="shared" si="14"/>
        <v>-14.519991995286263</v>
      </c>
      <c r="G56" s="37">
        <f t="shared" ref="G56:G63" si="15">+C56-E56</f>
        <v>-3580437.2237768173</v>
      </c>
      <c r="H56" s="101">
        <f t="shared" ref="H56:H63" si="16">+C56/E56*100-100</f>
        <v>0.30350255590983011</v>
      </c>
      <c r="I56" s="37">
        <f>+I47-I50-I54-I55</f>
        <v>-775043600.74299896</v>
      </c>
      <c r="J56" s="44">
        <f t="shared" si="4"/>
        <v>-10.138538284799706</v>
      </c>
      <c r="K56" s="37">
        <f t="shared" ref="K56:K63" si="17">+C56-I56</f>
        <v>-408242626.12180078</v>
      </c>
      <c r="L56" s="101">
        <f t="shared" ref="L56:L63" si="18">+C56/I56*100-100</f>
        <v>52.673504526769477</v>
      </c>
      <c r="M56" s="79" t="s">
        <v>141</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1183286226.8647997</v>
      </c>
      <c r="D57" s="44">
        <f t="shared" ref="D57:D63" si="19">+C57/$C$2*100</f>
        <v>14.564060542109861</v>
      </c>
      <c r="E57" s="37">
        <f>+SUM(E58:E63)+E46</f>
        <v>1179705789.6410229</v>
      </c>
      <c r="F57" s="44">
        <f t="shared" si="14"/>
        <v>14.519991995286263</v>
      </c>
      <c r="G57" s="37">
        <f t="shared" si="15"/>
        <v>3580437.2237768173</v>
      </c>
      <c r="H57" s="101">
        <f t="shared" si="16"/>
        <v>0.30350255590983011</v>
      </c>
      <c r="I57" s="37">
        <f>+SUM(I58:I63)+I46</f>
        <v>775043600.74299896</v>
      </c>
      <c r="J57" s="44">
        <f t="shared" ref="J57:J63" si="20">+I57/$I$2*100</f>
        <v>10.138538284799706</v>
      </c>
      <c r="K57" s="37">
        <f t="shared" si="17"/>
        <v>408242626.12180078</v>
      </c>
      <c r="L57" s="101">
        <f t="shared" si="18"/>
        <v>52.673504526769477</v>
      </c>
      <c r="M57" s="79" t="s">
        <v>142</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54</v>
      </c>
      <c r="C58" s="23">
        <f>+'Centralna država-ek klas'!C74+'Lokalna država-ek klas '!C68</f>
        <v>58655976.670000002</v>
      </c>
      <c r="D58" s="41">
        <f t="shared" si="19"/>
        <v>0.72194636934286804</v>
      </c>
      <c r="E58" s="23">
        <f>+'Centralna država-ek klas'!E74+'Lokalna država-ek klas '!E68</f>
        <v>119092130</v>
      </c>
      <c r="F58" s="41">
        <f t="shared" si="14"/>
        <v>1.4658034142799119</v>
      </c>
      <c r="G58" s="23">
        <f t="shared" si="15"/>
        <v>-60436153.329999998</v>
      </c>
      <c r="H58" s="94">
        <f t="shared" si="16"/>
        <v>-50.747394752281281</v>
      </c>
      <c r="I58" s="23">
        <f>+'Centralna država-ek klas'!I74+'Lokalna država-ek klas '!I68</f>
        <v>855621.6</v>
      </c>
      <c r="J58" s="41">
        <f t="shared" si="20"/>
        <v>1.1192599152596693E-2</v>
      </c>
      <c r="K58" s="23">
        <f t="shared" si="17"/>
        <v>57800355.07</v>
      </c>
      <c r="L58" s="94">
        <f t="shared" si="18"/>
        <v>6755.3641785106875</v>
      </c>
      <c r="M58" s="72" t="s">
        <v>143</v>
      </c>
    </row>
    <row r="59" spans="1:16357" ht="15" customHeight="1">
      <c r="A59" s="21">
        <v>7512</v>
      </c>
      <c r="B59" s="22" t="s">
        <v>49</v>
      </c>
      <c r="C59" s="23">
        <f>+'Centralna država-ek klas'!C75+'Lokalna država-ek klas '!C69</f>
        <v>1414252644.6800001</v>
      </c>
      <c r="D59" s="41">
        <f t="shared" si="19"/>
        <v>17.406829109751744</v>
      </c>
      <c r="E59" s="23">
        <f>+'Centralna država-ek klas'!E75+'Lokalna država-ek klas '!E69</f>
        <v>774014118.59000003</v>
      </c>
      <c r="F59" s="41">
        <f t="shared" si="14"/>
        <v>9.5266793677304999</v>
      </c>
      <c r="G59" s="23">
        <f t="shared" si="15"/>
        <v>640238526.09000003</v>
      </c>
      <c r="H59" s="94">
        <f t="shared" si="16"/>
        <v>82.716646985239066</v>
      </c>
      <c r="I59" s="23">
        <f>+'Centralna država-ek klas'!I75+'Lokalna država-ek klas '!I69</f>
        <v>943121478.83999991</v>
      </c>
      <c r="J59" s="41">
        <f t="shared" si="20"/>
        <v>12.337206850388446</v>
      </c>
      <c r="K59" s="23">
        <f t="shared" si="17"/>
        <v>471131165.84000015</v>
      </c>
      <c r="L59" s="94">
        <f t="shared" si="18"/>
        <v>49.954451935446514</v>
      </c>
      <c r="M59" s="72" t="s">
        <v>144</v>
      </c>
    </row>
    <row r="60" spans="1:16357" ht="15" customHeight="1">
      <c r="A60" s="18">
        <v>72</v>
      </c>
      <c r="B60" s="19" t="s">
        <v>168</v>
      </c>
      <c r="C60" s="20">
        <f>+'Centralna država-ek klas'!C76+'Lokalna država-ek klas '!C70</f>
        <v>18280077.16</v>
      </c>
      <c r="D60" s="40">
        <f t="shared" si="19"/>
        <v>0.22499387251221584</v>
      </c>
      <c r="E60" s="20">
        <f>+'Centralna država-ek klas'!E76+'Lokalna država-ek klas '!E70</f>
        <v>14000000</v>
      </c>
      <c r="F60" s="40">
        <f t="shared" si="14"/>
        <v>0.17231405467278793</v>
      </c>
      <c r="G60" s="20">
        <f t="shared" si="15"/>
        <v>4280077.16</v>
      </c>
      <c r="H60" s="89">
        <f t="shared" si="16"/>
        <v>30.571979714285703</v>
      </c>
      <c r="I60" s="20">
        <f>+'Centralna država-ek klas'!I76+'Lokalna država-ek klas '!I70</f>
        <v>8212620.9299999997</v>
      </c>
      <c r="J60" s="40">
        <f t="shared" si="20"/>
        <v>0.10743133887891081</v>
      </c>
      <c r="K60" s="20">
        <f t="shared" si="17"/>
        <v>10067456.23</v>
      </c>
      <c r="L60" s="89">
        <f t="shared" si="18"/>
        <v>122.58518097705502</v>
      </c>
      <c r="M60" s="71" t="s">
        <v>145</v>
      </c>
    </row>
    <row r="61" spans="1:16357" ht="15" customHeight="1">
      <c r="A61" s="28">
        <v>73</v>
      </c>
      <c r="B61" s="19" t="s">
        <v>183</v>
      </c>
      <c r="C61" s="20">
        <f>+'Centralna država-ek klas'!C77+'Lokalna država-ek klas '!C71</f>
        <v>20485138.899999999</v>
      </c>
      <c r="D61" s="40">
        <f t="shared" si="19"/>
        <v>0.252134096028161</v>
      </c>
      <c r="E61" s="20">
        <f>+'Centralna država-ek klas'!E77+'Lokalna država-ek klas '!E71</f>
        <v>9747904</v>
      </c>
      <c r="F61" s="40">
        <f t="shared" si="14"/>
        <v>0.11997863305722056</v>
      </c>
      <c r="G61" s="20">
        <f t="shared" si="15"/>
        <v>10737234.899999999</v>
      </c>
      <c r="H61" s="89">
        <f t="shared" si="16"/>
        <v>110.14916540006956</v>
      </c>
      <c r="I61" s="20">
        <f>+'Centralna država-ek klas'!I77+'Lokalna država-ek klas '!I71</f>
        <v>20518457.849999998</v>
      </c>
      <c r="J61" s="40">
        <f t="shared" si="20"/>
        <v>0.26840705510999369</v>
      </c>
      <c r="K61" s="20">
        <f t="shared" si="17"/>
        <v>-33318.949999999255</v>
      </c>
      <c r="L61" s="89">
        <f t="shared" si="18"/>
        <v>-0.16238525450390284</v>
      </c>
      <c r="M61" s="71" t="s">
        <v>107</v>
      </c>
    </row>
    <row r="62" spans="1:16357" ht="15" customHeight="1">
      <c r="A62" s="28"/>
      <c r="B62" s="29" t="s">
        <v>150</v>
      </c>
      <c r="C62" s="30">
        <f>+'Lokalna država-ek klas '!C72</f>
        <v>32628887.930000003</v>
      </c>
      <c r="D62" s="40">
        <f t="shared" si="19"/>
        <v>0.4016011413344493</v>
      </c>
      <c r="E62" s="30">
        <f>+'Lokalna država-ek klas '!E72</f>
        <v>26000000</v>
      </c>
      <c r="F62" s="40">
        <f t="shared" si="14"/>
        <v>0.32001181582089189</v>
      </c>
      <c r="G62" s="20">
        <f t="shared" si="15"/>
        <v>6628887.9300000034</v>
      </c>
      <c r="H62" s="89">
        <f t="shared" si="16"/>
        <v>25.495722807692317</v>
      </c>
      <c r="I62" s="30">
        <f>+'Lokalna država-ek klas '!I72</f>
        <v>27366859.339999996</v>
      </c>
      <c r="J62" s="40">
        <f t="shared" si="20"/>
        <v>0.35799269987821353</v>
      </c>
      <c r="K62" s="20">
        <f t="shared" si="17"/>
        <v>5262028.5900000073</v>
      </c>
      <c r="L62" s="89">
        <f t="shared" si="18"/>
        <v>19.227740109399065</v>
      </c>
      <c r="M62" s="74" t="s">
        <v>151</v>
      </c>
    </row>
    <row r="63" spans="1:16357" ht="15" customHeight="1" thickBot="1">
      <c r="A63" s="24"/>
      <c r="B63" s="25" t="s">
        <v>189</v>
      </c>
      <c r="C63" s="26">
        <f>+-C56-(SUM(C58:C62)+C46)</f>
        <v>-361016498.47520065</v>
      </c>
      <c r="D63" s="42">
        <f t="shared" si="19"/>
        <v>-4.4434440468595842</v>
      </c>
      <c r="E63" s="26">
        <f>+-E56-(SUM(E58:E62)+E46)</f>
        <v>236851637.05102289</v>
      </c>
      <c r="F63" s="42">
        <f t="shared" si="14"/>
        <v>2.9152047097249483</v>
      </c>
      <c r="G63" s="26">
        <f t="shared" si="15"/>
        <v>-597868135.52622354</v>
      </c>
      <c r="H63" s="95">
        <f t="shared" si="16"/>
        <v>-252.42305392950695</v>
      </c>
      <c r="I63" s="26">
        <f>+-I56-(SUM(I58:I62)+I46)</f>
        <v>-225031437.81700099</v>
      </c>
      <c r="J63" s="42">
        <f t="shared" si="20"/>
        <v>-2.9436922586084555</v>
      </c>
      <c r="K63" s="26">
        <f t="shared" si="17"/>
        <v>-135985060.65819967</v>
      </c>
      <c r="L63" s="95">
        <f t="shared" si="18"/>
        <v>60.429361327187024</v>
      </c>
      <c r="M63" s="75" t="s">
        <v>146</v>
      </c>
    </row>
    <row r="64" spans="1:16357" ht="13.5" customHeight="1"/>
    <row r="66" spans="2:2">
      <c r="B66" s="4" t="s">
        <v>188</v>
      </c>
    </row>
    <row r="67" spans="2:2">
      <c r="B67" s="4" t="s">
        <v>190</v>
      </c>
    </row>
  </sheetData>
  <sheetProtection algorithmName="SHA-512" hashValue="A+xArbac5IzdltLxRE+5+5uyUo3M8K4Jv/DIxsp+NBB1qSqO3BRrkmfFaLO2UedE0pRNsdE9VNCMp0w7jTJ7Hw==" saltValue="QsmufQ47GA/SnT6mvRdJHQ=="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18"/>
      <c r="C4" s="118" t="s">
        <v>170</v>
      </c>
      <c r="D4" s="130" t="s">
        <v>171</v>
      </c>
    </row>
    <row r="5" spans="2:4">
      <c r="B5" s="119"/>
      <c r="C5" s="119"/>
      <c r="D5" s="131"/>
    </row>
    <row r="6" spans="2:4" ht="13.5">
      <c r="B6" s="22" t="s">
        <v>174</v>
      </c>
      <c r="C6" s="23">
        <v>51122438.960000001</v>
      </c>
      <c r="D6" s="23">
        <v>50118940.61699906</v>
      </c>
    </row>
    <row r="7" spans="2:4" ht="13.5">
      <c r="B7" s="22" t="s">
        <v>173</v>
      </c>
      <c r="C7" s="23">
        <v>59697131.339999996</v>
      </c>
      <c r="D7" s="23">
        <v>57763326.64507816</v>
      </c>
    </row>
    <row r="8" spans="2:4" ht="13.5">
      <c r="B8" s="22" t="s">
        <v>172</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2026-02-20T14:39:20Z</cp:lastPrinted>
  <dcterms:created xsi:type="dcterms:W3CDTF">2008-03-17T08:49:23Z</dcterms:created>
  <dcterms:modified xsi:type="dcterms:W3CDTF">2026-02-27T11:26:51Z</dcterms:modified>
</cp:coreProperties>
</file>