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esktop\"/>
    </mc:Choice>
  </mc:AlternateContent>
  <bookViews>
    <workbookView xWindow="0" yWindow="0" windowWidth="28800" windowHeight="1140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FI160" i="6" l="1"/>
  <c r="FG160" i="6"/>
  <c r="I33" i="17" l="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P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H105" i="17" s="1"/>
  <c r="G106" i="17"/>
  <c r="A106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Q42" i="17" s="1"/>
  <c r="P43" i="17"/>
  <c r="O43" i="17"/>
  <c r="N43" i="17"/>
  <c r="M43" i="17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P12" i="17"/>
  <c r="O12" i="17"/>
  <c r="N12" i="17"/>
  <c r="M12" i="17"/>
  <c r="L12" i="17"/>
  <c r="K12" i="17"/>
  <c r="J12" i="17"/>
  <c r="I12" i="17"/>
  <c r="H12" i="17"/>
  <c r="H11" i="17" s="1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G45" i="11" l="1"/>
  <c r="G32" i="11"/>
  <c r="M42" i="17"/>
  <c r="I11" i="17"/>
  <c r="Q11" i="17"/>
  <c r="I31" i="17"/>
  <c r="I29" i="17" s="1"/>
  <c r="I30" i="17" s="1"/>
  <c r="Q31" i="17"/>
  <c r="Q29" i="17" s="1"/>
  <c r="Q30" i="17" s="1"/>
  <c r="R11" i="17"/>
  <c r="R10" i="17" s="1"/>
  <c r="G63" i="11"/>
  <c r="G64" i="11"/>
  <c r="G65" i="11"/>
  <c r="J11" i="17"/>
  <c r="J10" i="17" s="1"/>
  <c r="H31" i="17"/>
  <c r="N11" i="17"/>
  <c r="N10" i="17" s="1"/>
  <c r="P11" i="17"/>
  <c r="P10" i="17" s="1"/>
  <c r="J31" i="17"/>
  <c r="H125" i="17"/>
  <c r="H124" i="17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42" i="17"/>
  <c r="N42" i="17"/>
  <c r="R42" i="17"/>
  <c r="I10" i="17"/>
  <c r="L11" i="17"/>
  <c r="L10" i="17" s="1"/>
  <c r="H10" i="17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H29" i="17" l="1"/>
  <c r="H30" i="17" s="1"/>
  <c r="J65" i="11"/>
  <c r="I65" i="11"/>
  <c r="J64" i="11"/>
  <c r="I64" i="11"/>
  <c r="J63" i="11"/>
  <c r="I63" i="11"/>
  <c r="J29" i="17"/>
  <c r="J30" i="17" s="1"/>
  <c r="P29" i="17"/>
  <c r="P30" i="17" s="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30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I150" i="17"/>
  <c r="I151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Q55" i="17"/>
  <c r="Q56" i="17" s="1"/>
  <c r="G29" i="17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R150" i="17"/>
  <c r="M150" i="17"/>
  <c r="S159" i="17"/>
  <c r="T159" i="17" s="1"/>
  <c r="S106" i="17"/>
  <c r="T106" i="17" s="1"/>
  <c r="N150" i="17" l="1"/>
  <c r="N156" i="17" s="1"/>
  <c r="N161" i="17" s="1"/>
  <c r="N157" i="17" s="1"/>
  <c r="S124" i="17"/>
  <c r="T124" i="17" s="1"/>
  <c r="G156" i="17"/>
  <c r="G161" i="17" s="1"/>
  <c r="K151" i="17"/>
  <c r="R55" i="17"/>
  <c r="R56" i="17" s="1"/>
  <c r="I11" i="11"/>
  <c r="J55" i="17"/>
  <c r="J56" i="17" s="1"/>
  <c r="N55" i="17"/>
  <c r="N61" i="17" s="1"/>
  <c r="N66" i="17" s="1"/>
  <c r="N62" i="17" s="1"/>
  <c r="P55" i="17"/>
  <c r="P61" i="17" s="1"/>
  <c r="P66" i="17" s="1"/>
  <c r="P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N56" i="17"/>
  <c r="M56" i="17"/>
  <c r="G30" i="17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H12" i="1" l="1"/>
  <c r="I12" i="1" s="1"/>
  <c r="I10" i="11"/>
  <c r="J61" i="17"/>
  <c r="J66" i="17" s="1"/>
  <c r="J62" i="17" s="1"/>
  <c r="R61" i="17"/>
  <c r="R66" i="17" s="1"/>
  <c r="R62" i="17" s="1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G61" i="11" l="1"/>
  <c r="S61" i="17"/>
  <c r="T61" i="17" s="1"/>
  <c r="S56" i="17"/>
  <c r="T56" i="17" s="1"/>
  <c r="G56" i="11"/>
  <c r="G66" i="17"/>
  <c r="G66" i="11" s="1"/>
  <c r="J157" i="17"/>
  <c r="S161" i="17"/>
  <c r="T161" i="17" s="1"/>
  <c r="J66" i="11" l="1"/>
  <c r="I66" i="11"/>
  <c r="I61" i="11"/>
  <c r="J61" i="11"/>
  <c r="G62" i="17"/>
  <c r="S157" i="17"/>
  <c r="T157" i="17" s="1"/>
  <c r="H62" i="11"/>
  <c r="S66" i="17"/>
  <c r="T66" i="17" s="1"/>
  <c r="G62" i="11" l="1"/>
  <c r="S62" i="17"/>
  <c r="T62" i="17" s="1"/>
  <c r="G12" i="2"/>
  <c r="I62" i="11" l="1"/>
  <c r="H54" i="16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K155" i="16"/>
  <c r="K160" i="16" s="1"/>
  <c r="K156" i="16" s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L49" i="11" s="1"/>
  <c r="K50" i="11"/>
  <c r="K51" i="11"/>
  <c r="K52" i="11"/>
  <c r="K53" i="11"/>
  <c r="K54" i="11"/>
  <c r="K58" i="11"/>
  <c r="K59" i="11"/>
  <c r="K63" i="11"/>
  <c r="K64" i="11"/>
  <c r="L64" i="11" s="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M63" i="11" l="1"/>
  <c r="L63" i="11"/>
  <c r="L65" i="11"/>
  <c r="M65" i="11"/>
  <c r="K31" i="11"/>
  <c r="K57" i="11"/>
  <c r="K42" i="11"/>
  <c r="K11" i="11"/>
  <c r="L11" i="11" s="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N7" i="1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G241" i="2"/>
  <c r="G240" i="2"/>
  <c r="P8" i="9" s="1"/>
  <c r="P102" i="9" s="1"/>
  <c r="G239" i="2"/>
  <c r="G238" i="2"/>
  <c r="G237" i="2"/>
  <c r="G236" i="2"/>
  <c r="L8" i="4" s="1"/>
  <c r="L102" i="4" s="1"/>
  <c r="G235" i="2"/>
  <c r="G234" i="2"/>
  <c r="G233" i="2"/>
  <c r="G232" i="2"/>
  <c r="H8" i="9" s="1"/>
  <c r="H102" i="9" s="1"/>
  <c r="G231" i="2"/>
  <c r="G230" i="2"/>
  <c r="G229" i="2"/>
  <c r="G227" i="2"/>
  <c r="B54" i="11" s="1"/>
  <c r="G225" i="2"/>
  <c r="G224" i="2"/>
  <c r="G223" i="2"/>
  <c r="G222" i="2"/>
  <c r="B60" i="4" s="1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G40" i="2"/>
  <c r="G39" i="2"/>
  <c r="B115" i="10" s="1"/>
  <c r="G38" i="2"/>
  <c r="G37" i="2"/>
  <c r="G35" i="2"/>
  <c r="G34" i="2"/>
  <c r="B111" i="8" s="1"/>
  <c r="G33" i="2"/>
  <c r="G32" i="2"/>
  <c r="G31" i="2"/>
  <c r="G30" i="2"/>
  <c r="B12" i="11" s="1"/>
  <c r="G29" i="2"/>
  <c r="G28" i="2"/>
  <c r="G27" i="2"/>
  <c r="G26" i="2"/>
  <c r="G25" i="2"/>
  <c r="G24" i="2"/>
  <c r="G23" i="2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N8" i="4"/>
  <c r="N102" i="4" s="1"/>
  <c r="J8" i="4"/>
  <c r="J102" i="4" s="1"/>
  <c r="H8" i="4"/>
  <c r="H102" i="4" s="1"/>
  <c r="B49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49" i="11"/>
  <c r="B45" i="11"/>
  <c r="B27" i="11"/>
  <c r="B15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B159" i="12"/>
  <c r="M107" i="12"/>
  <c r="I113" i="12"/>
  <c r="M122" i="12"/>
  <c r="B144" i="10"/>
  <c r="Q116" i="4"/>
  <c r="R108" i="4"/>
  <c r="K119" i="8"/>
  <c r="P107" i="8"/>
  <c r="K117" i="8"/>
  <c r="R112" i="4"/>
  <c r="B109" i="8"/>
  <c r="B152" i="8"/>
  <c r="B108" i="9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B131" i="4"/>
  <c r="I118" i="9"/>
  <c r="CU350" i="6"/>
  <c r="DI350" i="6"/>
  <c r="G112" i="4"/>
  <c r="S112" i="4" s="1"/>
  <c r="T112" i="4" s="1"/>
  <c r="B158" i="4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M112" i="10"/>
  <c r="K112" i="10"/>
  <c r="I145" i="10"/>
  <c r="I107" i="10"/>
  <c r="I120" i="10"/>
  <c r="I117" i="10"/>
  <c r="I113" i="10"/>
  <c r="L130" i="10"/>
  <c r="B151" i="10"/>
  <c r="N144" i="10"/>
  <c r="J115" i="10"/>
  <c r="R115" i="10"/>
  <c r="L115" i="10"/>
  <c r="P115" i="10"/>
  <c r="R111" i="10"/>
  <c r="I111" i="10"/>
  <c r="P153" i="10"/>
  <c r="H153" i="10"/>
  <c r="O122" i="10"/>
  <c r="G122" i="10"/>
  <c r="P118" i="10"/>
  <c r="G118" i="10"/>
  <c r="N118" i="10"/>
  <c r="P130" i="10"/>
  <c r="I157" i="10"/>
  <c r="K120" i="12"/>
  <c r="R158" i="12"/>
  <c r="J140" i="12"/>
  <c r="Q153" i="12"/>
  <c r="H154" i="12"/>
  <c r="H111" i="12"/>
  <c r="B158" i="12"/>
  <c r="M140" i="12"/>
  <c r="B127" i="4"/>
  <c r="B154" i="9" l="1"/>
  <c r="B152" i="4"/>
  <c r="B53" i="11"/>
  <c r="I8" i="3"/>
  <c r="L8" i="3" s="1"/>
  <c r="B25" i="3"/>
  <c r="B44" i="4"/>
  <c r="B36" i="9"/>
  <c r="P8" i="4"/>
  <c r="P102" i="4" s="1"/>
  <c r="B153" i="12"/>
  <c r="B152" i="9"/>
  <c r="B45" i="3"/>
  <c r="B7" i="10"/>
  <c r="B119" i="10"/>
  <c r="S8" i="8"/>
  <c r="S103" i="8" s="1"/>
  <c r="B110" i="4"/>
  <c r="B124" i="10"/>
  <c r="B12" i="4"/>
  <c r="B54" i="4"/>
  <c r="B54" i="8"/>
  <c r="B60" i="9"/>
  <c r="B130" i="4"/>
  <c r="B153" i="10"/>
  <c r="B153" i="4"/>
  <c r="B144" i="8"/>
  <c r="B131" i="8"/>
  <c r="G8" i="3"/>
  <c r="N8" i="3" s="1"/>
  <c r="G8" i="11"/>
  <c r="L61" i="11"/>
  <c r="M61" i="11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N8" i="1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G7" i="11" s="1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P8" i="3" l="1"/>
  <c r="S8" i="3" s="1"/>
  <c r="T55" i="11"/>
  <c r="T56" i="11"/>
  <c r="O60" i="11"/>
  <c r="Q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Q48" i="11" s="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O51" i="11"/>
  <c r="Q51" i="11" s="1"/>
  <c r="O46" i="11"/>
  <c r="P46" i="11" s="1"/>
  <c r="O19" i="11"/>
  <c r="P19" i="11" s="1"/>
  <c r="O12" i="11"/>
  <c r="Q12" i="11" s="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Q62" i="11" s="1"/>
  <c r="R62" i="11"/>
  <c r="T62" i="11" s="1"/>
  <c r="K62" i="11"/>
  <c r="L62" i="11" s="1"/>
  <c r="S61" i="11"/>
  <c r="S65" i="11"/>
  <c r="T65" i="11"/>
  <c r="S8" i="13"/>
  <c r="S8" i="17"/>
  <c r="S64" i="11"/>
  <c r="T60" i="11"/>
  <c r="S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41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P32" i="11" l="1"/>
  <c r="Q15" i="11"/>
  <c r="P60" i="11"/>
  <c r="I125" i="8"/>
  <c r="I126" i="8" s="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J62" i="11" l="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<sst xmlns="http://schemas.openxmlformats.org/spreadsheetml/2006/main" count="1609" uniqueCount="796">
  <si>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</si>
  <si>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</si>
  <si>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</si>
  <si>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</si>
  <si>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</si>
  <si>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</si>
  <si>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</si>
  <si>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</si>
  <si>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</si>
  <si>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</si>
  <si>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</si>
  <si>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</si>
  <si>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</si>
  <si>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</si>
  <si>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</si>
  <si>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</si>
  <si>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</si>
  <si>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</si>
  <si>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</si>
  <si>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</si>
  <si>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</si>
  <si>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</si>
  <si>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</si>
  <si>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</si>
  <si>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</si>
  <si>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</si>
  <si>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</si>
  <si>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</si>
  <si>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</si>
  <si>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</si>
  <si>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</si>
  <si>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</si>
  <si>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</si>
  <si>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</si>
  <si>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</si>
  <si>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</si>
  <si>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</si>
  <si>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</si>
  <si>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</si>
  <si>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</si>
  <si>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</si>
  <si>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</si>
  <si>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</si>
  <si>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</si>
  <si>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</si>
  <si>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</si>
  <si>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</si>
  <si>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</si>
  <si>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</si>
  <si>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</si>
  <si>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</si>
  <si>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</si>
  <si>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</si>
  <si>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</si>
  <si>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</si>
  <si>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</si>
  <si>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</si>
  <si>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</si>
  <si>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</si>
  <si>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</si>
  <si>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</si>
  <si>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</si>
  <si>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</si>
  <si>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</si>
  <si>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</si>
  <si>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</si>
  <si>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</si>
  <si>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</si>
  <si>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</si>
  <si>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</si>
  <si>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</si>
  <si>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</si>
  <si>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</si>
  <si>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</si>
  <si>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</si>
  <si>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</si>
  <si>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</si>
  <si>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</si>
  <si>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</si>
  <si>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</si>
  <si>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</si>
  <si>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</si>
  <si>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</si>
  <si>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</si>
  <si>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</si>
  <si>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</si>
  <si>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</si>
  <si>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</si>
  <si>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</si>
  <si>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</si>
  <si>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</si>
  <si>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</si>
  <si>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</si>
  <si>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</si>
  <si>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</si>
  <si>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</si>
  <si>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</si>
  <si>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</si>
  <si>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</si>
  <si>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</si>
  <si>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</si>
  <si>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</si>
  <si>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</si>
  <si>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</si>
  <si>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</si>
  <si>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</si>
  <si>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</si>
  <si>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</si>
  <si>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</si>
  <si>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</si>
  <si>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</si>
  <si>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</si>
  <si>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</si>
  <si>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</si>
  <si>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</si>
  <si>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</si>
  <si>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</si>
  <si>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</si>
  <si>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</si>
  <si>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</si>
  <si>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</si>
  <si>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</si>
  <si>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</si>
  <si>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</si>
  <si>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</si>
  <si>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</si>
  <si>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</si>
  <si>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</si>
  <si>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</si>
  <si>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</si>
  <si>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</si>
  <si>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</si>
  <si>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</si>
  <si>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</si>
  <si>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</si>
  <si>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</si>
  <si>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</si>
  <si>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</si>
  <si>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</si>
  <si>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</si>
  <si>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</si>
  <si>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</si>
  <si>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</si>
  <si>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</si>
  <si>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</si>
  <si>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</si>
  <si>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</si>
  <si>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</si>
  <si>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</si>
  <si>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</si>
  <si>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</si>
  <si>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</si>
  <si>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</si>
  <si>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</si>
  <si>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</si>
  <si>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</si>
  <si>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</si>
  <si>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</si>
  <si>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</si>
  <si>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</si>
  <si>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</si>
  <si>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</si>
  <si>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</si>
  <si>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</si>
  <si>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</si>
  <si>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</si>
  <si>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</si>
  <si>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</si>
  <si>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</si>
  <si>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</si>
  <si>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</si>
  <si>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</si>
  <si>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</si>
  <si>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</si>
  <si>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</si>
  <si>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</si>
  <si>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</si>
  <si>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</si>
  <si>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</si>
  <si>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</si>
  <si>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</si>
  <si>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</si>
  <si>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</si>
  <si>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</si>
  <si>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</si>
  <si>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</si>
  <si>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</si>
  <si>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</si>
  <si>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</si>
  <si>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</si>
  <si>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</si>
  <si>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</si>
  <si>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</si>
  <si>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</si>
  <si>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</si>
  <si>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</si>
  <si>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</si>
  <si>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</si>
  <si>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</si>
  <si>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</si>
  <si>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</si>
  <si>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</si>
  <si>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</si>
  <si>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</si>
  <si>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</si>
  <si>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</si>
  <si>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</si>
  <si>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</si>
  <si>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</si>
  <si>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</si>
  <si>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</si>
  <si>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</si>
  <si>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</si>
  <si>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</si>
  <si>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</si>
  <si>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</si>
  <si>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</si>
  <si>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</si>
  <si>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</si>
  <si>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</si>
  <si>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</si>
  <si>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</si>
  <si>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</si>
  <si>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</si>
  <si>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</si>
  <si>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</si>
  <si>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</si>
  <si>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</si>
  <si>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</si>
  <si>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</si>
  <si>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</si>
  <si>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</si>
  <si>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</si>
  <si>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</si>
  <si>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</si>
  <si>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</si>
  <si>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</si>
  <si>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</si>
  <si>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</si>
  <si>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</si>
  <si>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</si>
  <si>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</si>
  <si>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</si>
  <si>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</si>
  <si>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</si>
  <si>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</si>
  <si>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</si>
  <si>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</si>
  <si>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</si>
  <si>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</si>
  <si>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</si>
  <si>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</si>
  <si>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</si>
  <si>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</si>
  <si>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</si>
  <si>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</si>
  <si>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</si>
  <si>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</si>
  <si>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</si>
  <si>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</si>
  <si>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</si>
  <si>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</si>
  <si>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</si>
  <si>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</si>
  <si>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</si>
  <si>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</si>
  <si>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</si>
  <si>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</si>
  <si>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</si>
  <si>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</si>
  <si>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</si>
  <si>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</si>
  <si>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</si>
  <si>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</si>
  <si>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</si>
  <si>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</si>
  <si>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</si>
  <si>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</si>
  <si>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</si>
  <si>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</si>
  <si>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</si>
  <si>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</si>
  <si>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</si>
  <si>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</si>
  <si>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</si>
  <si>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</si>
  <si>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</si>
  <si>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</si>
  <si>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</si>
  <si>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</si>
  <si>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</si>
  <si>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</si>
  <si>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</si>
  <si>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</si>
  <si>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</si>
  <si>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</si>
  <si>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</si>
  <si>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</si>
  <si>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</si>
  <si>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</si>
  <si>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</si>
  <si>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</si>
  <si>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</si>
  <si>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</si>
  <si>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</si>
  <si>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</si>
  <si>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</si>
  <si>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</si>
  <si>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</si>
  <si>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</si>
  <si>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</si>
  <si>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</si>
  <si>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</si>
  <si>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</si>
  <si>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</si>
  <si>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</si>
  <si>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</si>
  <si>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</si>
  <si>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</si>
  <si>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</si>
  <si>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</si>
  <si>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</si>
  <si>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</si>
  <si>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</si>
  <si>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</si>
  <si>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</si>
  <si>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</si>
  <si>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</si>
  <si>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</si>
  <si>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</si>
  <si>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</si>
  <si>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</si>
  <si>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</si>
  <si>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</si>
  <si>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</si>
  <si>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</si>
  <si>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</si>
  <si>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</si>
  <si>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</si>
  <si>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</si>
  <si>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</si>
  <si>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</si>
  <si>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</si>
  <si>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</si>
  <si>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</si>
  <si>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</si>
  <si>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</si>
  <si>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</si>
  <si>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</si>
  <si>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</si>
  <si>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</si>
  <si>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</si>
  <si>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</si>
  <si>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</si>
  <si>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</si>
  <si>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</si>
  <si>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</si>
  <si>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</si>
  <si>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</si>
  <si>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</si>
  <si>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</si>
  <si>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</si>
  <si>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</si>
  <si>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</si>
  <si>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</si>
  <si>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</si>
  <si>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</si>
  <si>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</si>
  <si>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</si>
  <si>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</si>
  <si>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</si>
  <si>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</si>
  <si>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</si>
  <si>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</si>
  <si>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</si>
  <si>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</si>
  <si>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</si>
  <si>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</si>
  <si>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</si>
  <si>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</si>
  <si>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</si>
  <si>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</si>
  <si>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</si>
  <si>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</si>
  <si>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</si>
  <si>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</si>
  <si>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</si>
  <si>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</si>
  <si>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</si>
  <si>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</si>
  <si>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</si>
  <si>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</si>
  <si>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</si>
  <si>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</si>
  <si>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</si>
  <si>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</si>
  <si>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</si>
  <si>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</si>
  <si>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</si>
  <si>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</si>
  <si>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</si>
  <si>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</si>
  <si>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</si>
  <si>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</si>
  <si>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</si>
  <si>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</si>
  <si>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</si>
  <si>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</si>
  <si>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</si>
  <si>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</si>
  <si>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</si>
  <si>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</si>
  <si>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</si>
  <si>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</si>
  <si>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</si>
  <si>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</si>
  <si>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</si>
  <si>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</si>
  <si>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</si>
  <si>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</si>
  <si>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</si>
  <si>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</si>
  <si>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</si>
  <si>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</si>
  <si>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</si>
  <si>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</si>
  <si>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</si>
  <si>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</si>
  <si>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</si>
  <si>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</si>
  <si>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</si>
  <si>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</si>
  <si>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</si>
  <si>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</si>
  <si>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</si>
  <si>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</si>
  <si>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</si>
  <si>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</si>
  <si>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</si>
  <si>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</si>
  <si>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</si>
  <si>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</si>
  <si>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</si>
  <si>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</si>
  <si>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</si>
  <si>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</si>
  <si>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</si>
  <si>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</si>
  <si>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</si>
  <si>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</si>
  <si>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</si>
  <si>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</si>
  <si>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</si>
  <si>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</si>
  <si>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</si>
  <si>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</si>
  <si>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</si>
  <si>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</si>
  <si>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</si>
  <si>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</si>
  <si>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</si>
  <si>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</si>
  <si>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</si>
  <si>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</si>
  <si>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</si>
  <si>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</si>
  <si>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</si>
  <si>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</si>
  <si>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</si>
  <si>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</si>
  <si>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</si>
  <si>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</si>
  <si>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</si>
  <si>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</si>
  <si>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</si>
  <si>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</si>
  <si>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</si>
  <si>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</si>
  <si>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</si>
  <si>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</si>
  <si>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</si>
  <si>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</si>
  <si>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</si>
  <si>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</si>
  <si>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</si>
  <si>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</si>
  <si>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</si>
  <si>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</si>
  <si>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</si>
  <si>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</si>
  <si>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</si>
  <si>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</si>
  <si>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</si>
  <si>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</si>
  <si>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</si>
  <si>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</si>
  <si>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</si>
  <si>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</si>
  <si>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</si>
  <si>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</si>
  <si>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</si>
  <si>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</si>
  <si>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</si>
  <si>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</si>
  <si>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</si>
  <si>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</si>
  <si>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</si>
  <si>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</si>
  <si>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</si>
  <si>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</si>
  <si>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</si>
  <si>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</si>
  <si>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</si>
  <si>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</si>
  <si>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</si>
  <si>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</si>
  <si>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</si>
  <si>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</si>
  <si>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</si>
  <si>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</si>
  <si>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</si>
  <si>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</si>
  <si>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</si>
  <si>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</si>
  <si>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</si>
  <si>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</si>
  <si>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</si>
  <si>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</si>
  <si>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</si>
  <si>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</si>
  <si>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</si>
  <si>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</si>
  <si>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</si>
  <si>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</si>
  <si>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</si>
  <si>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</si>
  <si>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</si>
  <si>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</si>
  <si>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</si>
  <si>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</si>
  <si>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</si>
  <si>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</si>
  <si>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</si>
  <si>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</si>
  <si>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</si>
  <si>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</si>
  <si>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</si>
  <si>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</si>
  <si>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</si>
  <si>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</si>
  <si>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</si>
  <si>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</si>
  <si>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</si>
  <si>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</si>
  <si>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</si>
  <si>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</si>
  <si>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</si>
  <si>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</si>
  <si>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</si>
  <si>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</si>
  <si>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</si>
  <si>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</si>
  <si>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</si>
  <si>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</si>
  <si>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</si>
  <si>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</si>
  <si>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</si>
  <si>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</si>
  <si>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</si>
  <si>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</si>
  <si>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</si>
  <si>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</si>
  <si>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</si>
  <si>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</si>
  <si>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</si>
  <si>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</si>
  <si>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</si>
  <si>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</si>
  <si>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</si>
  <si>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</si>
  <si>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</si>
  <si>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</si>
  <si>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</si>
  <si>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</si>
  <si>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</si>
  <si>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</si>
  <si>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</si>
  <si>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</si>
  <si>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</si>
  <si>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</si>
  <si>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</si>
  <si>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</si>
  <si>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</si>
  <si>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</si>
  <si>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</si>
  <si>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</si>
  <si>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</si>
  <si>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</si>
  <si>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</si>
  <si>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</si>
  <si>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</si>
  <si>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</si>
  <si>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</si>
  <si>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</si>
  <si>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</si>
  <si>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</si>
  <si>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</si>
  <si>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</si>
  <si>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</si>
  <si>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</si>
  <si>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</si>
  <si>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</si>
  <si>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</si>
  <si>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</si>
  <si>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</si>
  <si>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</si>
  <si>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</si>
  <si>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</si>
  <si>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</si>
  <si>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</si>
  <si>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</si>
  <si>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</si>
  <si>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</si>
  <si>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</si>
  <si>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</si>
  <si>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</si>
  <si>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</si>
  <si>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</si>
  <si>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</si>
  <si>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</si>
  <si>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</si>
  <si>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</si>
  <si>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</si>
  <si>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</si>
  <si>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</si>
  <si>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</si>
  <si>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</si>
  <si>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</si>
  <si>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</si>
  <si>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</si>
  <si>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</si>
  <si>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</si>
  <si>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</si>
  <si>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</si>
  <si>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</si>
  <si>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</si>
  <si>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</si>
  <si>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</si>
  <si>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</si>
  <si>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</si>
  <si>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</si>
  <si>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</si>
  <si>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</si>
  <si>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</si>
  <si>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</si>
  <si>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</si>
  <si>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</si>
  <si>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</si>
  <si>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</si>
  <si>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</si>
  <si>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</si>
  <si>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</si>
  <si>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</si>
  <si>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</si>
  <si>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</si>
  <si>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</si>
  <si>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</si>
  <si>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</si>
  <si>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</si>
  <si>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</si>
  <si>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</si>
  <si>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</si>
  <si>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</si>
  <si>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</si>
  <si>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</si>
  <si>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</si>
  <si>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</si>
  <si>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</si>
  <si>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</si>
  <si>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</si>
  <si>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</si>
  <si>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</si>
  <si>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</si>
  <si>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</si>
  <si>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</si>
  <si>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</si>
  <si>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</si>
  <si>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</si>
  <si>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</si>
  <si>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</si>
  <si>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</si>
  <si>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</si>
  <si>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</si>
  <si>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</si>
  <si>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</si>
  <si>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</si>
  <si>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</si>
  <si>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</si>
  <si>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</si>
  <si>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</si>
  <si>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</si>
  <si>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</si>
  <si>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</si>
  <si>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</si>
  <si>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</si>
  <si>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</si>
  <si>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</si>
  <si>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</si>
  <si>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</si>
  <si>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</si>
  <si>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</si>
  <si>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</si>
  <si>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</si>
  <si>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</si>
  <si>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</si>
  <si>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</si>
  <si>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</si>
  <si>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</si>
  <si>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</si>
  <si>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</si>
  <si>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</si>
  <si>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</si>
  <si>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</si>
  <si>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</si>
  <si>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</si>
  <si>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</si>
  <si>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</si>
  <si>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</si>
  <si>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</si>
  <si>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</si>
  <si>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</si>
  <si>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</si>
  <si>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</si>
  <si>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</si>
  <si>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</si>
  <si>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</si>
  <si>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</si>
  <si>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</si>
  <si>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</si>
  <si>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</si>
  <si>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</si>
  <si>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</si>
  <si>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</si>
  <si>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</si>
  <si>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</si>
  <si>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</si>
  <si>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</si>
  <si>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</si>
  <si>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</si>
  <si>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</si>
  <si>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</si>
  <si>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</si>
  <si>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</si>
  <si>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</si>
  <si>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</si>
  <si>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</si>
  <si>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</si>
  <si>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</si>
  <si>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</si>
  <si>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</si>
  <si>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</si>
  <si>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</si>
  <si>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</si>
  <si>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</si>
  <si>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</si>
  <si>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</si>
  <si>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</si>
  <si>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</si>
  <si>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</si>
  <si>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</si>
  <si>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</si>
  <si>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</si>
  <si>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</si>
  <si>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</si>
  <si>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</si>
  <si>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</si>
  <si>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</si>
  <si>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</si>
  <si>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</si>
  <si>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</si>
  <si>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</si>
  <si>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</si>
  <si>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</si>
  <si>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</si>
  <si>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</si>
  <si>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</si>
  <si>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</si>
  <si>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</si>
  <si>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</si>
  <si>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</si>
  <si>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</si>
  <si>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Suficit/Deficit za period Januar -</t>
  </si>
  <si>
    <t>Surplus/Deficit for period January -</t>
  </si>
  <si>
    <t>Surplus/Deficit for</t>
  </si>
  <si>
    <t>Tekuća budžetska potrošnja</t>
  </si>
  <si>
    <t>Current Budgetary Consumption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</si>
</sst>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NumberFormat="1" applyFill="1" applyAlignment="1">
      <alignment horizontal="right"/>
    </xf>
    <xf numFmtId="0" fontId="0" fillId="4" borderId="0" xfId="0" applyNumberFormat="1" applyFill="1" applyAlignment="1">
      <alignment horizontal="right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165" fontId="0" fillId="3" borderId="0" xfId="130" applyFont="1" applyFill="1" applyAlignment="1">
      <alignment vertical="center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60288"/>
        <c:axId val="178694400"/>
      </c:lineChart>
      <c:catAx>
        <c:axId val="17806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78694400"/>
        <c:crosses val="autoZero"/>
        <c:auto val="1"/>
        <c:lblAlgn val="ctr"/>
        <c:lblOffset val="100"/>
        <c:tickLblSkip val="3"/>
        <c:noMultiLvlLbl val="0"/>
      </c:catAx>
      <c:valAx>
        <c:axId val="178694400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7806028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9280"/>
        <c:axId val="166050816"/>
      </c:lineChart>
      <c:catAx>
        <c:axId val="16604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66050816"/>
        <c:crosses val="autoZero"/>
        <c:auto val="1"/>
        <c:lblAlgn val="ctr"/>
        <c:lblOffset val="100"/>
        <c:tickLblSkip val="3"/>
        <c:noMultiLvlLbl val="0"/>
      </c:catAx>
      <c:valAx>
        <c:axId val="166050816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6604928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9'!_2015plan"/><Relationship Id="rId4" Type="http://schemas.openxmlformats.org/officeDocument/2006/relationships/hyperlink" Target="#'2019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133350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7019926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januar-jun 2019. godine iznosili su 824,0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20,8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2,6% u odnosu na plan. U odnosu na isti period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60,1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7,9%.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januar-jun 2019. godine iznosili su 887,3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18,5% BDP-a i viši su za 31,6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3,7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130,8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12,9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januar-jun 2019. godine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63,3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1,3%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285750</xdr:colOff>
      <xdr:row>2</xdr:row>
      <xdr:rowOff>0</xdr:rowOff>
    </xdr:from>
    <xdr:to>
      <xdr:col>13</xdr:col>
      <xdr:colOff>38735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10</xdr:col>
      <xdr:colOff>285750</xdr:colOff>
      <xdr:row>4</xdr:row>
      <xdr:rowOff>0</xdr:rowOff>
    </xdr:from>
    <xdr:to>
      <xdr:col>13</xdr:col>
      <xdr:colOff>35560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285750</xdr:colOff>
      <xdr:row>2</xdr:row>
      <xdr:rowOff>0</xdr:rowOff>
    </xdr:from>
    <xdr:to>
      <xdr:col>15</xdr:col>
      <xdr:colOff>143193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285750</xdr:colOff>
      <xdr:row>4</xdr:row>
      <xdr:rowOff>0</xdr:rowOff>
    </xdr:from>
    <xdr:to>
      <xdr:col>15</xdr:col>
      <xdr:colOff>143193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15</xdr:col>
      <xdr:colOff>285750</xdr:colOff>
      <xdr:row>1</xdr:row>
      <xdr:rowOff>57150</xdr:rowOff>
    </xdr:from>
    <xdr:to>
      <xdr:col>17</xdr:col>
      <xdr:colOff>647158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15</xdr:col>
      <xdr:colOff>285750</xdr:colOff>
      <xdr:row>2</xdr:row>
      <xdr:rowOff>152400</xdr:rowOff>
    </xdr:from>
    <xdr:to>
      <xdr:col>17</xdr:col>
      <xdr:colOff>671287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15</xdr:col>
      <xdr:colOff>295275</xdr:colOff>
      <xdr:row>4</xdr:row>
      <xdr:rowOff>57150</xdr:rowOff>
    </xdr:from>
    <xdr:to>
      <xdr:col>17</xdr:col>
      <xdr:colOff>680812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2019-06</v>
      </c>
      <c r="O6" s="168" t="str">
        <f>+CONCATENATE(N6,"p")</f>
        <v>2019-06p</v>
      </c>
      <c r="P6" s="152"/>
      <c r="Q6" s="152"/>
      <c r="R6" s="168" t="str">
        <f>+IF(Master!B3-10&gt;=0,CONCATENATE(Master!B4-1,"-",Master!B3),CONCATENATE(Master!B4-1,"-0",Master!B3))</f>
        <v>2018-06</v>
      </c>
      <c r="S6" s="152"/>
      <c r="T6" s="152"/>
    </row>
    <row r="7" spans="1:20">
      <c r="A7" s="169"/>
      <c r="B7" s="484" t="s">
        <v>702</v>
      </c>
      <c r="C7" s="485"/>
      <c r="D7" s="485"/>
      <c r="E7" s="485"/>
      <c r="F7" s="485"/>
      <c r="G7" s="493" t="s">
        <v>700</v>
      </c>
      <c r="H7" s="494"/>
      <c r="I7" s="494"/>
      <c r="J7" s="494"/>
      <c r="K7" s="494"/>
      <c r="L7" s="494"/>
      <c r="M7" s="495"/>
      <c r="N7" s="496" t="str">
        <f>+Master!G242</f>
        <v>Decembar</v>
      </c>
      <c r="O7" s="494"/>
      <c r="P7" s="494"/>
      <c r="Q7" s="494"/>
      <c r="R7" s="494"/>
      <c r="S7" s="494"/>
      <c r="T7" s="497"/>
    </row>
    <row r="8" spans="1:20">
      <c r="A8" s="169"/>
      <c r="B8" s="486"/>
      <c r="C8" s="487"/>
      <c r="D8" s="487"/>
      <c r="E8" s="487"/>
      <c r="F8" s="488"/>
      <c r="G8" s="170" t="str">
        <f>+Master!G23</f>
        <v>Ostvarenje</v>
      </c>
      <c r="H8" s="170" t="str">
        <f>+Master!G22</f>
        <v>Plan</v>
      </c>
      <c r="I8" s="482" t="str">
        <f>+Master!G260</f>
        <v>Odstupanje</v>
      </c>
      <c r="J8" s="482"/>
      <c r="K8" s="170" t="str">
        <f>+CONCATENATE(Master!G245," ",Master!B4-1)</f>
        <v>Jan - Jun 2018</v>
      </c>
      <c r="L8" s="482" t="str">
        <f>+I8</f>
        <v>Odstupanje</v>
      </c>
      <c r="M8" s="492"/>
      <c r="N8" s="171" t="str">
        <f>+G8</f>
        <v>Ostvarenje</v>
      </c>
      <c r="O8" s="170" t="str">
        <f>+H8</f>
        <v>Plan</v>
      </c>
      <c r="P8" s="482" t="str">
        <f>+I8</f>
        <v>Odstupanje</v>
      </c>
      <c r="Q8" s="482"/>
      <c r="R8" s="170" t="str">
        <f>+CONCATENATE(Master!G244," ",Master!B4-1)</f>
        <v>Jun 2018</v>
      </c>
      <c r="S8" s="482" t="str">
        <f>+P8</f>
        <v>Odstupanje</v>
      </c>
      <c r="T8" s="483"/>
    </row>
    <row r="9" spans="1:20" ht="15.7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56" t="e">
        <f>+VLOOKUP($A18,Master!$D$27:$G$225,4,FALSE)</f>
        <v>#N/A</v>
      </c>
      <c r="C18" s="457"/>
      <c r="D18" s="457"/>
      <c r="E18" s="457"/>
      <c r="F18" s="457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56" t="str">
        <f>+VLOOKUP($A19,Master!$D$27:$G$225,4,FALSE)</f>
        <v>Ostali državni porezi</v>
      </c>
      <c r="C19" s="457"/>
      <c r="D19" s="457"/>
      <c r="E19" s="457"/>
      <c r="F19" s="457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60" t="str">
        <f>+VLOOKUP($A20,Master!$D$27:$G$225,4,FALSE)</f>
        <v>Doprinosi</v>
      </c>
      <c r="C20" s="461"/>
      <c r="D20" s="461"/>
      <c r="E20" s="461"/>
      <c r="F20" s="461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56" t="str">
        <f>+VLOOKUP($A21,Master!$D$27:$G$225,4,FALSE)</f>
        <v>Doprinosi za penzijsko i invalidsko osiguranje</v>
      </c>
      <c r="C21" s="457"/>
      <c r="D21" s="457"/>
      <c r="E21" s="457"/>
      <c r="F21" s="457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56" t="str">
        <f>+VLOOKUP($A22,Master!$D$27:$G$225,4,FALSE)</f>
        <v>Doprinosi za zdravstveno osiguranje</v>
      </c>
      <c r="C22" s="457"/>
      <c r="D22" s="457"/>
      <c r="E22" s="457"/>
      <c r="F22" s="457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56" t="str">
        <f>+VLOOKUP($A23,Master!$D$27:$G$225,4,FALSE)</f>
        <v>Doprinosi za osiguranje od nezaposlenosti</v>
      </c>
      <c r="C23" s="457"/>
      <c r="D23" s="457"/>
      <c r="E23" s="457"/>
      <c r="F23" s="457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56" t="str">
        <f>+VLOOKUP($A24,Master!$D$27:$G$225,4,FALSE)</f>
        <v>Ostali doprinosi</v>
      </c>
      <c r="C24" s="457"/>
      <c r="D24" s="457"/>
      <c r="E24" s="457"/>
      <c r="F24" s="457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58" t="str">
        <f>+VLOOKUP($A25,Master!$D$27:$G$225,4,FALSE)</f>
        <v>Takse</v>
      </c>
      <c r="C25" s="459"/>
      <c r="D25" s="459"/>
      <c r="E25" s="459"/>
      <c r="F25" s="459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58" t="str">
        <f>+VLOOKUP($A26,Master!$D$27:$G$225,4,FALSE)</f>
        <v>Naknade</v>
      </c>
      <c r="C26" s="459"/>
      <c r="D26" s="459"/>
      <c r="E26" s="459"/>
      <c r="F26" s="459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58" t="str">
        <f>+VLOOKUP($A27,Master!$D$27:$G$225,4,FALSE)</f>
        <v>Ostali prihodi</v>
      </c>
      <c r="C27" s="459"/>
      <c r="D27" s="459"/>
      <c r="E27" s="459"/>
      <c r="F27" s="459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58" t="str">
        <f>+VLOOKUP($A28,Master!$D$27:$G$225,4,FALSE)</f>
        <v>Primici od otplate kredita i sredstva prenesena iz prethodne godine</v>
      </c>
      <c r="C28" s="459"/>
      <c r="D28" s="459"/>
      <c r="E28" s="459"/>
      <c r="F28" s="459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62" t="str">
        <f>+VLOOKUP($A29,Master!$D$27:$G$225,4,FALSE)</f>
        <v>Donacije i transferi</v>
      </c>
      <c r="C29" s="463"/>
      <c r="D29" s="463"/>
      <c r="E29" s="463"/>
      <c r="F29" s="463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64" t="str">
        <f>+VLOOKUP($A30,Master!$D$27:$G$225,4,FALSE)</f>
        <v>Budžetski izdaci</v>
      </c>
      <c r="C30" s="465"/>
      <c r="D30" s="465"/>
      <c r="E30" s="465"/>
      <c r="F30" s="465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66" t="str">
        <f>+VLOOKUP($A31,Master!$D$27:$G$225,4,FALSE)</f>
        <v>Tekuća budžetska potrošnja</v>
      </c>
      <c r="C31" s="467"/>
      <c r="D31" s="467"/>
      <c r="E31" s="467"/>
      <c r="F31" s="467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68" t="str">
        <f>+VLOOKUP($A32,Master!$D$27:$G$225,4,FALSE)</f>
        <v>Tekući izdaci</v>
      </c>
      <c r="C32" s="469"/>
      <c r="D32" s="469"/>
      <c r="E32" s="469"/>
      <c r="F32" s="469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56" t="str">
        <f>+VLOOKUP($A33,Master!$D$27:$G$225,4,FALSE)</f>
        <v>Bruto zarade i doprinosi na teret poslodavca</v>
      </c>
      <c r="C33" s="457"/>
      <c r="D33" s="457"/>
      <c r="E33" s="457"/>
      <c r="F33" s="457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56" t="str">
        <f>+VLOOKUP($A34,Master!$D$27:$G$225,4,FALSE)</f>
        <v>Ostala lična primanja</v>
      </c>
      <c r="C34" s="457"/>
      <c r="D34" s="457"/>
      <c r="E34" s="457"/>
      <c r="F34" s="457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56" t="str">
        <f>+VLOOKUP($A35,Master!$D$27:$G$225,4,FALSE)</f>
        <v>Rashodi za materijal</v>
      </c>
      <c r="C35" s="457"/>
      <c r="D35" s="457"/>
      <c r="E35" s="457"/>
      <c r="F35" s="457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56" t="str">
        <f>+VLOOKUP($A36,Master!$D$27:$G$225,4,FALSE)</f>
        <v>Rashodi za usluge</v>
      </c>
      <c r="C36" s="457"/>
      <c r="D36" s="457"/>
      <c r="E36" s="457"/>
      <c r="F36" s="457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56" t="str">
        <f>+VLOOKUP($A37,Master!$D$27:$G$225,4,FALSE)</f>
        <v>Rashodi za tekuće održavanje</v>
      </c>
      <c r="C37" s="457"/>
      <c r="D37" s="457"/>
      <c r="E37" s="457"/>
      <c r="F37" s="457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56" t="str">
        <f>+VLOOKUP($A38,Master!$D$27:$G$225,4,FALSE)</f>
        <v>Kamate</v>
      </c>
      <c r="C38" s="457"/>
      <c r="D38" s="457"/>
      <c r="E38" s="457"/>
      <c r="F38" s="457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56" t="str">
        <f>+VLOOKUP($A39,Master!$D$27:$G$225,4,FALSE)</f>
        <v>Renta</v>
      </c>
      <c r="C39" s="457"/>
      <c r="D39" s="457"/>
      <c r="E39" s="457"/>
      <c r="F39" s="457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56" t="str">
        <f>+VLOOKUP($A40,Master!$D$27:$G$225,4,FALSE)</f>
        <v>Subvencije</v>
      </c>
      <c r="C40" s="457"/>
      <c r="D40" s="457"/>
      <c r="E40" s="457"/>
      <c r="F40" s="457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56" t="str">
        <f>+VLOOKUP($A41,Master!$D$27:$G$225,4,FALSE)</f>
        <v>Ostali izdaci</v>
      </c>
      <c r="C41" s="457"/>
      <c r="D41" s="457"/>
      <c r="E41" s="457"/>
      <c r="F41" s="457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56" t="str">
        <f>+VLOOKUP($A42,Master!$D$27:$G$225,4,FALSE)</f>
        <v>Kapitalni izdaci u tekućem budžetu</v>
      </c>
      <c r="C42" s="457"/>
      <c r="D42" s="457"/>
      <c r="E42" s="457"/>
      <c r="F42" s="457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72" t="str">
        <f>+VLOOKUP($A43,Master!$D$27:$G$225,4,FALSE)</f>
        <v>Transferi za socijalnu zaštitu</v>
      </c>
      <c r="C43" s="473"/>
      <c r="D43" s="473"/>
      <c r="E43" s="473"/>
      <c r="F43" s="473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56" t="str">
        <f>+VLOOKUP($A44,Master!$D$27:$G$225,4,FALSE)</f>
        <v>Prava iz oblasti socijalne zaštite</v>
      </c>
      <c r="C44" s="457"/>
      <c r="D44" s="457"/>
      <c r="E44" s="457"/>
      <c r="F44" s="457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56" t="str">
        <f>+VLOOKUP($A45,Master!$D$27:$G$225,4,FALSE)</f>
        <v>Sredstva za tehnološke viškove</v>
      </c>
      <c r="C45" s="457"/>
      <c r="D45" s="457"/>
      <c r="E45" s="457"/>
      <c r="F45" s="457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56" t="str">
        <f>+VLOOKUP($A46,Master!$D$27:$G$225,4,FALSE)</f>
        <v>Prava iz oblasti penzijskog i invalidskog osiguranja</v>
      </c>
      <c r="C46" s="457"/>
      <c r="D46" s="457"/>
      <c r="E46" s="457"/>
      <c r="F46" s="457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56" t="str">
        <f>+VLOOKUP($A47,Master!$D$27:$G$225,4,FALSE)</f>
        <v>Ostala prava iz oblasti zdravstvene zaštite</v>
      </c>
      <c r="C47" s="457"/>
      <c r="D47" s="457"/>
      <c r="E47" s="457"/>
      <c r="F47" s="457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56" t="str">
        <f>+VLOOKUP($A48,Master!$D$27:$G$225,4,FALSE)</f>
        <v>Ostala prava iz zdravstvenog osiguranja</v>
      </c>
      <c r="C48" s="457"/>
      <c r="D48" s="457"/>
      <c r="E48" s="457"/>
      <c r="F48" s="457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70" t="str">
        <f>+VLOOKUP($A49,Master!$D$27:$G$225,4,FALSE)</f>
        <v xml:space="preserve">Transferi institucijama, pojedincima, nevladinom i javnom sektoru </v>
      </c>
      <c r="C49" s="471"/>
      <c r="D49" s="471"/>
      <c r="E49" s="471"/>
      <c r="F49" s="471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70" t="str">
        <f>+VLOOKUP($A50,Master!$D$27:$G$225,4,FALSE)</f>
        <v>Kapitalni budžet</v>
      </c>
      <c r="C50" s="471"/>
      <c r="D50" s="471"/>
      <c r="E50" s="471"/>
      <c r="F50" s="471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74" t="str">
        <f>+VLOOKUP($A51,Master!$D$27:$G$225,4,FALSE)</f>
        <v>Pozajmice i krediti</v>
      </c>
      <c r="C51" s="475"/>
      <c r="D51" s="475"/>
      <c r="E51" s="475"/>
      <c r="F51" s="475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74" t="str">
        <f>+VLOOKUP($A52,Master!$D$27:$G$225,4,FALSE)</f>
        <v>Rezerve</v>
      </c>
      <c r="C52" s="475"/>
      <c r="D52" s="475"/>
      <c r="E52" s="475"/>
      <c r="F52" s="475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6" t="str">
        <f>+VLOOKUP($A53,Master!$D$27:$G$225,4,FALSE)</f>
        <v>Otplata garancija</v>
      </c>
      <c r="C53" s="477"/>
      <c r="D53" s="477"/>
      <c r="E53" s="477"/>
      <c r="F53" s="477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6" t="str">
        <f>+VLOOKUP($A54,Master!$D$27:$G$225,4,FALSE)</f>
        <v>Otplata obaveza iz prethodnih godina</v>
      </c>
      <c r="C54" s="477"/>
      <c r="D54" s="477"/>
      <c r="E54" s="477"/>
      <c r="F54" s="477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6" t="str">
        <f>+VLOOKUP($A55,Master!$D$27:$G$227,4,FALSE)</f>
        <v>Neto povećanje obaveza</v>
      </c>
      <c r="C55" s="477"/>
      <c r="D55" s="477"/>
      <c r="E55" s="477"/>
      <c r="F55" s="477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8" t="str">
        <f>+VLOOKUP($A56,Master!$D$27:$G$225,4,FALSE)</f>
        <v>Suficit / deficit</v>
      </c>
      <c r="C56" s="479"/>
      <c r="D56" s="479"/>
      <c r="E56" s="479"/>
      <c r="F56" s="479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72" t="str">
        <f>+VLOOKUP($A58,Master!$D$27:$G$225,4,FALSE)</f>
        <v>Otplata dugova</v>
      </c>
      <c r="C58" s="473"/>
      <c r="D58" s="473"/>
      <c r="E58" s="473"/>
      <c r="F58" s="473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98" t="str">
        <f>+VLOOKUP($A59,Master!$D$27:$G$225,4,FALSE)</f>
        <v>Otplata hartija od vrijednosti i kredita rezidentima</v>
      </c>
      <c r="C59" s="499"/>
      <c r="D59" s="499"/>
      <c r="E59" s="499"/>
      <c r="F59" s="499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74" t="str">
        <f>+VLOOKUP($A60,Master!$D$27:$G$225,4,FALSE)</f>
        <v>Otplata hartija od vrijednosti i kredita nerezidentima</v>
      </c>
      <c r="C60" s="475"/>
      <c r="D60" s="475"/>
      <c r="E60" s="475"/>
      <c r="F60" s="475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693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500" t="str">
        <f>+VLOOKUP($A62,Master!$D$27:$G$225,4,FALSE)</f>
        <v>Nedostajuća sredstva</v>
      </c>
      <c r="C62" s="501"/>
      <c r="D62" s="501"/>
      <c r="E62" s="501"/>
      <c r="F62" s="501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64" t="str">
        <f>+VLOOKUP($A63,Master!$D$27:$G$225,4,FALSE)</f>
        <v>Finansiranje</v>
      </c>
      <c r="C63" s="465"/>
      <c r="D63" s="465"/>
      <c r="E63" s="465"/>
      <c r="F63" s="465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98" t="str">
        <f>+VLOOKUP($A64,Master!$D$27:$G$225,4,FALSE)</f>
        <v>Pozajmice i krediti od domaćih izvora</v>
      </c>
      <c r="C64" s="499"/>
      <c r="D64" s="499"/>
      <c r="E64" s="499"/>
      <c r="F64" s="499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74" t="str">
        <f>+VLOOKUP($A65,Master!$D$27:$G$225,4,FALSE)</f>
        <v>Pozajmice i krediti od inostranih izvora</v>
      </c>
      <c r="C65" s="475"/>
      <c r="D65" s="475"/>
      <c r="E65" s="475"/>
      <c r="F65" s="475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74" t="str">
        <f>+VLOOKUP($A66,Master!$D$27:$G$225,4,FALSE)</f>
        <v>Primici od prodaje imovine</v>
      </c>
      <c r="C66" s="475"/>
      <c r="D66" s="475"/>
      <c r="E66" s="475"/>
      <c r="F66" s="475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513</v>
      </c>
      <c r="H6" s="69" t="s">
        <v>514</v>
      </c>
      <c r="I6" s="69" t="s">
        <v>515</v>
      </c>
      <c r="J6" s="69"/>
      <c r="K6" s="69" t="s">
        <v>516</v>
      </c>
      <c r="L6" s="69" t="s">
        <v>517</v>
      </c>
      <c r="M6" s="69" t="s">
        <v>518</v>
      </c>
      <c r="N6" s="69"/>
      <c r="O6" s="69" t="s">
        <v>519</v>
      </c>
      <c r="P6" s="69" t="s">
        <v>520</v>
      </c>
      <c r="Q6" s="69" t="s">
        <v>521</v>
      </c>
      <c r="R6" s="69"/>
      <c r="S6" s="69" t="s">
        <v>522</v>
      </c>
      <c r="T6" s="69" t="s">
        <v>523</v>
      </c>
      <c r="U6" s="69" t="s">
        <v>524</v>
      </c>
      <c r="V6" s="69"/>
    </row>
    <row r="7" spans="1:24" ht="15" customHeight="1" thickBot="1">
      <c r="B7" s="524" t="str">
        <f>+Master!G251</f>
        <v>Ostvarenje budžeta</v>
      </c>
      <c r="C7" s="525"/>
      <c r="D7" s="525"/>
      <c r="E7" s="525"/>
      <c r="F7" s="525"/>
      <c r="G7" s="515">
        <v>2013</v>
      </c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S7" s="516"/>
      <c r="T7" s="516"/>
      <c r="U7" s="517"/>
      <c r="V7" s="360"/>
      <c r="W7" s="115" t="str">
        <f>+Master!G248</f>
        <v>BDP</v>
      </c>
      <c r="X7" s="116">
        <v>3327000000</v>
      </c>
    </row>
    <row r="8" spans="1:24" ht="16.5" customHeight="1">
      <c r="B8" s="526"/>
      <c r="C8" s="527"/>
      <c r="D8" s="527"/>
      <c r="E8" s="527"/>
      <c r="F8" s="528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15" t="s">
        <v>701</v>
      </c>
      <c r="X8" s="517"/>
    </row>
    <row r="9" spans="1:24" ht="13.5" thickBot="1">
      <c r="B9" s="529"/>
      <c r="C9" s="530"/>
      <c r="D9" s="530"/>
      <c r="E9" s="530"/>
      <c r="F9" s="531"/>
      <c r="G9" s="68" t="s">
        <v>423</v>
      </c>
      <c r="H9" s="68" t="s">
        <v>423</v>
      </c>
      <c r="I9" s="68" t="s">
        <v>423</v>
      </c>
      <c r="J9" s="68"/>
      <c r="K9" s="68" t="s">
        <v>423</v>
      </c>
      <c r="L9" s="68" t="s">
        <v>423</v>
      </c>
      <c r="M9" s="68" t="s">
        <v>423</v>
      </c>
      <c r="N9" s="68"/>
      <c r="O9" s="68" t="s">
        <v>423</v>
      </c>
      <c r="P9" s="68" t="s">
        <v>423</v>
      </c>
      <c r="Q9" s="68" t="s">
        <v>423</v>
      </c>
      <c r="R9" s="68"/>
      <c r="S9" s="68" t="s">
        <v>423</v>
      </c>
      <c r="T9" s="68" t="s">
        <v>423</v>
      </c>
      <c r="U9" s="68" t="s">
        <v>423</v>
      </c>
      <c r="V9" s="68"/>
      <c r="W9" s="66" t="s">
        <v>423</v>
      </c>
      <c r="X9" s="67" t="str">
        <f>+Master!G249</f>
        <v>% BDP</v>
      </c>
    </row>
    <row r="10" spans="1:24" ht="13.5" thickBot="1">
      <c r="A10" s="72">
        <v>7</v>
      </c>
      <c r="B10" s="518" t="str">
        <f>+VLOOKUP($A10,Master!$D$27:$G$225,4,FALSE)</f>
        <v>Prihodi budžeta</v>
      </c>
      <c r="C10" s="519"/>
      <c r="D10" s="519"/>
      <c r="E10" s="519"/>
      <c r="F10" s="519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20" t="str">
        <f>+VLOOKUP($A11,Master!$D$27:$G$225,4,FALSE)</f>
        <v>Porezi</v>
      </c>
      <c r="C11" s="521"/>
      <c r="D11" s="521"/>
      <c r="E11" s="521"/>
      <c r="F11" s="521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22" t="str">
        <f>+VLOOKUP($A12,Master!$D$27:$G$225,4,FALSE)</f>
        <v>Porez na dohodak fizičkih lica</v>
      </c>
      <c r="C12" s="523"/>
      <c r="D12" s="523"/>
      <c r="E12" s="523"/>
      <c r="F12" s="523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22" t="str">
        <f>+VLOOKUP($A13,Master!$D$27:$G$225,4,FALSE)</f>
        <v>Porez na dobit pravnih lica</v>
      </c>
      <c r="C13" s="523"/>
      <c r="D13" s="523"/>
      <c r="E13" s="523"/>
      <c r="F13" s="523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22" t="str">
        <f>+VLOOKUP($A14,Master!$D$27:$G$225,4,FALSE)</f>
        <v>Porez na promet nepokretnosti</v>
      </c>
      <c r="C14" s="523"/>
      <c r="D14" s="523"/>
      <c r="E14" s="523"/>
      <c r="F14" s="523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22" t="str">
        <f>+VLOOKUP($A15,Master!$D$27:$G$225,4,FALSE)</f>
        <v>Porez na dodatu vrijednost</v>
      </c>
      <c r="C15" s="523"/>
      <c r="D15" s="523"/>
      <c r="E15" s="523"/>
      <c r="F15" s="523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22" t="str">
        <f>+VLOOKUP($A16,Master!$D$27:$G$225,4,FALSE)</f>
        <v>Akcize</v>
      </c>
      <c r="C16" s="523"/>
      <c r="D16" s="523"/>
      <c r="E16" s="523"/>
      <c r="F16" s="523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22" t="str">
        <f>+VLOOKUP($A17,Master!$D$27:$G$225,4,FALSE)</f>
        <v>Porez na međunarodnu trgovinu i transakcije</v>
      </c>
      <c r="C17" s="523"/>
      <c r="D17" s="523"/>
      <c r="E17" s="523"/>
      <c r="F17" s="523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22" t="e">
        <f>+VLOOKUP($A18,Master!$D$27:$G$225,4,FALSE)</f>
        <v>#N/A</v>
      </c>
      <c r="C18" s="523"/>
      <c r="D18" s="523"/>
      <c r="E18" s="523"/>
      <c r="F18" s="523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22" t="str">
        <f>+VLOOKUP($A19,Master!$D$27:$G$225,4,FALSE)</f>
        <v>Ostali državni porezi</v>
      </c>
      <c r="C19" s="523"/>
      <c r="D19" s="523"/>
      <c r="E19" s="523"/>
      <c r="F19" s="523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34" t="str">
        <f>+VLOOKUP($A20,Master!$D$27:$G$225,4,FALSE)</f>
        <v>Doprinosi</v>
      </c>
      <c r="C20" s="535"/>
      <c r="D20" s="535"/>
      <c r="E20" s="535"/>
      <c r="F20" s="535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22" t="str">
        <f>+VLOOKUP($A21,Master!$D$27:$G$225,4,FALSE)</f>
        <v>Doprinosi za penzijsko i invalidsko osiguranje</v>
      </c>
      <c r="C21" s="523"/>
      <c r="D21" s="523"/>
      <c r="E21" s="523"/>
      <c r="F21" s="523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22" t="str">
        <f>+VLOOKUP($A22,Master!$D$27:$G$225,4,FALSE)</f>
        <v>Doprinosi za zdravstveno osiguranje</v>
      </c>
      <c r="C22" s="523"/>
      <c r="D22" s="523"/>
      <c r="E22" s="523"/>
      <c r="F22" s="523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22" t="str">
        <f>+VLOOKUP($A23,Master!$D$27:$G$225,4,FALSE)</f>
        <v>Doprinosi za osiguranje od nezaposlenosti</v>
      </c>
      <c r="C23" s="523"/>
      <c r="D23" s="523"/>
      <c r="E23" s="523"/>
      <c r="F23" s="523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22" t="str">
        <f>+VLOOKUP($A24,Master!$D$27:$G$225,4,FALSE)</f>
        <v>Ostali doprinosi</v>
      </c>
      <c r="C24" s="523"/>
      <c r="D24" s="523"/>
      <c r="E24" s="523"/>
      <c r="F24" s="523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32" t="str">
        <f>+VLOOKUP($A25,Master!$D$27:$G$225,4,FALSE)</f>
        <v>Takse</v>
      </c>
      <c r="C25" s="533"/>
      <c r="D25" s="533"/>
      <c r="E25" s="533"/>
      <c r="F25" s="533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32" t="str">
        <f>+VLOOKUP($A26,Master!$D$27:$G$225,4,FALSE)</f>
        <v>Naknade</v>
      </c>
      <c r="C26" s="533"/>
      <c r="D26" s="533"/>
      <c r="E26" s="533"/>
      <c r="F26" s="533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32" t="str">
        <f>+VLOOKUP($A27,Master!$D$27:$G$225,4,FALSE)</f>
        <v>Ostali prihodi</v>
      </c>
      <c r="C27" s="533"/>
      <c r="D27" s="533"/>
      <c r="E27" s="533"/>
      <c r="F27" s="533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32" t="str">
        <f>+VLOOKUP($A28,Master!$D$27:$G$225,4,FALSE)</f>
        <v>Primici od otplate kredita i sredstva prenesena iz prethodne godine</v>
      </c>
      <c r="C28" s="533"/>
      <c r="D28" s="533"/>
      <c r="E28" s="533"/>
      <c r="F28" s="533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36" t="str">
        <f>+VLOOKUP($A29,Master!$D$27:$G$225,4,FALSE)</f>
        <v>Donacije i transferi</v>
      </c>
      <c r="C29" s="537"/>
      <c r="D29" s="537"/>
      <c r="E29" s="537"/>
      <c r="F29" s="537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38" t="str">
        <f>+VLOOKUP($A30,Master!$D$27:$G$225,4,FALSE)</f>
        <v>Budžetski izdaci</v>
      </c>
      <c r="C30" s="539"/>
      <c r="D30" s="539"/>
      <c r="E30" s="539"/>
      <c r="F30" s="539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40" t="str">
        <f>+VLOOKUP($A31,Master!$D$27:$G$225,4,FALSE)</f>
        <v>Tekuća budžetska potrošnja</v>
      </c>
      <c r="C31" s="541"/>
      <c r="D31" s="541"/>
      <c r="E31" s="541"/>
      <c r="F31" s="541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42" t="str">
        <f>+VLOOKUP($A32,Master!$D$27:$G$225,4,FALSE)</f>
        <v>Tekući izdaci</v>
      </c>
      <c r="C32" s="543"/>
      <c r="D32" s="543"/>
      <c r="E32" s="543"/>
      <c r="F32" s="543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22" t="str">
        <f>+VLOOKUP($A33,Master!$D$27:$G$225,4,FALSE)</f>
        <v>Bruto zarade i doprinosi na teret poslodavca</v>
      </c>
      <c r="C33" s="523"/>
      <c r="D33" s="523"/>
      <c r="E33" s="523"/>
      <c r="F33" s="523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22" t="str">
        <f>+VLOOKUP($A34,Master!$D$27:$G$225,4,FALSE)</f>
        <v>Ostala lična primanja</v>
      </c>
      <c r="C34" s="523"/>
      <c r="D34" s="523"/>
      <c r="E34" s="523"/>
      <c r="F34" s="523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22" t="str">
        <f>+VLOOKUP($A35,Master!$D$27:$G$225,4,FALSE)</f>
        <v>Rashodi za materijal</v>
      </c>
      <c r="C35" s="523"/>
      <c r="D35" s="523"/>
      <c r="E35" s="523"/>
      <c r="F35" s="523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22" t="str">
        <f>+VLOOKUP($A36,Master!$D$27:$G$225,4,FALSE)</f>
        <v>Rashodi za usluge</v>
      </c>
      <c r="C36" s="523"/>
      <c r="D36" s="523"/>
      <c r="E36" s="523"/>
      <c r="F36" s="523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22" t="str">
        <f>+VLOOKUP($A37,Master!$D$27:$G$225,4,FALSE)</f>
        <v>Rashodi za tekuće održavanje</v>
      </c>
      <c r="C37" s="523"/>
      <c r="D37" s="523"/>
      <c r="E37" s="523"/>
      <c r="F37" s="523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22" t="str">
        <f>+VLOOKUP($A38,Master!$D$27:$G$225,4,FALSE)</f>
        <v>Kamate</v>
      </c>
      <c r="C38" s="523"/>
      <c r="D38" s="523"/>
      <c r="E38" s="523"/>
      <c r="F38" s="523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22" t="str">
        <f>+VLOOKUP($A39,Master!$D$27:$G$225,4,FALSE)</f>
        <v>Renta</v>
      </c>
      <c r="C39" s="523"/>
      <c r="D39" s="523"/>
      <c r="E39" s="523"/>
      <c r="F39" s="523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22" t="str">
        <f>+VLOOKUP($A40,Master!$D$27:$G$225,4,FALSE)</f>
        <v>Subvencije</v>
      </c>
      <c r="C40" s="523"/>
      <c r="D40" s="523"/>
      <c r="E40" s="523"/>
      <c r="F40" s="523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22" t="str">
        <f>+VLOOKUP($A41,Master!$D$27:$G$225,4,FALSE)</f>
        <v>Ostali izdaci</v>
      </c>
      <c r="C41" s="523"/>
      <c r="D41" s="523"/>
      <c r="E41" s="523"/>
      <c r="F41" s="523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22" t="str">
        <f>+VLOOKUP($A42,Master!$D$27:$G$225,4,FALSE)</f>
        <v>Kapitalni izdaci u tekućem budžetu</v>
      </c>
      <c r="C42" s="523"/>
      <c r="D42" s="523"/>
      <c r="E42" s="523"/>
      <c r="F42" s="523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46" t="str">
        <f>+VLOOKUP($A43,Master!$D$27:$G$225,4,FALSE)</f>
        <v>Transferi za socijalnu zaštitu</v>
      </c>
      <c r="C43" s="547"/>
      <c r="D43" s="547"/>
      <c r="E43" s="547"/>
      <c r="F43" s="547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22" t="str">
        <f>+VLOOKUP($A44,Master!$D$27:$G$225,4,FALSE)</f>
        <v>Prava iz oblasti socijalne zaštite</v>
      </c>
      <c r="C44" s="523"/>
      <c r="D44" s="523"/>
      <c r="E44" s="523"/>
      <c r="F44" s="523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22" t="str">
        <f>+VLOOKUP($A45,Master!$D$27:$G$225,4,FALSE)</f>
        <v>Sredstva za tehnološke viškove</v>
      </c>
      <c r="C45" s="523"/>
      <c r="D45" s="523"/>
      <c r="E45" s="523"/>
      <c r="F45" s="523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22" t="str">
        <f>+VLOOKUP($A46,Master!$D$27:$G$225,4,FALSE)</f>
        <v>Prava iz oblasti penzijskog i invalidskog osiguranja</v>
      </c>
      <c r="C46" s="523"/>
      <c r="D46" s="523"/>
      <c r="E46" s="523"/>
      <c r="F46" s="523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22" t="str">
        <f>+VLOOKUP($A47,Master!$D$27:$G$225,4,FALSE)</f>
        <v>Ostala prava iz oblasti zdravstvene zaštite</v>
      </c>
      <c r="C47" s="523"/>
      <c r="D47" s="523"/>
      <c r="E47" s="523"/>
      <c r="F47" s="523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22" t="str">
        <f>+VLOOKUP($A48,Master!$D$27:$G$225,4,FALSE)</f>
        <v>Ostala prava iz zdravstvenog osiguranja</v>
      </c>
      <c r="C48" s="523"/>
      <c r="D48" s="523"/>
      <c r="E48" s="523"/>
      <c r="F48" s="523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44" t="str">
        <f>+VLOOKUP($A49,Master!$D$27:$G$225,4,FALSE)</f>
        <v xml:space="preserve">Transferi institucijama, pojedincima, nevladinom i javnom sektoru </v>
      </c>
      <c r="C49" s="545"/>
      <c r="D49" s="545"/>
      <c r="E49" s="545"/>
      <c r="F49" s="545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44" t="str">
        <f>+VLOOKUP($A50,Master!$D$27:$G$225,4,FALSE)</f>
        <v>Kapitalni budžet</v>
      </c>
      <c r="C50" s="545"/>
      <c r="D50" s="545"/>
      <c r="E50" s="545"/>
      <c r="F50" s="545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48" t="str">
        <f>+VLOOKUP($A51,Master!$D$27:$G$225,4,FALSE)</f>
        <v>Pozajmice i krediti</v>
      </c>
      <c r="C51" s="549"/>
      <c r="D51" s="549"/>
      <c r="E51" s="549"/>
      <c r="F51" s="549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48" t="str">
        <f>+VLOOKUP($A52,Master!$D$27:$G$225,4,FALSE)</f>
        <v>Rezerve</v>
      </c>
      <c r="C52" s="549"/>
      <c r="D52" s="549"/>
      <c r="E52" s="549"/>
      <c r="F52" s="549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8" t="str">
        <f>+VLOOKUP($A53,Master!$D$27:$G$225,4,FALSE)</f>
        <v>Otplata garancija</v>
      </c>
      <c r="C53" s="559"/>
      <c r="D53" s="559"/>
      <c r="E53" s="559"/>
      <c r="F53" s="559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8" t="str">
        <f>+VLOOKUP($A54,Master!$D$27:$G$225,4,FALSE)</f>
        <v>Otplata obaveza iz prethodnih godina</v>
      </c>
      <c r="C54" s="559"/>
      <c r="D54" s="559"/>
      <c r="E54" s="559"/>
      <c r="F54" s="559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8" t="str">
        <f>+VLOOKUP($A55,Master!$D$27:$G$227,4,FALSE)</f>
        <v>Neto povećanje obaveza</v>
      </c>
      <c r="C55" s="559"/>
      <c r="D55" s="559"/>
      <c r="E55" s="559"/>
      <c r="F55" s="559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54" t="str">
        <f>+VLOOKUP($A56,Master!$D$27:$G$225,4,FALSE)</f>
        <v>Suficit / deficit</v>
      </c>
      <c r="C56" s="555"/>
      <c r="D56" s="555"/>
      <c r="E56" s="555"/>
      <c r="F56" s="555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56" t="str">
        <f>+VLOOKUP($A57,Master!$D$27:$G$225,4,FALSE)</f>
        <v>Primarni bilans</v>
      </c>
      <c r="C57" s="557"/>
      <c r="D57" s="557"/>
      <c r="E57" s="557"/>
      <c r="F57" s="557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46" t="str">
        <f>+VLOOKUP($A58,Master!$D$27:$G$225,4,FALSE)</f>
        <v>Otplata dugova</v>
      </c>
      <c r="C58" s="547"/>
      <c r="D58" s="547"/>
      <c r="E58" s="547"/>
      <c r="F58" s="547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50" t="str">
        <f>+VLOOKUP($A59,Master!$D$27:$G$225,4,FALSE)</f>
        <v>Otplata hartija od vrijednosti i kredita rezidentima</v>
      </c>
      <c r="C59" s="551"/>
      <c r="D59" s="551"/>
      <c r="E59" s="551"/>
      <c r="F59" s="551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48" t="str">
        <f>+VLOOKUP($A60,Master!$D$27:$G$225,4,FALSE)</f>
        <v>Otplata hartija od vrijednosti i kredita nerezidentima</v>
      </c>
      <c r="C60" s="549"/>
      <c r="D60" s="549"/>
      <c r="E60" s="549"/>
      <c r="F60" s="549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52" t="str">
        <f>+VLOOKUP($A61,Master!$D$27:$G$225,4,FALSE)</f>
        <v>Nedostajuća sredstva</v>
      </c>
      <c r="C61" s="553"/>
      <c r="D61" s="553"/>
      <c r="E61" s="553"/>
      <c r="F61" s="553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38" t="str">
        <f>+VLOOKUP($A62,Master!$D$27:$G$225,4,FALSE)</f>
        <v>Finansiranje</v>
      </c>
      <c r="C62" s="539"/>
      <c r="D62" s="539"/>
      <c r="E62" s="539"/>
      <c r="F62" s="539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50" t="str">
        <f>+VLOOKUP($A63,Master!$D$27:$G$225,4,FALSE)</f>
        <v>Pozajmice i krediti od domaćih izvora</v>
      </c>
      <c r="C63" s="551"/>
      <c r="D63" s="551"/>
      <c r="E63" s="551"/>
      <c r="F63" s="551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48" t="str">
        <f>+VLOOKUP($A64,Master!$D$27:$G$225,4,FALSE)</f>
        <v>Pozajmice i krediti od inostranih izvora</v>
      </c>
      <c r="C64" s="549"/>
      <c r="D64" s="549"/>
      <c r="E64" s="549"/>
      <c r="F64" s="549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48" t="str">
        <f>+VLOOKUP($A65,Master!$D$27:$G$225,4,FALSE)</f>
        <v>Primici od prodaje imovine</v>
      </c>
      <c r="C65" s="549"/>
      <c r="D65" s="549"/>
      <c r="E65" s="549"/>
      <c r="F65" s="549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04" t="str">
        <f>+Master!G252</f>
        <v>Plan ostvarenja budžeta</v>
      </c>
      <c r="C102" s="485"/>
      <c r="D102" s="485"/>
      <c r="E102" s="485"/>
      <c r="F102" s="485"/>
      <c r="G102" s="493">
        <v>2013</v>
      </c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/>
      <c r="S102" s="494"/>
      <c r="T102" s="494"/>
      <c r="U102" s="497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86"/>
      <c r="C103" s="487"/>
      <c r="D103" s="487"/>
      <c r="E103" s="487"/>
      <c r="F103" s="488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93" t="str">
        <f>+Master!G246</f>
        <v>Jan - Dec</v>
      </c>
      <c r="X103" s="497">
        <f>+X8</f>
        <v>0</v>
      </c>
    </row>
    <row r="104" spans="1:24" ht="13.5" thickBot="1">
      <c r="A104" s="169"/>
      <c r="B104" s="489"/>
      <c r="C104" s="490"/>
      <c r="D104" s="490"/>
      <c r="E104" s="490"/>
      <c r="F104" s="491"/>
      <c r="G104" s="162" t="s">
        <v>423</v>
      </c>
      <c r="H104" s="162" t="s">
        <v>423</v>
      </c>
      <c r="I104" s="162" t="s">
        <v>423</v>
      </c>
      <c r="J104" s="162"/>
      <c r="K104" s="162" t="s">
        <v>423</v>
      </c>
      <c r="L104" s="162" t="s">
        <v>423</v>
      </c>
      <c r="M104" s="162" t="s">
        <v>423</v>
      </c>
      <c r="N104" s="162"/>
      <c r="O104" s="162" t="s">
        <v>423</v>
      </c>
      <c r="P104" s="162" t="s">
        <v>423</v>
      </c>
      <c r="Q104" s="162" t="s">
        <v>423</v>
      </c>
      <c r="R104" s="162"/>
      <c r="S104" s="162" t="s">
        <v>423</v>
      </c>
      <c r="T104" s="162" t="s">
        <v>423</v>
      </c>
      <c r="U104" s="162" t="s">
        <v>423</v>
      </c>
      <c r="V104" s="162"/>
      <c r="W104" s="262" t="s">
        <v>423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52" t="str">
        <f>+VLOOKUP(LEFT($A105,LEN(A105)-1)*1,Master!$D$27:$G$225,4,FALSE)</f>
        <v>Prihodi budžeta</v>
      </c>
      <c r="C105" s="453"/>
      <c r="D105" s="453"/>
      <c r="E105" s="453"/>
      <c r="F105" s="453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54" t="str">
        <f>+VLOOKUP(LEFT($A106,LEN(A106)-1)*1,Master!$D$27:$G$225,4,FALSE)</f>
        <v>Porezi</v>
      </c>
      <c r="C106" s="455"/>
      <c r="D106" s="455"/>
      <c r="E106" s="455"/>
      <c r="F106" s="455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56" t="str">
        <f>+VLOOKUP(LEFT($A107,LEN(A107)-1)*1,Master!$D$27:$G$225,4,FALSE)</f>
        <v>Porez na dohodak fizičkih lica</v>
      </c>
      <c r="C107" s="457"/>
      <c r="D107" s="457"/>
      <c r="E107" s="457"/>
      <c r="F107" s="457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56" t="str">
        <f>+VLOOKUP(LEFT($A108,LEN(A108)-1)*1,Master!$D$27:$G$225,4,FALSE)</f>
        <v>Porez na dobit pravnih lica</v>
      </c>
      <c r="C108" s="457"/>
      <c r="D108" s="457"/>
      <c r="E108" s="457"/>
      <c r="F108" s="457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56" t="str">
        <f>+VLOOKUP(LEFT($A109,LEN(A109)-1)*1,Master!$D$27:$G$225,4,FALSE)</f>
        <v>Porez na promet nepokretnosti</v>
      </c>
      <c r="C109" s="457"/>
      <c r="D109" s="457"/>
      <c r="E109" s="457"/>
      <c r="F109" s="457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56" t="str">
        <f>+VLOOKUP(LEFT($A110,LEN(A110)-1)*1,Master!$D$27:$G$225,4,FALSE)</f>
        <v>Porez na dodatu vrijednost</v>
      </c>
      <c r="C110" s="457"/>
      <c r="D110" s="457"/>
      <c r="E110" s="457"/>
      <c r="F110" s="457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56" t="str">
        <f>+VLOOKUP(LEFT($A111,LEN(A111)-1)*1,Master!$D$27:$G$225,4,FALSE)</f>
        <v>Akcize</v>
      </c>
      <c r="C111" s="457"/>
      <c r="D111" s="457"/>
      <c r="E111" s="457"/>
      <c r="F111" s="457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56" t="str">
        <f>+VLOOKUP(LEFT($A112,LEN(A112)-1)*1,Master!$D$27:$G$225,4,FALSE)</f>
        <v>Porez na međunarodnu trgovinu i transakcije</v>
      </c>
      <c r="C112" s="457"/>
      <c r="D112" s="457"/>
      <c r="E112" s="457"/>
      <c r="F112" s="457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56" t="e">
        <f>+VLOOKUP(LEFT($A113,LEN(A113)-1)*1,Master!$D$27:$G$225,4,FALSE)</f>
        <v>#N/A</v>
      </c>
      <c r="C113" s="457"/>
      <c r="D113" s="457"/>
      <c r="E113" s="457"/>
      <c r="F113" s="457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56" t="str">
        <f>+VLOOKUP(LEFT($A114,LEN(A114)-1)*1,Master!$D$27:$G$225,4,FALSE)</f>
        <v>Ostali državni porezi</v>
      </c>
      <c r="C114" s="457"/>
      <c r="D114" s="457"/>
      <c r="E114" s="457"/>
      <c r="F114" s="457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60" t="str">
        <f>+VLOOKUP(LEFT($A115,LEN(A115)-1)*1,Master!$D$27:$G$225,4,FALSE)</f>
        <v>Doprinosi</v>
      </c>
      <c r="C115" s="461"/>
      <c r="D115" s="461"/>
      <c r="E115" s="461"/>
      <c r="F115" s="461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56" t="str">
        <f>+VLOOKUP(LEFT($A116,LEN(A116)-1)*1,Master!$D$27:$G$225,4,FALSE)</f>
        <v>Doprinosi za penzijsko i invalidsko osiguranje</v>
      </c>
      <c r="C116" s="457"/>
      <c r="D116" s="457"/>
      <c r="E116" s="457"/>
      <c r="F116" s="457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56" t="str">
        <f>+VLOOKUP(LEFT($A117,LEN(A117)-1)*1,Master!$D$27:$G$225,4,FALSE)</f>
        <v>Doprinosi za zdravstveno osiguranje</v>
      </c>
      <c r="C117" s="457"/>
      <c r="D117" s="457"/>
      <c r="E117" s="457"/>
      <c r="F117" s="457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56" t="str">
        <f>+VLOOKUP(LEFT($A118,LEN(A118)-1)*1,Master!$D$27:$G$225,4,FALSE)</f>
        <v>Doprinosi za osiguranje od nezaposlenosti</v>
      </c>
      <c r="C118" s="457"/>
      <c r="D118" s="457"/>
      <c r="E118" s="457"/>
      <c r="F118" s="457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56" t="str">
        <f>+VLOOKUP(LEFT($A119,LEN(A119)-1)*1,Master!$D$27:$G$225,4,FALSE)</f>
        <v>Ostali doprinosi</v>
      </c>
      <c r="C119" s="457"/>
      <c r="D119" s="457"/>
      <c r="E119" s="457"/>
      <c r="F119" s="457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58" t="str">
        <f>+VLOOKUP(LEFT($A120,LEN(A120)-1)*1,Master!$D$27:$G$225,4,FALSE)</f>
        <v>Takse</v>
      </c>
      <c r="C120" s="459"/>
      <c r="D120" s="459"/>
      <c r="E120" s="459"/>
      <c r="F120" s="459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58" t="str">
        <f>+VLOOKUP(LEFT($A121,LEN(A121)-1)*1,Master!$D$27:$G$225,4,FALSE)</f>
        <v>Naknade</v>
      </c>
      <c r="C121" s="459"/>
      <c r="D121" s="459"/>
      <c r="E121" s="459"/>
      <c r="F121" s="459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58" t="str">
        <f>+VLOOKUP(LEFT($A122,LEN(A122)-1)*1,Master!$D$27:$G$225,4,FALSE)</f>
        <v>Ostali prihodi</v>
      </c>
      <c r="C122" s="459"/>
      <c r="D122" s="459"/>
      <c r="E122" s="459"/>
      <c r="F122" s="459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58" t="str">
        <f>+VLOOKUP(LEFT($A123,LEN(A123)-1)*1,Master!$D$27:$G$225,4,FALSE)</f>
        <v>Primici od otplate kredita i sredstva prenesena iz prethodne godine</v>
      </c>
      <c r="C123" s="459"/>
      <c r="D123" s="459"/>
      <c r="E123" s="459"/>
      <c r="F123" s="459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62" t="str">
        <f>+VLOOKUP(LEFT($A124,LEN(A124)-1)*1,Master!$D$27:$G$225,4,FALSE)</f>
        <v>Donacije i transferi</v>
      </c>
      <c r="C124" s="463"/>
      <c r="D124" s="463"/>
      <c r="E124" s="463"/>
      <c r="F124" s="463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64" t="str">
        <f>+VLOOKUP(LEFT($A125,LEN(A125)-1)*1,Master!$D$27:$G$225,4,FALSE)</f>
        <v>Budžetski izdaci</v>
      </c>
      <c r="C125" s="465"/>
      <c r="D125" s="465"/>
      <c r="E125" s="465"/>
      <c r="F125" s="465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66" t="str">
        <f>+VLOOKUP(LEFT($A126,LEN(A126)-1)*1,Master!$D$27:$G$225,4,FALSE)</f>
        <v>Tekuća budžetska potrošnja</v>
      </c>
      <c r="C126" s="467"/>
      <c r="D126" s="467"/>
      <c r="E126" s="467"/>
      <c r="F126" s="467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68" t="str">
        <f>+VLOOKUP(LEFT($A127,LEN(A127)-1)*1,Master!$D$27:$G$225,4,FALSE)</f>
        <v>Tekući izdaci</v>
      </c>
      <c r="C127" s="469"/>
      <c r="D127" s="469"/>
      <c r="E127" s="469"/>
      <c r="F127" s="469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56" t="str">
        <f>+VLOOKUP(LEFT($A128,LEN(A128)-1)*1,Master!$D$27:$G$225,4,FALSE)</f>
        <v>Bruto zarade i doprinosi na teret poslodavca</v>
      </c>
      <c r="C128" s="457"/>
      <c r="D128" s="457"/>
      <c r="E128" s="457"/>
      <c r="F128" s="457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56" t="str">
        <f>+VLOOKUP(LEFT($A129,LEN(A129)-1)*1,Master!$D$27:$G$225,4,FALSE)</f>
        <v>Ostala lična primanja</v>
      </c>
      <c r="C129" s="457"/>
      <c r="D129" s="457"/>
      <c r="E129" s="457"/>
      <c r="F129" s="457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56" t="str">
        <f>+VLOOKUP(LEFT($A130,LEN(A130)-1)*1,Master!$D$27:$G$225,4,FALSE)</f>
        <v>Rashodi za materijal</v>
      </c>
      <c r="C130" s="457"/>
      <c r="D130" s="457"/>
      <c r="E130" s="457"/>
      <c r="F130" s="457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56" t="str">
        <f>+VLOOKUP(LEFT($A131,LEN(A131)-1)*1,Master!$D$27:$G$225,4,FALSE)</f>
        <v>Rashodi za usluge</v>
      </c>
      <c r="C131" s="457"/>
      <c r="D131" s="457"/>
      <c r="E131" s="457"/>
      <c r="F131" s="457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56" t="str">
        <f>+VLOOKUP(LEFT($A132,LEN(A132)-1)*1,Master!$D$27:$G$225,4,FALSE)</f>
        <v>Rashodi za tekuće održavanje</v>
      </c>
      <c r="C132" s="457"/>
      <c r="D132" s="457"/>
      <c r="E132" s="457"/>
      <c r="F132" s="457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56" t="str">
        <f>+VLOOKUP(LEFT($A133,LEN(A133)-1)*1,Master!$D$27:$G$225,4,FALSE)</f>
        <v>Kamate</v>
      </c>
      <c r="C133" s="457"/>
      <c r="D133" s="457"/>
      <c r="E133" s="457"/>
      <c r="F133" s="457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56" t="str">
        <f>+VLOOKUP(LEFT($A134,LEN(A134)-1)*1,Master!$D$27:$G$225,4,FALSE)</f>
        <v>Renta</v>
      </c>
      <c r="C134" s="457"/>
      <c r="D134" s="457"/>
      <c r="E134" s="457"/>
      <c r="F134" s="457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56" t="str">
        <f>+VLOOKUP(LEFT($A135,LEN(A135)-1)*1,Master!$D$27:$G$225,4,FALSE)</f>
        <v>Subvencije</v>
      </c>
      <c r="C135" s="457"/>
      <c r="D135" s="457"/>
      <c r="E135" s="457"/>
      <c r="F135" s="457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56" t="str">
        <f>+VLOOKUP(LEFT($A136,LEN(A136)-1)*1,Master!$D$27:$G$225,4,FALSE)</f>
        <v>Ostali izdaci</v>
      </c>
      <c r="C136" s="457"/>
      <c r="D136" s="457"/>
      <c r="E136" s="457"/>
      <c r="F136" s="457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56" t="str">
        <f>+VLOOKUP(LEFT($A137,LEN(A137)-1)*1,Master!$D$27:$G$225,4,FALSE)</f>
        <v>Kapitalni izdaci u tekućem budžetu</v>
      </c>
      <c r="C137" s="457"/>
      <c r="D137" s="457"/>
      <c r="E137" s="457"/>
      <c r="F137" s="457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72" t="str">
        <f>+VLOOKUP(LEFT($A138,LEN(A138)-1)*1,Master!$D$27:$G$225,4,FALSE)</f>
        <v>Transferi za socijalnu zaštitu</v>
      </c>
      <c r="C138" s="473"/>
      <c r="D138" s="473"/>
      <c r="E138" s="473"/>
      <c r="F138" s="473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56" t="str">
        <f>+VLOOKUP(LEFT($A139,LEN(A139)-1)*1,Master!$D$27:$G$225,4,FALSE)</f>
        <v>Prava iz oblasti socijalne zaštite</v>
      </c>
      <c r="C139" s="457"/>
      <c r="D139" s="457"/>
      <c r="E139" s="457"/>
      <c r="F139" s="457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56" t="str">
        <f>+VLOOKUP(LEFT($A140,LEN(A140)-1)*1,Master!$D$27:$G$225,4,FALSE)</f>
        <v>Sredstva za tehnološke viškove</v>
      </c>
      <c r="C140" s="457"/>
      <c r="D140" s="457"/>
      <c r="E140" s="457"/>
      <c r="F140" s="457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56" t="str">
        <f>+VLOOKUP(LEFT($A141,LEN(A141)-1)*1,Master!$D$27:$G$225,4,FALSE)</f>
        <v>Prava iz oblasti penzijskog i invalidskog osiguranja</v>
      </c>
      <c r="C141" s="457"/>
      <c r="D141" s="457"/>
      <c r="E141" s="457"/>
      <c r="F141" s="457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56" t="str">
        <f>+VLOOKUP(LEFT($A142,LEN(A142)-1)*1,Master!$D$27:$G$225,4,FALSE)</f>
        <v>Ostala prava iz oblasti zdravstvene zaštite</v>
      </c>
      <c r="C142" s="457"/>
      <c r="D142" s="457"/>
      <c r="E142" s="457"/>
      <c r="F142" s="457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56" t="str">
        <f>+VLOOKUP(LEFT($A143,LEN(A143)-1)*1,Master!$D$27:$G$225,4,FALSE)</f>
        <v>Ostala prava iz zdravstvenog osiguranja</v>
      </c>
      <c r="C143" s="457"/>
      <c r="D143" s="457"/>
      <c r="E143" s="457"/>
      <c r="F143" s="457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70" t="str">
        <f>+VLOOKUP(LEFT($A144,LEN(A144)-1)*1,Master!$D$27:$G$225,4,FALSE)</f>
        <v xml:space="preserve">Transferi institucijama, pojedincima, nevladinom i javnom sektoru </v>
      </c>
      <c r="C144" s="471"/>
      <c r="D144" s="471"/>
      <c r="E144" s="471"/>
      <c r="F144" s="471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70" t="str">
        <f>+VLOOKUP(LEFT($A145,LEN(A145)-1)*1,Master!$D$27:$G$225,4,FALSE)</f>
        <v>Kapitalni budžet</v>
      </c>
      <c r="C145" s="471"/>
      <c r="D145" s="471"/>
      <c r="E145" s="471"/>
      <c r="F145" s="471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74" t="str">
        <f>+VLOOKUP(LEFT($A146,LEN(A146)-1)*1,Master!$D$27:$G$225,4,FALSE)</f>
        <v>Pozajmice i krediti</v>
      </c>
      <c r="C146" s="475"/>
      <c r="D146" s="475"/>
      <c r="E146" s="475"/>
      <c r="F146" s="475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74" t="str">
        <f>+VLOOKUP(LEFT($A147,LEN(A147)-1)*1,Master!$D$27:$G$225,4,FALSE)</f>
        <v>Rezerve</v>
      </c>
      <c r="C147" s="475"/>
      <c r="D147" s="475"/>
      <c r="E147" s="475"/>
      <c r="F147" s="475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6" t="str">
        <f>+VLOOKUP(LEFT($A148,LEN(A148)-1)*1,Master!$D$27:$G$225,4,FALSE)</f>
        <v>Otplata garancija</v>
      </c>
      <c r="C148" s="477"/>
      <c r="D148" s="477"/>
      <c r="E148" s="477"/>
      <c r="F148" s="477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8" t="str">
        <f>+VLOOKUP(LEFT($A149,LEN(A149)-1)*1,Master!$D$27:$G$225,4,FALSE)</f>
        <v>Suficit / deficit</v>
      </c>
      <c r="C149" s="479"/>
      <c r="D149" s="479"/>
      <c r="E149" s="479"/>
      <c r="F149" s="479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80" t="str">
        <f>+VLOOKUP(LEFT($A150,LEN(A150)-1)*1,Master!$D$27:$G$225,4,FALSE)</f>
        <v>Primarni bilans</v>
      </c>
      <c r="C150" s="481"/>
      <c r="D150" s="481"/>
      <c r="E150" s="481"/>
      <c r="F150" s="481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72" t="str">
        <f>+VLOOKUP(LEFT($A151,LEN(A151)-1)*1,Master!$D$27:$G$225,4,FALSE)</f>
        <v>Otplata dugova</v>
      </c>
      <c r="C151" s="473"/>
      <c r="D151" s="473"/>
      <c r="E151" s="473"/>
      <c r="F151" s="473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98" t="str">
        <f>+VLOOKUP(LEFT($A152,LEN(A152)-1)*1,Master!$D$27:$G$225,4,FALSE)</f>
        <v>Otplata hartija od vrijednosti i kredita rezidentima</v>
      </c>
      <c r="C152" s="499"/>
      <c r="D152" s="499"/>
      <c r="E152" s="499"/>
      <c r="F152" s="499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74" t="str">
        <f>+VLOOKUP(LEFT($A153,LEN(A153)-1)*1,Master!$D$27:$G$225,4,FALSE)</f>
        <v>Otplata hartija od vrijednosti i kredita nerezidentima</v>
      </c>
      <c r="C153" s="475"/>
      <c r="D153" s="475"/>
      <c r="E153" s="475"/>
      <c r="F153" s="475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6" t="str">
        <f>+VLOOKUP(LEFT($A154,LEN(A154)-1)*1,Master!$D$27:$G$225,4,FALSE)</f>
        <v>Otplata obaveza iz prethodnih godina</v>
      </c>
      <c r="C154" s="477"/>
      <c r="D154" s="477"/>
      <c r="E154" s="477"/>
      <c r="F154" s="477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500" t="str">
        <f>+VLOOKUP(LEFT($A155,LEN(A155)-1)*1,Master!$D$27:$G$225,4,FALSE)</f>
        <v>Nedostajuća sredstva</v>
      </c>
      <c r="C155" s="501"/>
      <c r="D155" s="501"/>
      <c r="E155" s="501"/>
      <c r="F155" s="501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64" t="str">
        <f>+VLOOKUP(LEFT($A156,LEN(A156)-1)*1,Master!$D$27:$G$225,4,FALSE)</f>
        <v>Finansiranje</v>
      </c>
      <c r="C156" s="465"/>
      <c r="D156" s="465"/>
      <c r="E156" s="465"/>
      <c r="F156" s="465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98" t="str">
        <f>+VLOOKUP(LEFT($A157,LEN(A157)-1)*1,Master!$D$27:$G$225,4,FALSE)</f>
        <v>Pozajmice i krediti od domaćih izvora</v>
      </c>
      <c r="C157" s="499"/>
      <c r="D157" s="499"/>
      <c r="E157" s="499"/>
      <c r="F157" s="499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74" t="str">
        <f>+VLOOKUP(LEFT($A158,LEN(A158)-1)*1,Master!$D$27:$G$225,4,FALSE)</f>
        <v>Pozajmice i krediti od inostranih izvora</v>
      </c>
      <c r="C158" s="475"/>
      <c r="D158" s="475"/>
      <c r="E158" s="475"/>
      <c r="F158" s="475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74" t="str">
        <f>+VLOOKUP(LEFT($A159,LEN(A159)-1)*1,Master!$D$27:$G$225,4,FALSE)</f>
        <v>Primici od prodaje imovine</v>
      </c>
      <c r="C159" s="475"/>
      <c r="D159" s="475"/>
      <c r="E159" s="475"/>
      <c r="F159" s="475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513</v>
      </c>
      <c r="H6" s="69" t="s">
        <v>514</v>
      </c>
      <c r="I6" s="69" t="s">
        <v>515</v>
      </c>
      <c r="J6" s="69" t="s">
        <v>516</v>
      </c>
      <c r="K6" s="69" t="s">
        <v>517</v>
      </c>
      <c r="L6" s="69" t="s">
        <v>518</v>
      </c>
      <c r="M6" s="69" t="s">
        <v>519</v>
      </c>
      <c r="N6" s="69" t="s">
        <v>520</v>
      </c>
      <c r="O6" s="69" t="s">
        <v>521</v>
      </c>
      <c r="P6" s="69" t="s">
        <v>522</v>
      </c>
      <c r="Q6" s="69" t="s">
        <v>523</v>
      </c>
      <c r="R6" s="69" t="s">
        <v>524</v>
      </c>
    </row>
    <row r="7" spans="1:20" ht="15" customHeight="1" thickBot="1">
      <c r="B7" s="524" t="str">
        <f>+Master!G251</f>
        <v>Ostvarenje budžeta</v>
      </c>
      <c r="C7" s="525"/>
      <c r="D7" s="525"/>
      <c r="E7" s="525"/>
      <c r="F7" s="525"/>
      <c r="G7" s="515">
        <v>2013</v>
      </c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7"/>
      <c r="S7" s="115" t="str">
        <f>+Master!G248</f>
        <v>BDP</v>
      </c>
      <c r="T7" s="116">
        <v>3393200615</v>
      </c>
    </row>
    <row r="8" spans="1:20" ht="16.5" customHeight="1">
      <c r="B8" s="526"/>
      <c r="C8" s="527"/>
      <c r="D8" s="527"/>
      <c r="E8" s="527"/>
      <c r="F8" s="528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15" t="str">
        <f>+Master!G245</f>
        <v>Jan - Jun</v>
      </c>
      <c r="T8" s="517"/>
    </row>
    <row r="9" spans="1:20" ht="13.5" thickBot="1">
      <c r="B9" s="529"/>
      <c r="C9" s="530"/>
      <c r="D9" s="530"/>
      <c r="E9" s="530"/>
      <c r="F9" s="531"/>
      <c r="G9" s="68" t="s">
        <v>423</v>
      </c>
      <c r="H9" s="68" t="s">
        <v>423</v>
      </c>
      <c r="I9" s="68" t="s">
        <v>423</v>
      </c>
      <c r="J9" s="68" t="s">
        <v>423</v>
      </c>
      <c r="K9" s="68" t="s">
        <v>423</v>
      </c>
      <c r="L9" s="68" t="s">
        <v>423</v>
      </c>
      <c r="M9" s="68" t="s">
        <v>423</v>
      </c>
      <c r="N9" s="68" t="s">
        <v>423</v>
      </c>
      <c r="O9" s="68" t="s">
        <v>423</v>
      </c>
      <c r="P9" s="68" t="s">
        <v>423</v>
      </c>
      <c r="Q9" s="68" t="s">
        <v>423</v>
      </c>
      <c r="R9" s="68" t="s">
        <v>423</v>
      </c>
      <c r="S9" s="66" t="s">
        <v>423</v>
      </c>
      <c r="T9" s="67" t="str">
        <f>+Master!G249</f>
        <v>% BDP</v>
      </c>
    </row>
    <row r="10" spans="1:20" ht="13.5" thickBot="1">
      <c r="A10" s="72">
        <v>7</v>
      </c>
      <c r="B10" s="518" t="str">
        <f>+VLOOKUP($A10,Master!$D$27:$G$225,4,FALSE)</f>
        <v>Prihodi budžeta</v>
      </c>
      <c r="C10" s="519"/>
      <c r="D10" s="519"/>
      <c r="E10" s="519"/>
      <c r="F10" s="519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20" t="str">
        <f>+VLOOKUP($A11,Master!$D$27:$G$225,4,FALSE)</f>
        <v>Porezi</v>
      </c>
      <c r="C11" s="521"/>
      <c r="D11" s="521"/>
      <c r="E11" s="521"/>
      <c r="F11" s="521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22" t="str">
        <f>+VLOOKUP($A12,Master!$D$27:$G$225,4,FALSE)</f>
        <v>Porez na dohodak fizičkih lica</v>
      </c>
      <c r="C12" s="523"/>
      <c r="D12" s="523"/>
      <c r="E12" s="523"/>
      <c r="F12" s="523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22" t="str">
        <f>+VLOOKUP($A13,Master!$D$27:$G$225,4,FALSE)</f>
        <v>Porez na dobit pravnih lica</v>
      </c>
      <c r="C13" s="523"/>
      <c r="D13" s="523"/>
      <c r="E13" s="523"/>
      <c r="F13" s="523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22" t="str">
        <f>+VLOOKUP($A14,Master!$D$27:$G$225,4,FALSE)</f>
        <v>Porez na promet nepokretnosti</v>
      </c>
      <c r="C14" s="523"/>
      <c r="D14" s="523"/>
      <c r="E14" s="523"/>
      <c r="F14" s="523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22" t="str">
        <f>+VLOOKUP($A15,Master!$D$27:$G$225,4,FALSE)</f>
        <v>Porez na dodatu vrijednost</v>
      </c>
      <c r="C15" s="523"/>
      <c r="D15" s="523"/>
      <c r="E15" s="523"/>
      <c r="F15" s="523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22" t="str">
        <f>+VLOOKUP($A16,Master!$D$27:$G$225,4,FALSE)</f>
        <v>Akcize</v>
      </c>
      <c r="C16" s="523"/>
      <c r="D16" s="523"/>
      <c r="E16" s="523"/>
      <c r="F16" s="523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22" t="str">
        <f>+VLOOKUP($A17,Master!$D$27:$G$225,4,FALSE)</f>
        <v>Porez na međunarodnu trgovinu i transakcije</v>
      </c>
      <c r="C17" s="523"/>
      <c r="D17" s="523"/>
      <c r="E17" s="523"/>
      <c r="F17" s="523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22" t="e">
        <f>+VLOOKUP($A18,Master!$D$27:$G$225,4,FALSE)</f>
        <v>#N/A</v>
      </c>
      <c r="C18" s="523"/>
      <c r="D18" s="523"/>
      <c r="E18" s="523"/>
      <c r="F18" s="523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22" t="str">
        <f>+VLOOKUP($A19,Master!$D$27:$G$225,4,FALSE)</f>
        <v>Ostali državni porezi</v>
      </c>
      <c r="C19" s="523"/>
      <c r="D19" s="523"/>
      <c r="E19" s="523"/>
      <c r="F19" s="523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34" t="str">
        <f>+VLOOKUP($A20,Master!$D$27:$G$225,4,FALSE)</f>
        <v>Doprinosi</v>
      </c>
      <c r="C20" s="535"/>
      <c r="D20" s="535"/>
      <c r="E20" s="535"/>
      <c r="F20" s="535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22" t="str">
        <f>+VLOOKUP($A21,Master!$D$27:$G$225,4,FALSE)</f>
        <v>Doprinosi za penzijsko i invalidsko osiguranje</v>
      </c>
      <c r="C21" s="523"/>
      <c r="D21" s="523"/>
      <c r="E21" s="523"/>
      <c r="F21" s="523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22" t="str">
        <f>+VLOOKUP($A22,Master!$D$27:$G$225,4,FALSE)</f>
        <v>Doprinosi za zdravstveno osiguranje</v>
      </c>
      <c r="C22" s="523"/>
      <c r="D22" s="523"/>
      <c r="E22" s="523"/>
      <c r="F22" s="523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22" t="str">
        <f>+VLOOKUP($A23,Master!$D$27:$G$225,4,FALSE)</f>
        <v>Doprinosi za osiguranje od nezaposlenosti</v>
      </c>
      <c r="C23" s="523"/>
      <c r="D23" s="523"/>
      <c r="E23" s="523"/>
      <c r="F23" s="523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22" t="str">
        <f>+VLOOKUP($A24,Master!$D$27:$G$225,4,FALSE)</f>
        <v>Ostali doprinosi</v>
      </c>
      <c r="C24" s="523"/>
      <c r="D24" s="523"/>
      <c r="E24" s="523"/>
      <c r="F24" s="523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32" t="str">
        <f>+VLOOKUP($A25,Master!$D$27:$G$225,4,FALSE)</f>
        <v>Takse</v>
      </c>
      <c r="C25" s="533"/>
      <c r="D25" s="533"/>
      <c r="E25" s="533"/>
      <c r="F25" s="533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32" t="str">
        <f>+VLOOKUP($A26,Master!$D$27:$G$225,4,FALSE)</f>
        <v>Naknade</v>
      </c>
      <c r="C26" s="533"/>
      <c r="D26" s="533"/>
      <c r="E26" s="533"/>
      <c r="F26" s="533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32" t="str">
        <f>+VLOOKUP($A27,Master!$D$27:$G$225,4,FALSE)</f>
        <v>Ostali prihodi</v>
      </c>
      <c r="C27" s="533"/>
      <c r="D27" s="533"/>
      <c r="E27" s="533"/>
      <c r="F27" s="533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32" t="str">
        <f>+VLOOKUP($A28,Master!$D$27:$G$225,4,FALSE)</f>
        <v>Primici od otplate kredita i sredstva prenesena iz prethodne godine</v>
      </c>
      <c r="C28" s="533"/>
      <c r="D28" s="533"/>
      <c r="E28" s="533"/>
      <c r="F28" s="533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36" t="str">
        <f>+VLOOKUP($A29,Master!$D$27:$G$225,4,FALSE)</f>
        <v>Donacije i transferi</v>
      </c>
      <c r="C29" s="537"/>
      <c r="D29" s="537"/>
      <c r="E29" s="537"/>
      <c r="F29" s="537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38" t="str">
        <f>+VLOOKUP($A30,Master!$D$27:$G$225,4,FALSE)</f>
        <v>Budžetski izdaci</v>
      </c>
      <c r="C30" s="539"/>
      <c r="D30" s="539"/>
      <c r="E30" s="539"/>
      <c r="F30" s="539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40" t="str">
        <f>+VLOOKUP($A31,Master!$D$27:$G$225,4,FALSE)</f>
        <v>Tekuća budžetska potrošnja</v>
      </c>
      <c r="C31" s="541"/>
      <c r="D31" s="541"/>
      <c r="E31" s="541"/>
      <c r="F31" s="541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42" t="str">
        <f>+VLOOKUP($A32,Master!$D$27:$G$225,4,FALSE)</f>
        <v>Tekući izdaci</v>
      </c>
      <c r="C32" s="543"/>
      <c r="D32" s="543"/>
      <c r="E32" s="543"/>
      <c r="F32" s="543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22" t="str">
        <f>+VLOOKUP($A33,Master!$D$27:$G$225,4,FALSE)</f>
        <v>Bruto zarade i doprinosi na teret poslodavca</v>
      </c>
      <c r="C33" s="523"/>
      <c r="D33" s="523"/>
      <c r="E33" s="523"/>
      <c r="F33" s="523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22" t="str">
        <f>+VLOOKUP($A34,Master!$D$27:$G$225,4,FALSE)</f>
        <v>Ostala lična primanja</v>
      </c>
      <c r="C34" s="523"/>
      <c r="D34" s="523"/>
      <c r="E34" s="523"/>
      <c r="F34" s="523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22" t="str">
        <f>+VLOOKUP($A35,Master!$D$27:$G$225,4,FALSE)</f>
        <v>Rashodi za materijal</v>
      </c>
      <c r="C35" s="523"/>
      <c r="D35" s="523"/>
      <c r="E35" s="523"/>
      <c r="F35" s="523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22" t="str">
        <f>+VLOOKUP($A36,Master!$D$27:$G$225,4,FALSE)</f>
        <v>Rashodi za usluge</v>
      </c>
      <c r="C36" s="523"/>
      <c r="D36" s="523"/>
      <c r="E36" s="523"/>
      <c r="F36" s="523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22" t="str">
        <f>+VLOOKUP($A37,Master!$D$27:$G$225,4,FALSE)</f>
        <v>Rashodi za tekuće održavanje</v>
      </c>
      <c r="C37" s="523"/>
      <c r="D37" s="523"/>
      <c r="E37" s="523"/>
      <c r="F37" s="523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22" t="str">
        <f>+VLOOKUP($A38,Master!$D$27:$G$225,4,FALSE)</f>
        <v>Kamate</v>
      </c>
      <c r="C38" s="523"/>
      <c r="D38" s="523"/>
      <c r="E38" s="523"/>
      <c r="F38" s="523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22" t="str">
        <f>+VLOOKUP($A39,Master!$D$27:$G$225,4,FALSE)</f>
        <v>Renta</v>
      </c>
      <c r="C39" s="523"/>
      <c r="D39" s="523"/>
      <c r="E39" s="523"/>
      <c r="F39" s="523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22" t="str">
        <f>+VLOOKUP($A40,Master!$D$27:$G$225,4,FALSE)</f>
        <v>Subvencije</v>
      </c>
      <c r="C40" s="523"/>
      <c r="D40" s="523"/>
      <c r="E40" s="523"/>
      <c r="F40" s="523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22" t="str">
        <f>+VLOOKUP($A41,Master!$D$27:$G$225,4,FALSE)</f>
        <v>Ostali izdaci</v>
      </c>
      <c r="C41" s="523"/>
      <c r="D41" s="523"/>
      <c r="E41" s="523"/>
      <c r="F41" s="523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22" t="str">
        <f>+VLOOKUP($A42,Master!$D$27:$G$225,4,FALSE)</f>
        <v>Kapitalni izdaci u tekućem budžetu</v>
      </c>
      <c r="C42" s="523"/>
      <c r="D42" s="523"/>
      <c r="E42" s="523"/>
      <c r="F42" s="523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46" t="str">
        <f>+VLOOKUP($A43,Master!$D$27:$G$225,4,FALSE)</f>
        <v>Transferi za socijalnu zaštitu</v>
      </c>
      <c r="C43" s="547"/>
      <c r="D43" s="547"/>
      <c r="E43" s="547"/>
      <c r="F43" s="547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22" t="str">
        <f>+VLOOKUP($A44,Master!$D$27:$G$225,4,FALSE)</f>
        <v>Prava iz oblasti socijalne zaštite</v>
      </c>
      <c r="C44" s="523"/>
      <c r="D44" s="523"/>
      <c r="E44" s="523"/>
      <c r="F44" s="523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22" t="str">
        <f>+VLOOKUP($A45,Master!$D$27:$G$225,4,FALSE)</f>
        <v>Sredstva za tehnološke viškove</v>
      </c>
      <c r="C45" s="523"/>
      <c r="D45" s="523"/>
      <c r="E45" s="523"/>
      <c r="F45" s="523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22" t="str">
        <f>+VLOOKUP($A46,Master!$D$27:$G$225,4,FALSE)</f>
        <v>Prava iz oblasti penzijskog i invalidskog osiguranja</v>
      </c>
      <c r="C46" s="523"/>
      <c r="D46" s="523"/>
      <c r="E46" s="523"/>
      <c r="F46" s="523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22" t="str">
        <f>+VLOOKUP($A47,Master!$D$27:$G$225,4,FALSE)</f>
        <v>Ostala prava iz oblasti zdravstvene zaštite</v>
      </c>
      <c r="C47" s="523"/>
      <c r="D47" s="523"/>
      <c r="E47" s="523"/>
      <c r="F47" s="523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22" t="str">
        <f>+VLOOKUP($A48,Master!$D$27:$G$225,4,FALSE)</f>
        <v>Ostala prava iz zdravstvenog osiguranja</v>
      </c>
      <c r="C48" s="523"/>
      <c r="D48" s="523"/>
      <c r="E48" s="523"/>
      <c r="F48" s="523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44" t="str">
        <f>+VLOOKUP($A49,Master!$D$27:$G$225,4,FALSE)</f>
        <v xml:space="preserve">Transferi institucijama, pojedincima, nevladinom i javnom sektoru </v>
      </c>
      <c r="C49" s="545"/>
      <c r="D49" s="545"/>
      <c r="E49" s="545"/>
      <c r="F49" s="545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44" t="str">
        <f>+VLOOKUP($A50,Master!$D$27:$G$225,4,FALSE)</f>
        <v>Kapitalni budžet</v>
      </c>
      <c r="C50" s="545"/>
      <c r="D50" s="545"/>
      <c r="E50" s="545"/>
      <c r="F50" s="545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48" t="str">
        <f>+VLOOKUP($A51,Master!$D$27:$G$225,4,FALSE)</f>
        <v>Pozajmice i krediti</v>
      </c>
      <c r="C51" s="549"/>
      <c r="D51" s="549"/>
      <c r="E51" s="549"/>
      <c r="F51" s="549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48" t="str">
        <f>+VLOOKUP($A52,Master!$D$27:$G$225,4,FALSE)</f>
        <v>Rezerve</v>
      </c>
      <c r="C52" s="549"/>
      <c r="D52" s="549"/>
      <c r="E52" s="549"/>
      <c r="F52" s="549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8" t="str">
        <f>+VLOOKUP($A53,Master!$D$27:$G$225,4,FALSE)</f>
        <v>Otplata garancija</v>
      </c>
      <c r="C53" s="559"/>
      <c r="D53" s="559"/>
      <c r="E53" s="559"/>
      <c r="F53" s="559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54" t="str">
        <f>+VLOOKUP($A54,Master!$D$27:$G$225,4,FALSE)</f>
        <v>Suficit / deficit</v>
      </c>
      <c r="C54" s="555"/>
      <c r="D54" s="555"/>
      <c r="E54" s="555"/>
      <c r="F54" s="555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56" t="str">
        <f>+VLOOKUP($A55,Master!$D$27:$G$225,4,FALSE)</f>
        <v>Primarni bilans</v>
      </c>
      <c r="C55" s="557"/>
      <c r="D55" s="557"/>
      <c r="E55" s="557"/>
      <c r="F55" s="557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46" t="str">
        <f>+VLOOKUP($A56,Master!$D$27:$G$225,4,FALSE)</f>
        <v>Otplata dugova</v>
      </c>
      <c r="C56" s="547"/>
      <c r="D56" s="547"/>
      <c r="E56" s="547"/>
      <c r="F56" s="547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50" t="str">
        <f>+VLOOKUP($A57,Master!$D$27:$G$225,4,FALSE)</f>
        <v>Otplata hartija od vrijednosti i kredita rezidentima</v>
      </c>
      <c r="C57" s="551"/>
      <c r="D57" s="551"/>
      <c r="E57" s="551"/>
      <c r="F57" s="551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48" t="str">
        <f>+VLOOKUP($A58,Master!$D$27:$G$225,4,FALSE)</f>
        <v>Otplata hartija od vrijednosti i kredita nerezidentima</v>
      </c>
      <c r="C58" s="549"/>
      <c r="D58" s="549"/>
      <c r="E58" s="549"/>
      <c r="F58" s="549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8" t="str">
        <f>+VLOOKUP($A59,Master!$D$27:$G$225,4,FALSE)</f>
        <v>Otplata obaveza iz prethodnih godina</v>
      </c>
      <c r="C59" s="559"/>
      <c r="D59" s="559"/>
      <c r="E59" s="559"/>
      <c r="F59" s="559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52" t="str">
        <f>+VLOOKUP($A60,Master!$D$27:$G$225,4,FALSE)</f>
        <v>Nedostajuća sredstva</v>
      </c>
      <c r="C60" s="553"/>
      <c r="D60" s="553"/>
      <c r="E60" s="553"/>
      <c r="F60" s="553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38" t="str">
        <f>+VLOOKUP($A61,Master!$D$27:$G$225,4,FALSE)</f>
        <v>Finansiranje</v>
      </c>
      <c r="C61" s="539"/>
      <c r="D61" s="539"/>
      <c r="E61" s="539"/>
      <c r="F61" s="539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50" t="str">
        <f>+VLOOKUP($A62,Master!$D$27:$G$225,4,FALSE)</f>
        <v>Pozajmice i krediti od domaćih izvora</v>
      </c>
      <c r="C62" s="551"/>
      <c r="D62" s="551"/>
      <c r="E62" s="551"/>
      <c r="F62" s="551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48" t="str">
        <f>+VLOOKUP($A63,Master!$D$27:$G$225,4,FALSE)</f>
        <v>Pozajmice i krediti od inostranih izvora</v>
      </c>
      <c r="C63" s="549"/>
      <c r="D63" s="549"/>
      <c r="E63" s="549"/>
      <c r="F63" s="549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48" t="str">
        <f>+VLOOKUP($A64,Master!$D$27:$G$225,4,FALSE)</f>
        <v>Primici od prodaje imovine</v>
      </c>
      <c r="C64" s="549"/>
      <c r="D64" s="549"/>
      <c r="E64" s="549"/>
      <c r="F64" s="549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04" t="str">
        <f>+Master!G252</f>
        <v>Plan ostvarenja budžeta</v>
      </c>
      <c r="C101" s="485"/>
      <c r="D101" s="485"/>
      <c r="E101" s="485"/>
      <c r="F101" s="485"/>
      <c r="G101" s="493">
        <v>2014</v>
      </c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7"/>
      <c r="S101" s="260" t="str">
        <f>+S7</f>
        <v>BDP</v>
      </c>
      <c r="T101" s="261">
        <v>3393200615</v>
      </c>
    </row>
    <row r="102" spans="1:20" ht="15.75" customHeight="1">
      <c r="A102" s="169"/>
      <c r="B102" s="486"/>
      <c r="C102" s="487"/>
      <c r="D102" s="487"/>
      <c r="E102" s="487"/>
      <c r="F102" s="488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93" t="str">
        <f>+Master!G246</f>
        <v>Jan - Dec</v>
      </c>
      <c r="T102" s="497">
        <f t="shared" si="16"/>
        <v>0</v>
      </c>
    </row>
    <row r="103" spans="1:20" ht="13.5" thickBot="1">
      <c r="A103" s="169"/>
      <c r="B103" s="489"/>
      <c r="C103" s="490"/>
      <c r="D103" s="490"/>
      <c r="E103" s="490"/>
      <c r="F103" s="491"/>
      <c r="G103" s="162" t="s">
        <v>423</v>
      </c>
      <c r="H103" s="162" t="s">
        <v>423</v>
      </c>
      <c r="I103" s="162" t="s">
        <v>423</v>
      </c>
      <c r="J103" s="162" t="s">
        <v>423</v>
      </c>
      <c r="K103" s="162" t="s">
        <v>423</v>
      </c>
      <c r="L103" s="162" t="s">
        <v>423</v>
      </c>
      <c r="M103" s="162" t="s">
        <v>423</v>
      </c>
      <c r="N103" s="162" t="s">
        <v>423</v>
      </c>
      <c r="O103" s="162" t="s">
        <v>423</v>
      </c>
      <c r="P103" s="162" t="s">
        <v>423</v>
      </c>
      <c r="Q103" s="162" t="s">
        <v>423</v>
      </c>
      <c r="R103" s="162" t="s">
        <v>423</v>
      </c>
      <c r="S103" s="262" t="s">
        <v>423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52" t="str">
        <f>+VLOOKUP(LEFT($A104,LEN(A104)-1)*1,Master!$D$27:$G$225,4,FALSE)</f>
        <v>Prihodi budžeta</v>
      </c>
      <c r="C104" s="453"/>
      <c r="D104" s="453"/>
      <c r="E104" s="453"/>
      <c r="F104" s="453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54" t="str">
        <f>+VLOOKUP(LEFT($A105,LEN(A105)-1)*1,Master!$D$27:$G$225,4,FALSE)</f>
        <v>Porezi</v>
      </c>
      <c r="C105" s="455"/>
      <c r="D105" s="455"/>
      <c r="E105" s="455"/>
      <c r="F105" s="455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56" t="str">
        <f>+VLOOKUP(LEFT($A106,LEN(A106)-1)*1,Master!$D$27:$G$225,4,FALSE)</f>
        <v>Porez na dohodak fizičkih lica</v>
      </c>
      <c r="C106" s="457"/>
      <c r="D106" s="457"/>
      <c r="E106" s="457"/>
      <c r="F106" s="457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56" t="str">
        <f>+VLOOKUP(LEFT($A107,LEN(A107)-1)*1,Master!$D$27:$G$225,4,FALSE)</f>
        <v>Porez na dobit pravnih lica</v>
      </c>
      <c r="C107" s="457"/>
      <c r="D107" s="457"/>
      <c r="E107" s="457"/>
      <c r="F107" s="457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56" t="str">
        <f>+VLOOKUP(LEFT($A108,LEN(A108)-1)*1,Master!$D$27:$G$225,4,FALSE)</f>
        <v>Porez na promet nepokretnosti</v>
      </c>
      <c r="C108" s="457"/>
      <c r="D108" s="457"/>
      <c r="E108" s="457"/>
      <c r="F108" s="457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56" t="str">
        <f>+VLOOKUP(LEFT($A109,LEN(A109)-1)*1,Master!$D$27:$G$225,4,FALSE)</f>
        <v>Porez na dodatu vrijednost</v>
      </c>
      <c r="C109" s="457"/>
      <c r="D109" s="457"/>
      <c r="E109" s="457"/>
      <c r="F109" s="457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56" t="str">
        <f>+VLOOKUP(LEFT($A110,LEN(A110)-1)*1,Master!$D$27:$G$225,4,FALSE)</f>
        <v>Akcize</v>
      </c>
      <c r="C110" s="457"/>
      <c r="D110" s="457"/>
      <c r="E110" s="457"/>
      <c r="F110" s="457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56" t="str">
        <f>+VLOOKUP(LEFT($A111,LEN(A111)-1)*1,Master!$D$27:$G$225,4,FALSE)</f>
        <v>Porez na međunarodnu trgovinu i transakcije</v>
      </c>
      <c r="C111" s="457"/>
      <c r="D111" s="457"/>
      <c r="E111" s="457"/>
      <c r="F111" s="457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56" t="e">
        <f>+VLOOKUP(LEFT($A112,LEN(A112)-1)*1,Master!$D$27:$G$225,4,FALSE)</f>
        <v>#N/A</v>
      </c>
      <c r="C112" s="457"/>
      <c r="D112" s="457"/>
      <c r="E112" s="457"/>
      <c r="F112" s="457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56" t="str">
        <f>+VLOOKUP(LEFT($A113,LEN(A113)-1)*1,Master!$D$27:$G$225,4,FALSE)</f>
        <v>Ostali državni porezi</v>
      </c>
      <c r="C113" s="457"/>
      <c r="D113" s="457"/>
      <c r="E113" s="457"/>
      <c r="F113" s="457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60" t="str">
        <f>+VLOOKUP(LEFT($A114,LEN(A114)-1)*1,Master!$D$27:$G$225,4,FALSE)</f>
        <v>Doprinosi</v>
      </c>
      <c r="C114" s="461"/>
      <c r="D114" s="461"/>
      <c r="E114" s="461"/>
      <c r="F114" s="461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56" t="str">
        <f>+VLOOKUP(LEFT($A115,LEN(A115)-1)*1,Master!$D$27:$G$225,4,FALSE)</f>
        <v>Doprinosi za penzijsko i invalidsko osiguranje</v>
      </c>
      <c r="C115" s="457"/>
      <c r="D115" s="457"/>
      <c r="E115" s="457"/>
      <c r="F115" s="457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56" t="str">
        <f>+VLOOKUP(LEFT($A116,LEN(A116)-1)*1,Master!$D$27:$G$225,4,FALSE)</f>
        <v>Doprinosi za zdravstveno osiguranje</v>
      </c>
      <c r="C116" s="457"/>
      <c r="D116" s="457"/>
      <c r="E116" s="457"/>
      <c r="F116" s="457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56" t="str">
        <f>+VLOOKUP(LEFT($A117,LEN(A117)-1)*1,Master!$D$27:$G$225,4,FALSE)</f>
        <v>Doprinosi za osiguranje od nezaposlenosti</v>
      </c>
      <c r="C117" s="457"/>
      <c r="D117" s="457"/>
      <c r="E117" s="457"/>
      <c r="F117" s="457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56" t="str">
        <f>+VLOOKUP(LEFT($A118,LEN(A118)-1)*1,Master!$D$27:$G$225,4,FALSE)</f>
        <v>Ostali doprinosi</v>
      </c>
      <c r="C118" s="457"/>
      <c r="D118" s="457"/>
      <c r="E118" s="457"/>
      <c r="F118" s="457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58" t="str">
        <f>+VLOOKUP(LEFT($A119,LEN(A119)-1)*1,Master!$D$27:$G$225,4,FALSE)</f>
        <v>Takse</v>
      </c>
      <c r="C119" s="459"/>
      <c r="D119" s="459"/>
      <c r="E119" s="459"/>
      <c r="F119" s="459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58" t="str">
        <f>+VLOOKUP(LEFT($A120,LEN(A120)-1)*1,Master!$D$27:$G$225,4,FALSE)</f>
        <v>Naknade</v>
      </c>
      <c r="C120" s="459"/>
      <c r="D120" s="459"/>
      <c r="E120" s="459"/>
      <c r="F120" s="459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58" t="str">
        <f>+VLOOKUP(LEFT($A121,LEN(A121)-1)*1,Master!$D$27:$G$225,4,FALSE)</f>
        <v>Ostali prihodi</v>
      </c>
      <c r="C121" s="459"/>
      <c r="D121" s="459"/>
      <c r="E121" s="459"/>
      <c r="F121" s="459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58" t="str">
        <f>+VLOOKUP(LEFT($A122,LEN(A122)-1)*1,Master!$D$27:$G$225,4,FALSE)</f>
        <v>Primici od otplate kredita i sredstva prenesena iz prethodne godine</v>
      </c>
      <c r="C122" s="459"/>
      <c r="D122" s="459"/>
      <c r="E122" s="459"/>
      <c r="F122" s="459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62" t="str">
        <f>+VLOOKUP(LEFT($A123,LEN(A123)-1)*1,Master!$D$27:$G$225,4,FALSE)</f>
        <v>Donacije i transferi</v>
      </c>
      <c r="C123" s="463"/>
      <c r="D123" s="463"/>
      <c r="E123" s="463"/>
      <c r="F123" s="463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64" t="str">
        <f>+VLOOKUP(LEFT($A124,LEN(A124)-1)*1,Master!$D$27:$G$225,4,FALSE)</f>
        <v>Budžetski izdaci</v>
      </c>
      <c r="C124" s="465"/>
      <c r="D124" s="465"/>
      <c r="E124" s="465"/>
      <c r="F124" s="465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66" t="str">
        <f>+VLOOKUP(LEFT($A125,LEN(A125)-1)*1,Master!$D$27:$G$225,4,FALSE)</f>
        <v>Tekuća budžetska potrošnja</v>
      </c>
      <c r="C125" s="467"/>
      <c r="D125" s="467"/>
      <c r="E125" s="467"/>
      <c r="F125" s="467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68" t="str">
        <f>+VLOOKUP(LEFT($A126,LEN(A126)-1)*1,Master!$D$27:$G$225,4,FALSE)</f>
        <v>Tekući izdaci</v>
      </c>
      <c r="C126" s="469"/>
      <c r="D126" s="469"/>
      <c r="E126" s="469"/>
      <c r="F126" s="469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56" t="str">
        <f>+VLOOKUP(LEFT($A127,LEN(A127)-1)*1,Master!$D$27:$G$225,4,FALSE)</f>
        <v>Bruto zarade i doprinosi na teret poslodavca</v>
      </c>
      <c r="C127" s="457"/>
      <c r="D127" s="457"/>
      <c r="E127" s="457"/>
      <c r="F127" s="457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56" t="str">
        <f>+VLOOKUP(LEFT($A128,LEN(A128)-1)*1,Master!$D$27:$G$225,4,FALSE)</f>
        <v>Ostala lična primanja</v>
      </c>
      <c r="C128" s="457"/>
      <c r="D128" s="457"/>
      <c r="E128" s="457"/>
      <c r="F128" s="457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56" t="str">
        <f>+VLOOKUP(LEFT($A129,LEN(A129)-1)*1,Master!$D$27:$G$225,4,FALSE)</f>
        <v>Rashodi za materijal</v>
      </c>
      <c r="C129" s="457"/>
      <c r="D129" s="457"/>
      <c r="E129" s="457"/>
      <c r="F129" s="457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56" t="str">
        <f>+VLOOKUP(LEFT($A130,LEN(A130)-1)*1,Master!$D$27:$G$225,4,FALSE)</f>
        <v>Rashodi za usluge</v>
      </c>
      <c r="C130" s="457"/>
      <c r="D130" s="457"/>
      <c r="E130" s="457"/>
      <c r="F130" s="457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56" t="str">
        <f>+VLOOKUP(LEFT($A131,LEN(A131)-1)*1,Master!$D$27:$G$225,4,FALSE)</f>
        <v>Rashodi za tekuće održavanje</v>
      </c>
      <c r="C131" s="457"/>
      <c r="D131" s="457"/>
      <c r="E131" s="457"/>
      <c r="F131" s="457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56" t="str">
        <f>+VLOOKUP(LEFT($A132,LEN(A132)-1)*1,Master!$D$27:$G$225,4,FALSE)</f>
        <v>Kamate</v>
      </c>
      <c r="C132" s="457"/>
      <c r="D132" s="457"/>
      <c r="E132" s="457"/>
      <c r="F132" s="457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56" t="str">
        <f>+VLOOKUP(LEFT($A133,LEN(A133)-1)*1,Master!$D$27:$G$225,4,FALSE)</f>
        <v>Renta</v>
      </c>
      <c r="C133" s="457"/>
      <c r="D133" s="457"/>
      <c r="E133" s="457"/>
      <c r="F133" s="457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56" t="str">
        <f>+VLOOKUP(LEFT($A134,LEN(A134)-1)*1,Master!$D$27:$G$225,4,FALSE)</f>
        <v>Subvencije</v>
      </c>
      <c r="C134" s="457"/>
      <c r="D134" s="457"/>
      <c r="E134" s="457"/>
      <c r="F134" s="457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56" t="str">
        <f>+VLOOKUP(LEFT($A135,LEN(A135)-1)*1,Master!$D$27:$G$225,4,FALSE)</f>
        <v>Ostali izdaci</v>
      </c>
      <c r="C135" s="457"/>
      <c r="D135" s="457"/>
      <c r="E135" s="457"/>
      <c r="F135" s="457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56" t="str">
        <f>+VLOOKUP(LEFT($A136,LEN(A136)-1)*1,Master!$D$27:$G$225,4,FALSE)</f>
        <v>Kapitalni izdaci u tekućem budžetu</v>
      </c>
      <c r="C136" s="457"/>
      <c r="D136" s="457"/>
      <c r="E136" s="457"/>
      <c r="F136" s="457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72" t="str">
        <f>+VLOOKUP(LEFT($A137,LEN(A137)-1)*1,Master!$D$27:$G$225,4,FALSE)</f>
        <v>Transferi za socijalnu zaštitu</v>
      </c>
      <c r="C137" s="473"/>
      <c r="D137" s="473"/>
      <c r="E137" s="473"/>
      <c r="F137" s="473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56" t="str">
        <f>+VLOOKUP(LEFT($A138,LEN(A138)-1)*1,Master!$D$27:$G$225,4,FALSE)</f>
        <v>Prava iz oblasti socijalne zaštite</v>
      </c>
      <c r="C138" s="457"/>
      <c r="D138" s="457"/>
      <c r="E138" s="457"/>
      <c r="F138" s="457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56" t="str">
        <f>+VLOOKUP(LEFT($A139,LEN(A139)-1)*1,Master!$D$27:$G$225,4,FALSE)</f>
        <v>Sredstva za tehnološke viškove</v>
      </c>
      <c r="C139" s="457"/>
      <c r="D139" s="457"/>
      <c r="E139" s="457"/>
      <c r="F139" s="457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56" t="str">
        <f>+VLOOKUP(LEFT($A140,LEN(A140)-1)*1,Master!$D$27:$G$225,4,FALSE)</f>
        <v>Prava iz oblasti penzijskog i invalidskog osiguranja</v>
      </c>
      <c r="C140" s="457"/>
      <c r="D140" s="457"/>
      <c r="E140" s="457"/>
      <c r="F140" s="457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56" t="str">
        <f>+VLOOKUP(LEFT($A141,LEN(A141)-1)*1,Master!$D$27:$G$225,4,FALSE)</f>
        <v>Ostala prava iz oblasti zdravstvene zaštite</v>
      </c>
      <c r="C141" s="457"/>
      <c r="D141" s="457"/>
      <c r="E141" s="457"/>
      <c r="F141" s="457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56" t="str">
        <f>+VLOOKUP(LEFT($A142,LEN(A142)-1)*1,Master!$D$27:$G$225,4,FALSE)</f>
        <v>Ostala prava iz zdravstvenog osiguranja</v>
      </c>
      <c r="C142" s="457"/>
      <c r="D142" s="457"/>
      <c r="E142" s="457"/>
      <c r="F142" s="457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70" t="str">
        <f>+VLOOKUP(LEFT($A143,LEN(A143)-1)*1,Master!$D$27:$G$225,4,FALSE)</f>
        <v xml:space="preserve">Transferi institucijama, pojedincima, nevladinom i javnom sektoru </v>
      </c>
      <c r="C143" s="471"/>
      <c r="D143" s="471"/>
      <c r="E143" s="471"/>
      <c r="F143" s="471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70" t="str">
        <f>+VLOOKUP(LEFT($A144,LEN(A144)-1)*1,Master!$D$27:$G$225,4,FALSE)</f>
        <v>Kapitalni budžet</v>
      </c>
      <c r="C144" s="471"/>
      <c r="D144" s="471"/>
      <c r="E144" s="471"/>
      <c r="F144" s="471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74" t="str">
        <f>+VLOOKUP(LEFT($A145,LEN(A145)-1)*1,Master!$D$27:$G$225,4,FALSE)</f>
        <v>Pozajmice i krediti</v>
      </c>
      <c r="C145" s="475"/>
      <c r="D145" s="475"/>
      <c r="E145" s="475"/>
      <c r="F145" s="475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74" t="str">
        <f>+VLOOKUP(LEFT($A146,LEN(A146)-1)*1,Master!$D$27:$G$225,4,FALSE)</f>
        <v>Rezerve</v>
      </c>
      <c r="C146" s="475"/>
      <c r="D146" s="475"/>
      <c r="E146" s="475"/>
      <c r="F146" s="475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6" t="str">
        <f>+VLOOKUP(LEFT($A147,LEN(A147)-1)*1,Master!$D$27:$G$225,4,FALSE)</f>
        <v>Otplata garancija</v>
      </c>
      <c r="C147" s="477"/>
      <c r="D147" s="477"/>
      <c r="E147" s="477"/>
      <c r="F147" s="477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8" t="str">
        <f>+VLOOKUP(LEFT($A148,LEN(A148)-1)*1,Master!$D$27:$G$225,4,FALSE)</f>
        <v>Suficit / deficit</v>
      </c>
      <c r="C148" s="479"/>
      <c r="D148" s="479"/>
      <c r="E148" s="479"/>
      <c r="F148" s="479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80" t="str">
        <f>+VLOOKUP(LEFT($A149,LEN(A149)-1)*1,Master!$D$27:$G$225,4,FALSE)</f>
        <v>Primarni bilans</v>
      </c>
      <c r="C149" s="481"/>
      <c r="D149" s="481"/>
      <c r="E149" s="481"/>
      <c r="F149" s="481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72" t="str">
        <f>+VLOOKUP(LEFT($A150,LEN(A150)-1)*1,Master!$D$27:$G$225,4,FALSE)</f>
        <v>Otplata dugova</v>
      </c>
      <c r="C150" s="473"/>
      <c r="D150" s="473"/>
      <c r="E150" s="473"/>
      <c r="F150" s="473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98" t="str">
        <f>+VLOOKUP(LEFT($A151,LEN(A151)-1)*1,Master!$D$27:$G$225,4,FALSE)</f>
        <v>Otplata hartija od vrijednosti i kredita rezidentima</v>
      </c>
      <c r="C151" s="499"/>
      <c r="D151" s="499"/>
      <c r="E151" s="499"/>
      <c r="F151" s="499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74" t="str">
        <f>+VLOOKUP(LEFT($A152,LEN(A152)-1)*1,Master!$D$27:$G$225,4,FALSE)</f>
        <v>Otplata hartija od vrijednosti i kredita nerezidentima</v>
      </c>
      <c r="C152" s="475"/>
      <c r="D152" s="475"/>
      <c r="E152" s="475"/>
      <c r="F152" s="475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6" t="str">
        <f>+VLOOKUP(LEFT($A153,LEN(A153)-1)*1,Master!$D$27:$G$225,4,FALSE)</f>
        <v>Otplata obaveza iz prethodnih godina</v>
      </c>
      <c r="C153" s="477"/>
      <c r="D153" s="477"/>
      <c r="E153" s="477"/>
      <c r="F153" s="477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500" t="str">
        <f>+VLOOKUP(LEFT($A154,LEN(A154)-1)*1,Master!$D$27:$G$225,4,FALSE)</f>
        <v>Nedostajuća sredstva</v>
      </c>
      <c r="C154" s="501"/>
      <c r="D154" s="501"/>
      <c r="E154" s="501"/>
      <c r="F154" s="501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64" t="str">
        <f>+VLOOKUP(LEFT($A155,LEN(A155)-1)*1,Master!$D$27:$G$225,4,FALSE)</f>
        <v>Finansiranje</v>
      </c>
      <c r="C155" s="465"/>
      <c r="D155" s="465"/>
      <c r="E155" s="465"/>
      <c r="F155" s="465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98" t="str">
        <f>+VLOOKUP(LEFT($A156,LEN(A156)-1)*1,Master!$D$27:$G$225,4,FALSE)</f>
        <v>Pozajmice i krediti od domaćih izvora</v>
      </c>
      <c r="C156" s="499"/>
      <c r="D156" s="499"/>
      <c r="E156" s="499"/>
      <c r="F156" s="499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74" t="str">
        <f>+VLOOKUP(LEFT($A157,LEN(A157)-1)*1,Master!$D$27:$G$225,4,FALSE)</f>
        <v>Pozajmice i krediti od inostranih izvora</v>
      </c>
      <c r="C157" s="475"/>
      <c r="D157" s="475"/>
      <c r="E157" s="475"/>
      <c r="F157" s="475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74" t="str">
        <f>+VLOOKUP(LEFT($A158,LEN(A158)-1)*1,Master!$D$27:$G$225,4,FALSE)</f>
        <v>Primici od prodaje imovine</v>
      </c>
      <c r="C158" s="475"/>
      <c r="D158" s="475"/>
      <c r="E158" s="475"/>
      <c r="F158" s="475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F8" activePane="bottomRight" state="frozen"/>
      <selection pane="topRight" activeCell="F1" sqref="F1"/>
      <selection pane="bottomLeft" activeCell="A8" sqref="A8"/>
      <selection pane="bottomRight" activeCell="FF8" sqref="FF8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2" style="41" customWidth="1"/>
    <col min="164" max="164" width="17.28515625" style="41" customWidth="1"/>
    <col min="165" max="165" width="13.42578125" style="41" customWidth="1"/>
    <col min="166" max="166" width="17.2851562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5" t="s">
        <v>564</v>
      </c>
      <c r="F6" s="563">
        <v>2006</v>
      </c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4"/>
      <c r="R6" s="563">
        <v>2007</v>
      </c>
      <c r="S6" s="562"/>
      <c r="T6" s="562"/>
      <c r="U6" s="562"/>
      <c r="V6" s="562"/>
      <c r="W6" s="562"/>
      <c r="X6" s="562"/>
      <c r="Y6" s="562"/>
      <c r="Z6" s="562"/>
      <c r="AA6" s="562"/>
      <c r="AB6" s="562"/>
      <c r="AC6" s="564"/>
      <c r="AD6" s="563">
        <v>2008</v>
      </c>
      <c r="AE6" s="562"/>
      <c r="AF6" s="562"/>
      <c r="AG6" s="562"/>
      <c r="AH6" s="562"/>
      <c r="AI6" s="562"/>
      <c r="AJ6" s="562"/>
      <c r="AK6" s="562"/>
      <c r="AL6" s="562"/>
      <c r="AM6" s="562"/>
      <c r="AN6" s="562"/>
      <c r="AO6" s="564"/>
      <c r="AP6" s="563">
        <v>2009</v>
      </c>
      <c r="AQ6" s="562"/>
      <c r="AR6" s="562"/>
      <c r="AS6" s="562"/>
      <c r="AT6" s="562"/>
      <c r="AU6" s="562"/>
      <c r="AV6" s="562"/>
      <c r="AW6" s="562"/>
      <c r="AX6" s="562"/>
      <c r="AY6" s="562"/>
      <c r="AZ6" s="562"/>
      <c r="BA6" s="564"/>
      <c r="BB6" s="563">
        <v>2010</v>
      </c>
      <c r="BC6" s="562"/>
      <c r="BD6" s="562"/>
      <c r="BE6" s="562"/>
      <c r="BF6" s="562"/>
      <c r="BG6" s="562"/>
      <c r="BH6" s="562"/>
      <c r="BI6" s="562"/>
      <c r="BJ6" s="562"/>
      <c r="BK6" s="562"/>
      <c r="BL6" s="562"/>
      <c r="BM6" s="564"/>
      <c r="BN6" s="563">
        <v>2011</v>
      </c>
      <c r="BO6" s="562"/>
      <c r="BP6" s="562"/>
      <c r="BQ6" s="562"/>
      <c r="BR6" s="562"/>
      <c r="BS6" s="562"/>
      <c r="BT6" s="562"/>
      <c r="BU6" s="562"/>
      <c r="BV6" s="562"/>
      <c r="BW6" s="562"/>
      <c r="BX6" s="562"/>
      <c r="BY6" s="564"/>
      <c r="BZ6" s="562">
        <v>2012</v>
      </c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3">
        <v>2013</v>
      </c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4"/>
      <c r="CX6" s="563">
        <v>2014</v>
      </c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4"/>
      <c r="DJ6" s="563">
        <v>2015</v>
      </c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4"/>
    </row>
    <row r="7" spans="1:321">
      <c r="E7" s="565"/>
      <c r="F7" s="75" t="s">
        <v>429</v>
      </c>
      <c r="G7" s="76" t="s">
        <v>430</v>
      </c>
      <c r="H7" s="76" t="s">
        <v>431</v>
      </c>
      <c r="I7" s="76" t="s">
        <v>432</v>
      </c>
      <c r="J7" s="76" t="s">
        <v>433</v>
      </c>
      <c r="K7" s="76" t="s">
        <v>434</v>
      </c>
      <c r="L7" s="76" t="s">
        <v>435</v>
      </c>
      <c r="M7" s="76" t="s">
        <v>436</v>
      </c>
      <c r="N7" s="76" t="s">
        <v>437</v>
      </c>
      <c r="O7" s="76" t="s">
        <v>438</v>
      </c>
      <c r="P7" s="76" t="s">
        <v>439</v>
      </c>
      <c r="Q7" s="77" t="s">
        <v>440</v>
      </c>
      <c r="R7" s="75" t="s">
        <v>441</v>
      </c>
      <c r="S7" s="76" t="s">
        <v>442</v>
      </c>
      <c r="T7" s="76" t="s">
        <v>443</v>
      </c>
      <c r="U7" s="76" t="s">
        <v>444</v>
      </c>
      <c r="V7" s="76" t="s">
        <v>445</v>
      </c>
      <c r="W7" s="76" t="s">
        <v>446</v>
      </c>
      <c r="X7" s="76" t="s">
        <v>447</v>
      </c>
      <c r="Y7" s="76" t="s">
        <v>448</v>
      </c>
      <c r="Z7" s="76" t="s">
        <v>449</v>
      </c>
      <c r="AA7" s="76" t="s">
        <v>450</v>
      </c>
      <c r="AB7" s="76" t="s">
        <v>451</v>
      </c>
      <c r="AC7" s="77" t="s">
        <v>452</v>
      </c>
      <c r="AD7" s="75" t="s">
        <v>454</v>
      </c>
      <c r="AE7" s="76" t="s">
        <v>455</v>
      </c>
      <c r="AF7" s="76" t="s">
        <v>456</v>
      </c>
      <c r="AG7" s="76" t="s">
        <v>457</v>
      </c>
      <c r="AH7" s="76" t="s">
        <v>458</v>
      </c>
      <c r="AI7" s="76" t="s">
        <v>459</v>
      </c>
      <c r="AJ7" s="76" t="s">
        <v>460</v>
      </c>
      <c r="AK7" s="76" t="s">
        <v>461</v>
      </c>
      <c r="AL7" s="76" t="s">
        <v>462</v>
      </c>
      <c r="AM7" s="76" t="s">
        <v>463</v>
      </c>
      <c r="AN7" s="76" t="s">
        <v>464</v>
      </c>
      <c r="AO7" s="77" t="s">
        <v>453</v>
      </c>
      <c r="AP7" s="75" t="s">
        <v>465</v>
      </c>
      <c r="AQ7" s="76" t="s">
        <v>466</v>
      </c>
      <c r="AR7" s="76" t="s">
        <v>467</v>
      </c>
      <c r="AS7" s="76" t="s">
        <v>468</v>
      </c>
      <c r="AT7" s="76" t="s">
        <v>469</v>
      </c>
      <c r="AU7" s="76" t="s">
        <v>470</v>
      </c>
      <c r="AV7" s="76" t="s">
        <v>471</v>
      </c>
      <c r="AW7" s="76" t="s">
        <v>472</v>
      </c>
      <c r="AX7" s="76" t="s">
        <v>473</v>
      </c>
      <c r="AY7" s="76" t="s">
        <v>474</v>
      </c>
      <c r="AZ7" s="76" t="s">
        <v>475</v>
      </c>
      <c r="BA7" s="77" t="s">
        <v>476</v>
      </c>
      <c r="BB7" s="75" t="s">
        <v>477</v>
      </c>
      <c r="BC7" s="76" t="s">
        <v>478</v>
      </c>
      <c r="BD7" s="76" t="s">
        <v>479</v>
      </c>
      <c r="BE7" s="76" t="s">
        <v>480</v>
      </c>
      <c r="BF7" s="76" t="s">
        <v>481</v>
      </c>
      <c r="BG7" s="76" t="s">
        <v>482</v>
      </c>
      <c r="BH7" s="76" t="s">
        <v>483</v>
      </c>
      <c r="BI7" s="76" t="s">
        <v>484</v>
      </c>
      <c r="BJ7" s="76" t="s">
        <v>485</v>
      </c>
      <c r="BK7" s="76" t="s">
        <v>486</v>
      </c>
      <c r="BL7" s="76" t="s">
        <v>487</v>
      </c>
      <c r="BM7" s="77" t="s">
        <v>488</v>
      </c>
      <c r="BN7" s="75" t="s">
        <v>489</v>
      </c>
      <c r="BO7" s="76" t="s">
        <v>490</v>
      </c>
      <c r="BP7" s="76" t="s">
        <v>491</v>
      </c>
      <c r="BQ7" s="76" t="s">
        <v>492</v>
      </c>
      <c r="BR7" s="76" t="s">
        <v>493</v>
      </c>
      <c r="BS7" s="76" t="s">
        <v>494</v>
      </c>
      <c r="BT7" s="76" t="s">
        <v>495</v>
      </c>
      <c r="BU7" s="76" t="s">
        <v>496</v>
      </c>
      <c r="BV7" s="76" t="s">
        <v>497</v>
      </c>
      <c r="BW7" s="76" t="s">
        <v>498</v>
      </c>
      <c r="BX7" s="76" t="s">
        <v>499</v>
      </c>
      <c r="BY7" s="77" t="s">
        <v>500</v>
      </c>
      <c r="BZ7" s="76" t="s">
        <v>501</v>
      </c>
      <c r="CA7" s="76" t="s">
        <v>502</v>
      </c>
      <c r="CB7" s="76" t="s">
        <v>503</v>
      </c>
      <c r="CC7" s="76" t="s">
        <v>504</v>
      </c>
      <c r="CD7" s="76" t="s">
        <v>505</v>
      </c>
      <c r="CE7" s="76" t="s">
        <v>506</v>
      </c>
      <c r="CF7" s="76" t="s">
        <v>507</v>
      </c>
      <c r="CG7" s="76" t="s">
        <v>508</v>
      </c>
      <c r="CH7" s="76" t="s">
        <v>509</v>
      </c>
      <c r="CI7" s="76" t="s">
        <v>510</v>
      </c>
      <c r="CJ7" s="76" t="s">
        <v>511</v>
      </c>
      <c r="CK7" s="76" t="s">
        <v>512</v>
      </c>
      <c r="CL7" s="75" t="s">
        <v>513</v>
      </c>
      <c r="CM7" s="76" t="s">
        <v>514</v>
      </c>
      <c r="CN7" s="76" t="s">
        <v>515</v>
      </c>
      <c r="CO7" s="76" t="s">
        <v>516</v>
      </c>
      <c r="CP7" s="76" t="s">
        <v>517</v>
      </c>
      <c r="CQ7" s="76" t="s">
        <v>518</v>
      </c>
      <c r="CR7" s="76" t="s">
        <v>519</v>
      </c>
      <c r="CS7" s="76" t="s">
        <v>520</v>
      </c>
      <c r="CT7" s="76" t="s">
        <v>521</v>
      </c>
      <c r="CU7" s="76" t="s">
        <v>522</v>
      </c>
      <c r="CV7" s="76" t="s">
        <v>523</v>
      </c>
      <c r="CW7" s="77" t="s">
        <v>524</v>
      </c>
      <c r="CX7" s="75" t="s">
        <v>525</v>
      </c>
      <c r="CY7" s="76" t="s">
        <v>526</v>
      </c>
      <c r="CZ7" s="76" t="s">
        <v>527</v>
      </c>
      <c r="DA7" s="76" t="s">
        <v>528</v>
      </c>
      <c r="DB7" s="76" t="s">
        <v>529</v>
      </c>
      <c r="DC7" s="76" t="s">
        <v>530</v>
      </c>
      <c r="DD7" s="76" t="s">
        <v>531</v>
      </c>
      <c r="DE7" s="76" t="s">
        <v>532</v>
      </c>
      <c r="DF7" s="76" t="s">
        <v>533</v>
      </c>
      <c r="DG7" s="76" t="s">
        <v>534</v>
      </c>
      <c r="DH7" s="76" t="s">
        <v>535</v>
      </c>
      <c r="DI7" s="77" t="s">
        <v>536</v>
      </c>
      <c r="DJ7" s="75" t="s">
        <v>537</v>
      </c>
      <c r="DK7" s="76" t="s">
        <v>538</v>
      </c>
      <c r="DL7" s="76" t="s">
        <v>539</v>
      </c>
      <c r="DM7" s="76" t="s">
        <v>540</v>
      </c>
      <c r="DN7" s="76" t="s">
        <v>541</v>
      </c>
      <c r="DO7" s="76" t="s">
        <v>542</v>
      </c>
      <c r="DP7" s="76" t="s">
        <v>543</v>
      </c>
      <c r="DQ7" s="76" t="s">
        <v>544</v>
      </c>
      <c r="DR7" s="76" t="s">
        <v>545</v>
      </c>
      <c r="DS7" s="76" t="s">
        <v>546</v>
      </c>
      <c r="DT7" s="76" t="s">
        <v>547</v>
      </c>
      <c r="DU7" s="77" t="s">
        <v>548</v>
      </c>
      <c r="DV7" s="42" t="s">
        <v>703</v>
      </c>
      <c r="DW7" s="42" t="s">
        <v>704</v>
      </c>
      <c r="DX7" s="42" t="s">
        <v>705</v>
      </c>
      <c r="DY7" s="42" t="s">
        <v>706</v>
      </c>
      <c r="DZ7" s="42" t="s">
        <v>707</v>
      </c>
      <c r="EA7" s="42" t="s">
        <v>708</v>
      </c>
      <c r="EB7" s="42" t="s">
        <v>709</v>
      </c>
      <c r="EC7" s="42" t="s">
        <v>710</v>
      </c>
      <c r="ED7" s="42" t="s">
        <v>711</v>
      </c>
      <c r="EE7" s="42" t="s">
        <v>712</v>
      </c>
      <c r="EF7" s="42" t="s">
        <v>713</v>
      </c>
      <c r="EG7" s="42" t="s">
        <v>714</v>
      </c>
      <c r="EH7" s="42" t="s">
        <v>737</v>
      </c>
      <c r="EI7" s="42" t="s">
        <v>738</v>
      </c>
      <c r="EJ7" s="42" t="s">
        <v>739</v>
      </c>
      <c r="EK7" s="42" t="s">
        <v>740</v>
      </c>
      <c r="EL7" s="42" t="s">
        <v>741</v>
      </c>
      <c r="EM7" s="42" t="s">
        <v>742</v>
      </c>
      <c r="EN7" s="42" t="s">
        <v>743</v>
      </c>
      <c r="EO7" s="42" t="s">
        <v>744</v>
      </c>
      <c r="EP7" s="42" t="s">
        <v>745</v>
      </c>
      <c r="EQ7" s="42" t="s">
        <v>746</v>
      </c>
      <c r="ER7" s="42" t="s">
        <v>747</v>
      </c>
      <c r="ES7" s="42" t="s">
        <v>748</v>
      </c>
      <c r="ET7" s="393" t="s">
        <v>755</v>
      </c>
      <c r="EU7" s="393" t="s">
        <v>756</v>
      </c>
      <c r="EV7" s="393" t="s">
        <v>757</v>
      </c>
      <c r="EW7" s="393" t="s">
        <v>758</v>
      </c>
      <c r="EX7" s="393" t="s">
        <v>759</v>
      </c>
      <c r="EY7" s="393" t="s">
        <v>760</v>
      </c>
      <c r="EZ7" s="393" t="s">
        <v>761</v>
      </c>
      <c r="FA7" s="393" t="s">
        <v>762</v>
      </c>
      <c r="FB7" s="393" t="s">
        <v>763</v>
      </c>
      <c r="FC7" s="393" t="s">
        <v>764</v>
      </c>
      <c r="FD7" s="393" t="s">
        <v>765</v>
      </c>
      <c r="FE7" s="393" t="s">
        <v>766</v>
      </c>
      <c r="FF7" s="393" t="s">
        <v>779</v>
      </c>
      <c r="FG7" s="393" t="s">
        <v>780</v>
      </c>
      <c r="FH7" s="393" t="s">
        <v>781</v>
      </c>
      <c r="FI7" s="393" t="s">
        <v>782</v>
      </c>
      <c r="FJ7" s="393" t="s">
        <v>783</v>
      </c>
      <c r="FK7" s="393" t="s">
        <v>784</v>
      </c>
      <c r="FL7" s="393" t="s">
        <v>785</v>
      </c>
      <c r="FM7" s="393" t="s">
        <v>786</v>
      </c>
      <c r="FN7" s="393" t="s">
        <v>787</v>
      </c>
      <c r="FO7" s="393" t="s">
        <v>788</v>
      </c>
      <c r="FP7" s="393" t="s">
        <v>789</v>
      </c>
      <c r="FQ7" s="393" t="s">
        <v>790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449">
        <v>98709545.510000005</v>
      </c>
      <c r="FI10" s="449">
        <v>106791818.52</v>
      </c>
      <c r="FJ10" s="378">
        <v>94372185.030000001</v>
      </c>
      <c r="FK10" s="378">
        <v>89389439.689999998</v>
      </c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>
        <v>10210712.41</v>
      </c>
      <c r="FK11" s="376">
        <v>10125793.029999999</v>
      </c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>
        <v>4781744.7</v>
      </c>
      <c r="FK12" s="376">
        <v>3678815</v>
      </c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>
        <v>147510.5</v>
      </c>
      <c r="FK13" s="376">
        <v>158253.64000000001</v>
      </c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>
        <v>56428341.859999999</v>
      </c>
      <c r="FK14" s="376">
        <v>52810087.229999997</v>
      </c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>
        <v>19442485.359999999</v>
      </c>
      <c r="FK15" s="376">
        <v>19205497.870000001</v>
      </c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>
        <v>2502520.2799999998</v>
      </c>
      <c r="FK16" s="376">
        <v>2485583.9700000002</v>
      </c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>
        <v>858869.92</v>
      </c>
      <c r="FK17" s="376">
        <v>925408.95</v>
      </c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>
        <v>41047599.18</v>
      </c>
      <c r="FI18" s="378">
        <v>50290988.939999998</v>
      </c>
      <c r="FJ18" s="378">
        <v>37496285.130000003</v>
      </c>
      <c r="FK18" s="378">
        <v>45280786.509999998</v>
      </c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>
        <v>22104934.850000001</v>
      </c>
      <c r="FK19" s="376">
        <v>27009559.609999999</v>
      </c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>
        <v>13458982.5</v>
      </c>
      <c r="FK20" s="376">
        <v>15925774.34</v>
      </c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>
        <v>1026106.03</v>
      </c>
      <c r="FK21" s="376">
        <v>1222753.49</v>
      </c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>
        <v>906261.75</v>
      </c>
      <c r="FK22" s="376">
        <v>1122699.07</v>
      </c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851162.27</v>
      </c>
      <c r="FG23" s="378">
        <v>1041125.39</v>
      </c>
      <c r="FH23" s="378">
        <v>1066481.8799999999</v>
      </c>
      <c r="FI23" s="378">
        <v>1290371.49</v>
      </c>
      <c r="FJ23" s="378">
        <v>1208813.17</v>
      </c>
      <c r="FK23" s="378">
        <v>1252534.6599999999</v>
      </c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>
        <v>855493.95</v>
      </c>
      <c r="FK24" s="376">
        <v>789796.19</v>
      </c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>
        <v>89857.44</v>
      </c>
      <c r="FK25" s="376">
        <v>90814.91</v>
      </c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>
        <v>91165.22</v>
      </c>
      <c r="FK26" s="376">
        <v>178796.84</v>
      </c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>
        <v>172296.56</v>
      </c>
      <c r="FK27" s="376">
        <v>193126.72</v>
      </c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>
        <v>1792591.2</v>
      </c>
      <c r="FK28" s="378">
        <v>2081141.31</v>
      </c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>
        <v>88788.45</v>
      </c>
      <c r="FK29" s="376">
        <v>110473.68</v>
      </c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>
        <v>290980.86</v>
      </c>
      <c r="FK30" s="376">
        <v>135939.44</v>
      </c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>
        <v>48239.28</v>
      </c>
      <c r="FK31" s="376">
        <v>41465.49</v>
      </c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767</v>
      </c>
      <c r="EN32" s="376" t="s">
        <v>768</v>
      </c>
      <c r="EO32" s="376">
        <v>608693.02</v>
      </c>
      <c r="EP32" s="376" t="s">
        <v>769</v>
      </c>
      <c r="EQ32" s="376">
        <v>179273.43</v>
      </c>
      <c r="ER32" s="376" t="s">
        <v>770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>
        <v>687337.58</v>
      </c>
      <c r="FK32" s="376">
        <v>695892.2</v>
      </c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>
        <v>300826.94</v>
      </c>
      <c r="FK33" s="376">
        <v>367688.93</v>
      </c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>
        <v>376418.09</v>
      </c>
      <c r="FK34" s="376">
        <v>729681.57</v>
      </c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1567288.04</v>
      </c>
      <c r="FG35" s="378">
        <v>2199531.1</v>
      </c>
      <c r="FH35" s="378">
        <v>3194097.81</v>
      </c>
      <c r="FI35" s="378">
        <v>2385711.15</v>
      </c>
      <c r="FJ35" s="378">
        <v>7159211.6399999997</v>
      </c>
      <c r="FK35" s="378">
        <v>3263135.44</v>
      </c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248883.21</v>
      </c>
      <c r="FH36" s="376">
        <v>186917.08</v>
      </c>
      <c r="FI36" s="376">
        <v>63899.67</v>
      </c>
      <c r="FJ36" s="376">
        <v>3605086.71</v>
      </c>
      <c r="FK36" s="376">
        <v>707894.38</v>
      </c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>
        <v>1673986.28</v>
      </c>
      <c r="FK37" s="376">
        <v>1387978.01</v>
      </c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>
        <v>261152.7</v>
      </c>
      <c r="FJ38" s="376">
        <v>230706.4</v>
      </c>
      <c r="FK38" s="376">
        <v>289255.07</v>
      </c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474394.59</v>
      </c>
      <c r="FG39" s="376">
        <v>759602.89</v>
      </c>
      <c r="FH39" s="376">
        <v>1649538.05</v>
      </c>
      <c r="FI39" s="376">
        <v>1042259.6</v>
      </c>
      <c r="FJ39" s="376">
        <v>1649430.53</v>
      </c>
      <c r="FK39" s="376">
        <v>878007.98</v>
      </c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>
        <v>223780.48000000001</v>
      </c>
      <c r="FK40" s="378">
        <v>722176.42</v>
      </c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>
        <v>808656.23</v>
      </c>
      <c r="FK43" s="378">
        <v>1298753.81</v>
      </c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>
        <v>1388870.5</v>
      </c>
      <c r="FK46" s="378">
        <v>827810.06</v>
      </c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>
        <v>8784836.1999999993</v>
      </c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>
        <v>67815000</v>
      </c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25748930.140000001</v>
      </c>
      <c r="FG52" s="376">
        <v>3819449.69</v>
      </c>
      <c r="FH52" s="376">
        <v>14059999.119999999</v>
      </c>
      <c r="FI52" s="376">
        <v>6496285.4699999997</v>
      </c>
      <c r="FJ52" s="376">
        <v>7856343.8600000003</v>
      </c>
      <c r="FK52" s="376">
        <v>8784836.1999999993</v>
      </c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>
        <v>39174668.049999997</v>
      </c>
      <c r="FI55" s="376">
        <v>38923552.049999997</v>
      </c>
      <c r="FJ55" s="376">
        <v>39904782.170000002</v>
      </c>
      <c r="FK55" s="376">
        <v>41571897.43</v>
      </c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432711.77</v>
      </c>
      <c r="FG61" s="448">
        <v>1037317.51</v>
      </c>
      <c r="FH61" s="448">
        <v>740149.21</v>
      </c>
      <c r="FI61" s="448">
        <v>1606928.02</v>
      </c>
      <c r="FJ61" s="376">
        <v>1045480.66</v>
      </c>
      <c r="FK61" s="376">
        <v>650585.03</v>
      </c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>
        <v>2492370.9900000002</v>
      </c>
      <c r="FH69" s="376">
        <v>2599448.7799999998</v>
      </c>
      <c r="FI69" s="376">
        <v>2488394.38</v>
      </c>
      <c r="FJ69" s="376">
        <v>2262319.3199999998</v>
      </c>
      <c r="FK69" s="376">
        <v>3143597.69</v>
      </c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>
        <v>4369547.51</v>
      </c>
      <c r="FH76" s="376">
        <v>4690729.2300000004</v>
      </c>
      <c r="FI76" s="448">
        <v>4354225.75</v>
      </c>
      <c r="FJ76" s="376">
        <v>5902884.25</v>
      </c>
      <c r="FK76" s="376">
        <v>6805709.04</v>
      </c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>
        <v>1553347.68</v>
      </c>
      <c r="FI86" s="376">
        <v>1602730.43</v>
      </c>
      <c r="FJ86" s="376">
        <v>1719004.83</v>
      </c>
      <c r="FK86" s="376">
        <v>1361111.43</v>
      </c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6154852.9000000004</v>
      </c>
      <c r="FG90" s="376">
        <v>950797.68</v>
      </c>
      <c r="FH90" s="376">
        <v>28695513.649999999</v>
      </c>
      <c r="FI90" s="376">
        <v>18435271.789999999</v>
      </c>
      <c r="FJ90" s="376">
        <v>10258844.07</v>
      </c>
      <c r="FK90" s="376">
        <v>5411766.9400000004</v>
      </c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>
        <v>779733.65</v>
      </c>
      <c r="FH93" s="376">
        <v>803370.53</v>
      </c>
      <c r="FI93" s="376">
        <v>1122402.21</v>
      </c>
      <c r="FJ93" s="376">
        <v>989005.29</v>
      </c>
      <c r="FK93" s="376">
        <v>608826.98</v>
      </c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>
        <v>2194236.0299999998</v>
      </c>
      <c r="FK97" s="376">
        <v>1487101.06</v>
      </c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3360527.27</v>
      </c>
      <c r="FH101" s="376">
        <v>2294447.6800000002</v>
      </c>
      <c r="FI101" s="376">
        <v>5380148.8300000001</v>
      </c>
      <c r="FJ101" s="376">
        <v>2122463.62</v>
      </c>
      <c r="FK101" s="376">
        <v>4483387.37</v>
      </c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>
        <v>6410465.4699999997</v>
      </c>
      <c r="FK112" s="376">
        <v>6536921.0899999999</v>
      </c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734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>
        <v>1341095.6299999999</v>
      </c>
      <c r="FK121" s="376">
        <v>1381621.25</v>
      </c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>
        <v>34782667.030000001</v>
      </c>
      <c r="FK127" s="376">
        <v>35185457.75</v>
      </c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>
        <v>1914804.54</v>
      </c>
      <c r="FK135" s="376">
        <v>1732967.4</v>
      </c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>
        <v>1075486.77</v>
      </c>
      <c r="FI137" s="376">
        <v>779978.55</v>
      </c>
      <c r="FJ137" s="376">
        <v>905277.52</v>
      </c>
      <c r="FK137" s="376">
        <v>909731.61</v>
      </c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16108536.07</v>
      </c>
      <c r="FJ141" s="376">
        <v>17254969.68</v>
      </c>
      <c r="FK141" s="376">
        <v>13582731.800000001</v>
      </c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729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26828354.949999999</v>
      </c>
      <c r="FG159" s="376">
        <v>3690450.01</v>
      </c>
      <c r="FH159" s="376">
        <v>14930197.6</v>
      </c>
      <c r="FI159" s="376">
        <v>12096117.390000001</v>
      </c>
      <c r="FJ159" s="376">
        <v>11464377.560000001</v>
      </c>
      <c r="FK159" s="41">
        <v>12842221.23</v>
      </c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420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720914.39</v>
      </c>
      <c r="FG160" s="376">
        <f>3497409.95-FG168</f>
        <v>3462137.8600000003</v>
      </c>
      <c r="FH160" s="376">
        <v>1772948.37</v>
      </c>
      <c r="FI160" s="376">
        <f>42022681.44-FI168</f>
        <v>2074285.0700000003</v>
      </c>
      <c r="FJ160" s="376">
        <v>1862038.5</v>
      </c>
      <c r="FK160" s="376">
        <v>3083998.55</v>
      </c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>
        <v>260000</v>
      </c>
      <c r="FK171" s="376">
        <v>358750</v>
      </c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>
        <v>80000</v>
      </c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>
        <v>5836708.6600000001</v>
      </c>
      <c r="FK179" s="376">
        <v>1304074.52</v>
      </c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>
        <v>177846023.16</v>
      </c>
      <c r="FK180" s="376">
        <v>9790699.6799999997</v>
      </c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7180485.3399999999</v>
      </c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1205053.3500000001</v>
      </c>
      <c r="FG184" s="376">
        <v>1334117.25</v>
      </c>
      <c r="FH184" s="376">
        <v>1736748.41</v>
      </c>
      <c r="FI184" s="376">
        <v>1788599.55</v>
      </c>
      <c r="FJ184" s="376">
        <v>1459507.08</v>
      </c>
      <c r="FK184" s="376">
        <v>1848609.33</v>
      </c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1806704.1</v>
      </c>
      <c r="FJ185" s="376">
        <v>1408200</v>
      </c>
      <c r="FK185" s="376">
        <v>1292423.94</v>
      </c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694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5" t="s">
        <v>685</v>
      </c>
      <c r="F215" s="563">
        <v>2006</v>
      </c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4"/>
      <c r="R215" s="563">
        <v>2007</v>
      </c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4"/>
      <c r="AD215" s="563">
        <v>2008</v>
      </c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4"/>
      <c r="AP215" s="563">
        <v>2009</v>
      </c>
      <c r="AQ215" s="562"/>
      <c r="AR215" s="562"/>
      <c r="AS215" s="562"/>
      <c r="AT215" s="562"/>
      <c r="AU215" s="562"/>
      <c r="AV215" s="562"/>
      <c r="AW215" s="562"/>
      <c r="AX215" s="562"/>
      <c r="AY215" s="562"/>
      <c r="AZ215" s="562"/>
      <c r="BA215" s="564"/>
      <c r="BB215" s="563">
        <v>2010</v>
      </c>
      <c r="BC215" s="562"/>
      <c r="BD215" s="562"/>
      <c r="BE215" s="562"/>
      <c r="BF215" s="562"/>
      <c r="BG215" s="562"/>
      <c r="BH215" s="562"/>
      <c r="BI215" s="562"/>
      <c r="BJ215" s="562"/>
      <c r="BK215" s="562"/>
      <c r="BL215" s="562"/>
      <c r="BM215" s="564"/>
      <c r="BN215" s="563">
        <v>2011</v>
      </c>
      <c r="BO215" s="562"/>
      <c r="BP215" s="562"/>
      <c r="BQ215" s="562"/>
      <c r="BR215" s="562"/>
      <c r="BS215" s="562"/>
      <c r="BT215" s="562"/>
      <c r="BU215" s="562"/>
      <c r="BV215" s="562"/>
      <c r="BW215" s="562"/>
      <c r="BX215" s="562"/>
      <c r="BY215" s="564"/>
      <c r="BZ215" s="562">
        <v>2012</v>
      </c>
      <c r="CA215" s="562"/>
      <c r="CB215" s="562"/>
      <c r="CC215" s="562"/>
      <c r="CD215" s="562"/>
      <c r="CE215" s="562"/>
      <c r="CF215" s="562"/>
      <c r="CG215" s="562"/>
      <c r="CH215" s="562"/>
      <c r="CI215" s="562"/>
      <c r="CJ215" s="562"/>
      <c r="CK215" s="562"/>
      <c r="CL215" s="563">
        <v>2013</v>
      </c>
      <c r="CM215" s="562"/>
      <c r="CN215" s="562"/>
      <c r="CO215" s="562"/>
      <c r="CP215" s="562"/>
      <c r="CQ215" s="562"/>
      <c r="CR215" s="562"/>
      <c r="CS215" s="562"/>
      <c r="CT215" s="562"/>
      <c r="CU215" s="562"/>
      <c r="CV215" s="562"/>
      <c r="CW215" s="564"/>
      <c r="CX215" s="563">
        <v>2014</v>
      </c>
      <c r="CY215" s="562"/>
      <c r="CZ215" s="562"/>
      <c r="DA215" s="562"/>
      <c r="DB215" s="562"/>
      <c r="DC215" s="562"/>
      <c r="DD215" s="562"/>
      <c r="DE215" s="562"/>
      <c r="DF215" s="562"/>
      <c r="DG215" s="562"/>
      <c r="DH215" s="562"/>
      <c r="DI215" s="564"/>
      <c r="DJ215" s="563">
        <v>2015</v>
      </c>
      <c r="DK215" s="562"/>
      <c r="DL215" s="562"/>
      <c r="DM215" s="562"/>
      <c r="DN215" s="562"/>
      <c r="DO215" s="562"/>
      <c r="DP215" s="562"/>
      <c r="DQ215" s="562"/>
      <c r="DR215" s="562"/>
      <c r="DS215" s="562"/>
      <c r="DT215" s="562"/>
      <c r="DU215" s="564"/>
    </row>
    <row r="216" spans="1:175">
      <c r="E216" s="565"/>
      <c r="F216" s="75" t="s">
        <v>565</v>
      </c>
      <c r="G216" s="76" t="s">
        <v>566</v>
      </c>
      <c r="H216" s="76" t="s">
        <v>567</v>
      </c>
      <c r="I216" s="76" t="s">
        <v>568</v>
      </c>
      <c r="J216" s="76" t="s">
        <v>569</v>
      </c>
      <c r="K216" s="76" t="s">
        <v>570</v>
      </c>
      <c r="L216" s="76" t="s">
        <v>571</v>
      </c>
      <c r="M216" s="76" t="s">
        <v>572</v>
      </c>
      <c r="N216" s="76" t="s">
        <v>573</v>
      </c>
      <c r="O216" s="76" t="s">
        <v>574</v>
      </c>
      <c r="P216" s="76" t="s">
        <v>575</v>
      </c>
      <c r="Q216" s="77" t="s">
        <v>576</v>
      </c>
      <c r="R216" s="75" t="s">
        <v>577</v>
      </c>
      <c r="S216" s="76" t="s">
        <v>578</v>
      </c>
      <c r="T216" s="76" t="s">
        <v>579</v>
      </c>
      <c r="U216" s="76" t="s">
        <v>580</v>
      </c>
      <c r="V216" s="76" t="s">
        <v>581</v>
      </c>
      <c r="W216" s="76" t="s">
        <v>582</v>
      </c>
      <c r="X216" s="76" t="s">
        <v>583</v>
      </c>
      <c r="Y216" s="76" t="s">
        <v>584</v>
      </c>
      <c r="Z216" s="76" t="s">
        <v>585</v>
      </c>
      <c r="AA216" s="76" t="s">
        <v>586</v>
      </c>
      <c r="AB216" s="76" t="s">
        <v>587</v>
      </c>
      <c r="AC216" s="77" t="s">
        <v>588</v>
      </c>
      <c r="AD216" s="75" t="s">
        <v>589</v>
      </c>
      <c r="AE216" s="76" t="s">
        <v>590</v>
      </c>
      <c r="AF216" s="76" t="s">
        <v>591</v>
      </c>
      <c r="AG216" s="76" t="s">
        <v>592</v>
      </c>
      <c r="AH216" s="76" t="s">
        <v>593</v>
      </c>
      <c r="AI216" s="76" t="s">
        <v>594</v>
      </c>
      <c r="AJ216" s="76" t="s">
        <v>595</v>
      </c>
      <c r="AK216" s="76" t="s">
        <v>596</v>
      </c>
      <c r="AL216" s="76" t="s">
        <v>597</v>
      </c>
      <c r="AM216" s="76" t="s">
        <v>598</v>
      </c>
      <c r="AN216" s="76" t="s">
        <v>599</v>
      </c>
      <c r="AO216" s="77" t="s">
        <v>600</v>
      </c>
      <c r="AP216" s="75" t="s">
        <v>601</v>
      </c>
      <c r="AQ216" s="76" t="s">
        <v>602</v>
      </c>
      <c r="AR216" s="76" t="s">
        <v>603</v>
      </c>
      <c r="AS216" s="76" t="s">
        <v>604</v>
      </c>
      <c r="AT216" s="76" t="s">
        <v>605</v>
      </c>
      <c r="AU216" s="76" t="s">
        <v>606</v>
      </c>
      <c r="AV216" s="76" t="s">
        <v>607</v>
      </c>
      <c r="AW216" s="76" t="s">
        <v>608</v>
      </c>
      <c r="AX216" s="76" t="s">
        <v>609</v>
      </c>
      <c r="AY216" s="76" t="s">
        <v>610</v>
      </c>
      <c r="AZ216" s="76" t="s">
        <v>611</v>
      </c>
      <c r="BA216" s="77" t="s">
        <v>612</v>
      </c>
      <c r="BB216" s="75" t="s">
        <v>613</v>
      </c>
      <c r="BC216" s="76" t="s">
        <v>614</v>
      </c>
      <c r="BD216" s="76" t="s">
        <v>615</v>
      </c>
      <c r="BE216" s="76" t="s">
        <v>616</v>
      </c>
      <c r="BF216" s="76" t="s">
        <v>617</v>
      </c>
      <c r="BG216" s="76" t="s">
        <v>618</v>
      </c>
      <c r="BH216" s="76" t="s">
        <v>619</v>
      </c>
      <c r="BI216" s="76" t="s">
        <v>620</v>
      </c>
      <c r="BJ216" s="76" t="s">
        <v>621</v>
      </c>
      <c r="BK216" s="76" t="s">
        <v>622</v>
      </c>
      <c r="BL216" s="76" t="s">
        <v>623</v>
      </c>
      <c r="BM216" s="77" t="s">
        <v>624</v>
      </c>
      <c r="BN216" s="75" t="s">
        <v>625</v>
      </c>
      <c r="BO216" s="76" t="s">
        <v>626</v>
      </c>
      <c r="BP216" s="76" t="s">
        <v>627</v>
      </c>
      <c r="BQ216" s="76" t="s">
        <v>628</v>
      </c>
      <c r="BR216" s="76" t="s">
        <v>629</v>
      </c>
      <c r="BS216" s="76" t="s">
        <v>630</v>
      </c>
      <c r="BT216" s="76" t="s">
        <v>631</v>
      </c>
      <c r="BU216" s="76" t="s">
        <v>632</v>
      </c>
      <c r="BV216" s="76" t="s">
        <v>633</v>
      </c>
      <c r="BW216" s="76" t="s">
        <v>634</v>
      </c>
      <c r="BX216" s="76" t="s">
        <v>635</v>
      </c>
      <c r="BY216" s="77" t="s">
        <v>636</v>
      </c>
      <c r="BZ216" s="76" t="s">
        <v>637</v>
      </c>
      <c r="CA216" s="76" t="s">
        <v>638</v>
      </c>
      <c r="CB216" s="76" t="s">
        <v>639</v>
      </c>
      <c r="CC216" s="76" t="s">
        <v>640</v>
      </c>
      <c r="CD216" s="76" t="s">
        <v>641</v>
      </c>
      <c r="CE216" s="76" t="s">
        <v>642</v>
      </c>
      <c r="CF216" s="76" t="s">
        <v>643</v>
      </c>
      <c r="CG216" s="76" t="s">
        <v>644</v>
      </c>
      <c r="CH216" s="76" t="s">
        <v>645</v>
      </c>
      <c r="CI216" s="76" t="s">
        <v>646</v>
      </c>
      <c r="CJ216" s="76" t="s">
        <v>647</v>
      </c>
      <c r="CK216" s="76" t="s">
        <v>648</v>
      </c>
      <c r="CL216" s="75" t="s">
        <v>649</v>
      </c>
      <c r="CM216" s="76" t="s">
        <v>650</v>
      </c>
      <c r="CN216" s="76" t="s">
        <v>651</v>
      </c>
      <c r="CO216" s="76" t="s">
        <v>652</v>
      </c>
      <c r="CP216" s="76" t="s">
        <v>653</v>
      </c>
      <c r="CQ216" s="76" t="s">
        <v>654</v>
      </c>
      <c r="CR216" s="76" t="s">
        <v>655</v>
      </c>
      <c r="CS216" s="76" t="s">
        <v>656</v>
      </c>
      <c r="CT216" s="76" t="s">
        <v>657</v>
      </c>
      <c r="CU216" s="76" t="s">
        <v>658</v>
      </c>
      <c r="CV216" s="76" t="s">
        <v>659</v>
      </c>
      <c r="CW216" s="77" t="s">
        <v>660</v>
      </c>
      <c r="CX216" s="75" t="s">
        <v>661</v>
      </c>
      <c r="CY216" s="76" t="s">
        <v>662</v>
      </c>
      <c r="CZ216" s="76" t="s">
        <v>663</v>
      </c>
      <c r="DA216" s="76" t="s">
        <v>664</v>
      </c>
      <c r="DB216" s="76" t="s">
        <v>665</v>
      </c>
      <c r="DC216" s="76" t="s">
        <v>666</v>
      </c>
      <c r="DD216" s="76" t="s">
        <v>667</v>
      </c>
      <c r="DE216" s="76" t="s">
        <v>668</v>
      </c>
      <c r="DF216" s="76" t="s">
        <v>669</v>
      </c>
      <c r="DG216" s="76" t="s">
        <v>670</v>
      </c>
      <c r="DH216" s="76" t="s">
        <v>671</v>
      </c>
      <c r="DI216" s="77" t="s">
        <v>672</v>
      </c>
      <c r="DJ216" s="75" t="s">
        <v>673</v>
      </c>
      <c r="DK216" s="76" t="s">
        <v>674</v>
      </c>
      <c r="DL216" s="76" t="s">
        <v>675</v>
      </c>
      <c r="DM216" s="76" t="s">
        <v>676</v>
      </c>
      <c r="DN216" s="76" t="s">
        <v>677</v>
      </c>
      <c r="DO216" s="76" t="s">
        <v>678</v>
      </c>
      <c r="DP216" s="76" t="s">
        <v>679</v>
      </c>
      <c r="DQ216" s="76" t="s">
        <v>680</v>
      </c>
      <c r="DR216" s="76" t="s">
        <v>681</v>
      </c>
      <c r="DS216" s="76" t="s">
        <v>682</v>
      </c>
      <c r="DT216" s="76" t="s">
        <v>683</v>
      </c>
      <c r="DU216" s="77" t="s">
        <v>684</v>
      </c>
      <c r="DV216" s="42" t="s">
        <v>715</v>
      </c>
      <c r="DW216" s="42" t="s">
        <v>716</v>
      </c>
      <c r="DX216" s="42" t="s">
        <v>717</v>
      </c>
      <c r="DY216" s="42" t="s">
        <v>718</v>
      </c>
      <c r="DZ216" s="42" t="s">
        <v>719</v>
      </c>
      <c r="EA216" s="42" t="s">
        <v>720</v>
      </c>
      <c r="EB216" s="42" t="s">
        <v>721</v>
      </c>
      <c r="EC216" s="42" t="s">
        <v>722</v>
      </c>
      <c r="ED216" s="42" t="s">
        <v>723</v>
      </c>
      <c r="EE216" s="42" t="s">
        <v>724</v>
      </c>
      <c r="EF216" s="42" t="s">
        <v>725</v>
      </c>
      <c r="EG216" s="42" t="s">
        <v>726</v>
      </c>
      <c r="EH216" s="393" t="s">
        <v>737</v>
      </c>
      <c r="EI216" s="393" t="s">
        <v>738</v>
      </c>
      <c r="EJ216" s="393" t="s">
        <v>739</v>
      </c>
      <c r="EK216" s="393" t="s">
        <v>740</v>
      </c>
      <c r="EL216" s="393" t="s">
        <v>741</v>
      </c>
      <c r="EM216" s="393" t="s">
        <v>742</v>
      </c>
      <c r="EN216" s="393" t="s">
        <v>743</v>
      </c>
      <c r="EO216" s="393" t="s">
        <v>744</v>
      </c>
      <c r="EP216" s="393" t="s">
        <v>745</v>
      </c>
      <c r="EQ216" s="393" t="s">
        <v>746</v>
      </c>
      <c r="ER216" s="393" t="s">
        <v>747</v>
      </c>
      <c r="ES216" s="393" t="s">
        <v>748</v>
      </c>
      <c r="ET216" s="393" t="s">
        <v>755</v>
      </c>
      <c r="EU216" s="393" t="s">
        <v>756</v>
      </c>
      <c r="EV216" s="393" t="s">
        <v>757</v>
      </c>
      <c r="EW216" s="393" t="s">
        <v>758</v>
      </c>
      <c r="EX216" s="393" t="s">
        <v>759</v>
      </c>
      <c r="EY216" s="393" t="s">
        <v>760</v>
      </c>
      <c r="EZ216" s="393" t="s">
        <v>761</v>
      </c>
      <c r="FA216" s="393" t="s">
        <v>762</v>
      </c>
      <c r="FB216" s="393" t="s">
        <v>763</v>
      </c>
      <c r="FC216" s="393" t="s">
        <v>764</v>
      </c>
      <c r="FD216" s="393" t="s">
        <v>765</v>
      </c>
      <c r="FE216" s="393" t="s">
        <v>766</v>
      </c>
      <c r="FF216" s="393" t="s">
        <v>779</v>
      </c>
      <c r="FG216" s="393" t="s">
        <v>780</v>
      </c>
      <c r="FH216" s="393" t="s">
        <v>781</v>
      </c>
      <c r="FI216" s="393" t="s">
        <v>782</v>
      </c>
      <c r="FJ216" s="393" t="s">
        <v>783</v>
      </c>
      <c r="FK216" s="393" t="s">
        <v>784</v>
      </c>
      <c r="FL216" s="393" t="s">
        <v>785</v>
      </c>
      <c r="FM216" s="393" t="s">
        <v>786</v>
      </c>
      <c r="FN216" s="393" t="s">
        <v>787</v>
      </c>
      <c r="FO216" s="393" t="s">
        <v>788</v>
      </c>
      <c r="FP216" s="393" t="s">
        <v>789</v>
      </c>
      <c r="FQ216" s="393" t="s">
        <v>790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549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420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694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19" sqref="B19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6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689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777</v>
      </c>
      <c r="F11" s="12" t="s">
        <v>778</v>
      </c>
      <c r="G11" s="52" t="str">
        <f t="shared" si="0"/>
        <v>Mjesečni podaci 2019</v>
      </c>
    </row>
    <row r="12" spans="2:7">
      <c r="D12" s="41"/>
      <c r="E12" s="11" t="s">
        <v>775</v>
      </c>
      <c r="F12" s="12" t="s">
        <v>776</v>
      </c>
      <c r="G12" s="52" t="str">
        <f t="shared" si="0"/>
        <v>Mjesečni podaci 2018</v>
      </c>
    </row>
    <row r="13" spans="2:7">
      <c r="D13" s="41"/>
      <c r="E13" s="11" t="s">
        <v>749</v>
      </c>
      <c r="F13" s="12" t="s">
        <v>750</v>
      </c>
      <c r="G13" s="52" t="str">
        <f t="shared" si="0"/>
        <v>Mjesečni podaci 2017</v>
      </c>
    </row>
    <row r="14" spans="2:7">
      <c r="D14" s="41"/>
      <c r="E14" s="11" t="s">
        <v>727</v>
      </c>
      <c r="F14" s="12" t="s">
        <v>728</v>
      </c>
      <c r="G14" s="52" t="str">
        <f t="shared" si="0"/>
        <v>Mjesečni podaci 2016</v>
      </c>
    </row>
    <row r="15" spans="2:7">
      <c r="E15" s="11" t="s">
        <v>698</v>
      </c>
      <c r="F15" s="12" t="s">
        <v>699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751</v>
      </c>
      <c r="F18" s="12" t="s">
        <v>752</v>
      </c>
      <c r="G18" s="52" t="str">
        <f t="shared" si="0"/>
        <v>Mjesečni podaci 2012</v>
      </c>
    </row>
    <row r="19" spans="2:7">
      <c r="E19" s="11" t="s">
        <v>753</v>
      </c>
      <c r="F19" s="12" t="s">
        <v>754</v>
      </c>
      <c r="G19" s="52" t="str">
        <f t="shared" si="0"/>
        <v>Mjesečni podaci 2011</v>
      </c>
    </row>
    <row r="20" spans="2:7">
      <c r="E20" s="11" t="s">
        <v>18</v>
      </c>
      <c r="F20" s="12" t="s">
        <v>408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415</v>
      </c>
      <c r="F22" s="12" t="s">
        <v>415</v>
      </c>
      <c r="G22" s="52" t="str">
        <f t="shared" si="0"/>
        <v>Plan</v>
      </c>
    </row>
    <row r="23" spans="2:7">
      <c r="E23" s="11" t="s">
        <v>416</v>
      </c>
      <c r="F23" s="12" t="s">
        <v>417</v>
      </c>
      <c r="G23" s="52" t="str">
        <f t="shared" si="0"/>
        <v>Ostvarenje</v>
      </c>
    </row>
    <row r="24" spans="2:7">
      <c r="D24" s="43"/>
      <c r="E24" s="33" t="s">
        <v>418</v>
      </c>
      <c r="F24" s="34" t="s">
        <v>419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690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733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771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124</v>
      </c>
      <c r="F80" s="16" t="s">
        <v>125</v>
      </c>
      <c r="G80" s="52" t="str">
        <f t="shared" si="1"/>
        <v>Tekući izdaci</v>
      </c>
    </row>
    <row r="81" spans="2:7">
      <c r="B81" s="13"/>
      <c r="C81" s="44"/>
      <c r="D81" s="44">
        <v>41</v>
      </c>
      <c r="E81" s="15" t="s">
        <v>794</v>
      </c>
      <c r="F81" s="16" t="s">
        <v>795</v>
      </c>
      <c r="G81" s="52" t="str">
        <f t="shared" si="1"/>
        <v>Tekuća budžetska potrošnja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730</v>
      </c>
      <c r="F96" s="22" t="s">
        <v>732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730</v>
      </c>
      <c r="F148" s="22" t="s">
        <v>731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549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420</v>
      </c>
      <c r="F188" s="16" t="s">
        <v>421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552</v>
      </c>
      <c r="F219" s="96" t="s">
        <v>553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554</v>
      </c>
      <c r="F220" s="96" t="s">
        <v>555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550</v>
      </c>
      <c r="F222" s="96" t="s">
        <v>556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551</v>
      </c>
      <c r="F223" s="96" t="s">
        <v>557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558</v>
      </c>
      <c r="F225" s="96" t="s">
        <v>559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694</v>
      </c>
      <c r="F227" s="96" t="s">
        <v>695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422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427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428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Jun</v>
      </c>
    </row>
    <row r="245" spans="4:7">
      <c r="D245" s="49"/>
      <c r="E245" s="9"/>
      <c r="F245" s="10"/>
      <c r="G245" s="52" t="str">
        <f>+CONCATENATE("Jan - ",LEFT(G244,3))</f>
        <v>Jan - Jun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425</v>
      </c>
      <c r="F248" s="10" t="s">
        <v>426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563</v>
      </c>
      <c r="F251" s="10" t="s">
        <v>560</v>
      </c>
      <c r="G251" s="52" t="str">
        <f t="shared" si="3"/>
        <v>Ostvarenje budžeta</v>
      </c>
    </row>
    <row r="252" spans="4:7">
      <c r="D252" s="46"/>
      <c r="E252" s="9" t="s">
        <v>561</v>
      </c>
      <c r="F252" s="10" t="s">
        <v>562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Jun</v>
      </c>
      <c r="F253" s="10" t="str">
        <f>+CONCATENATE("Analytics for period ",G244)</f>
        <v>Analytics for period Jun</v>
      </c>
      <c r="G253" s="52" t="str">
        <f>+IF(ISBLANK(IF($B$2=1,E253,F253)),"",IF($B$2=1,E253,F253))</f>
        <v>Analitika za period Jun</v>
      </c>
    </row>
    <row r="254" spans="4:7">
      <c r="D254" s="46"/>
      <c r="E254" s="9" t="str">
        <f>+CONCATENATE("Analitika za period ",G245)</f>
        <v>Analitika za period Jan - Jun</v>
      </c>
      <c r="F254" s="10" t="str">
        <f>+CONCATENATE("Analytics for period ",G245)</f>
        <v>Analytics for period Jan - Jun</v>
      </c>
      <c r="G254" s="52" t="str">
        <f>+IF(ISBLANK(IF($B$2=1,E254,F254)),"",IF($B$2=1,E254,F254))</f>
        <v>Analitika za period Jan - Jun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415</v>
      </c>
      <c r="F257" s="10" t="s">
        <v>415</v>
      </c>
      <c r="G257" s="52" t="str">
        <f t="shared" si="3"/>
        <v>Plan</v>
      </c>
    </row>
    <row r="258" spans="4:7">
      <c r="D258" s="46"/>
      <c r="E258" s="9" t="s">
        <v>416</v>
      </c>
      <c r="F258" s="10" t="s">
        <v>417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686</v>
      </c>
      <c r="F260" s="10" t="s">
        <v>687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691</v>
      </c>
      <c r="F262" s="10" t="s">
        <v>692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424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Jun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Jun</v>
      </c>
    </row>
    <row r="271" spans="4:7">
      <c r="E271" s="9" t="s">
        <v>736</v>
      </c>
      <c r="F271" s="10" t="s">
        <v>793</v>
      </c>
      <c r="G271" s="52" t="str">
        <f>+CONCATENATE(IF(ISBLANK(IF($B$2=1,E271,F271)),"",IF($B$2=1,E271,F271))," ",$G$244)</f>
        <v>Suficit/Deficit za mjesec Jun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",$G$244)</f>
        <v>Prihodi za period Januar - Jun</v>
      </c>
    </row>
    <row r="274" spans="5:7">
      <c r="E274" s="9" t="s">
        <v>407</v>
      </c>
      <c r="F274" s="10" t="s">
        <v>410</v>
      </c>
      <c r="G274" s="52" t="str">
        <f>+CONCATENATE(IF(ISBLANK(IF($B$2=1,E274,F274)),"",IF($B$2=1,E274,F274))," ",$G$244)</f>
        <v>Rashodi za period Januar - Jun</v>
      </c>
    </row>
    <row r="275" spans="5:7">
      <c r="E275" s="9" t="s">
        <v>791</v>
      </c>
      <c r="F275" s="10" t="s">
        <v>792</v>
      </c>
      <c r="G275" s="52" t="str">
        <f>+CONCATENATE(IF(ISBLANK(IF($B$2=1,E275,F275)),"",IF($B$2=1,E275,F275))," ",$G$244)</f>
        <v>Suficit/Deficit za period Januar - Jun</v>
      </c>
    </row>
    <row r="277" spans="5:7">
      <c r="E277" s="9" t="s">
        <v>413</v>
      </c>
      <c r="F277" s="10" t="s">
        <v>414</v>
      </c>
      <c r="G277" s="52" t="str">
        <f t="shared" si="3"/>
        <v>Stanje javnog duga (% BDP)</v>
      </c>
    </row>
    <row r="279" spans="5:7">
      <c r="E279" s="9" t="s">
        <v>411</v>
      </c>
      <c r="F279" s="10" t="s">
        <v>412</v>
      </c>
      <c r="G279" s="52" t="str">
        <f t="shared" si="3"/>
        <v>Pregled</v>
      </c>
    </row>
    <row r="281" spans="5:7" ht="60">
      <c r="E281" s="301" t="s">
        <v>696</v>
      </c>
      <c r="F281" s="60" t="s">
        <v>697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F32" sqref="F32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Jun</v>
      </c>
      <c r="E11" s="157"/>
      <c r="F11" s="157"/>
      <c r="G11" s="157"/>
      <c r="H11" s="318" t="str">
        <f>+Master!G273</f>
        <v>Prihodi za period Januar - Jun</v>
      </c>
      <c r="I11" s="319"/>
      <c r="J11" s="307"/>
      <c r="K11" s="158"/>
    </row>
    <row r="12" spans="3:11">
      <c r="C12" s="156"/>
      <c r="D12" s="160">
        <f>+'Analitika - 2019'!N10</f>
        <v>143393601.47999999</v>
      </c>
      <c r="E12" s="161">
        <f>+D12/'2019'!T7</f>
        <v>2.9944785841373261E-2</v>
      </c>
      <c r="F12" s="157"/>
      <c r="G12" s="157"/>
      <c r="H12" s="320">
        <f>+'Analitika - 2019'!G10</f>
        <v>824012872.88</v>
      </c>
      <c r="I12" s="321">
        <f>+H12/'2019'!T7</f>
        <v>0.17207803384705342</v>
      </c>
      <c r="J12" s="307"/>
      <c r="K12" s="158"/>
    </row>
    <row r="13" spans="3:11">
      <c r="C13" s="156"/>
      <c r="D13" s="162" t="s">
        <v>423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Jun</v>
      </c>
      <c r="E15" s="157"/>
      <c r="F15" s="157"/>
      <c r="G15" s="157"/>
      <c r="H15" s="318" t="str">
        <f>+Master!G274</f>
        <v>Rashodi za period Januar - Jun</v>
      </c>
      <c r="I15" s="319"/>
      <c r="J15" s="307"/>
      <c r="K15" s="158"/>
    </row>
    <row r="16" spans="3:11">
      <c r="C16" s="156"/>
      <c r="D16" s="160">
        <f>+'Analitika - 2019'!N29</f>
        <v>144279416.92000002</v>
      </c>
      <c r="E16" s="161">
        <f>+D16/'2019'!T7</f>
        <v>3.0129770062231137E-2</v>
      </c>
      <c r="F16" s="157"/>
      <c r="G16" s="157"/>
      <c r="H16" s="320">
        <f>+'Analitika - 2019'!G29</f>
        <v>887278694.51999998</v>
      </c>
      <c r="I16" s="321">
        <f>+H16/'2019'!T7</f>
        <v>0.1852897912792883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Jun</v>
      </c>
      <c r="E19" s="157"/>
      <c r="F19" s="157"/>
      <c r="G19" s="157"/>
      <c r="H19" s="318" t="str">
        <f>+Master!G275</f>
        <v>Suficit/Deficit za period Januar - Jun</v>
      </c>
      <c r="I19" s="319"/>
      <c r="J19" s="307"/>
      <c r="K19" s="158"/>
    </row>
    <row r="20" spans="3:11">
      <c r="C20" s="156"/>
      <c r="D20" s="160">
        <f>+'Analitika - 2019'!N55</f>
        <v>-885815.44000002742</v>
      </c>
      <c r="E20" s="161">
        <f>+D20/'2019'!T7</f>
        <v>-1.8498422085787649E-4</v>
      </c>
      <c r="F20" s="157"/>
      <c r="G20" s="157"/>
      <c r="H20" s="320">
        <f>+'Analitika - 2019'!G55</f>
        <v>-63265821.64000009</v>
      </c>
      <c r="I20" s="321">
        <f>+H20/'2019'!T7</f>
        <v>-1.321175743223491E-2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02"/>
      <c r="E22" s="503"/>
      <c r="F22" s="503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H20" sqref="H20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2019-06</v>
      </c>
      <c r="O6" s="168" t="str">
        <f>+CONCATENATE(N6,"p")</f>
        <v>2019-06p</v>
      </c>
      <c r="P6" s="152"/>
      <c r="Q6" s="152"/>
      <c r="R6" s="168" t="str">
        <f>+IF(Master!B3-10&gt;=0,CONCATENATE(Master!B4-1,"-",Master!B3),CONCATENATE(Master!B4-1,"-0",Master!B3))</f>
        <v>2018-06</v>
      </c>
      <c r="S6" s="152"/>
      <c r="T6" s="152"/>
    </row>
    <row r="7" spans="1:20">
      <c r="A7" s="169"/>
      <c r="B7" s="484" t="str">
        <f>+Master!G253</f>
        <v>Analitika za period Jun</v>
      </c>
      <c r="C7" s="485"/>
      <c r="D7" s="485"/>
      <c r="E7" s="485"/>
      <c r="F7" s="485"/>
      <c r="G7" s="493" t="str">
        <f>+Master!G245</f>
        <v>Jan - Jun</v>
      </c>
      <c r="H7" s="494"/>
      <c r="I7" s="494"/>
      <c r="J7" s="494"/>
      <c r="K7" s="494"/>
      <c r="L7" s="494"/>
      <c r="M7" s="495"/>
      <c r="N7" s="496" t="str">
        <f>+Master!G244</f>
        <v>Jun</v>
      </c>
      <c r="O7" s="494"/>
      <c r="P7" s="494"/>
      <c r="Q7" s="494"/>
      <c r="R7" s="494"/>
      <c r="S7" s="494"/>
      <c r="T7" s="497"/>
    </row>
    <row r="8" spans="1:20">
      <c r="A8" s="169"/>
      <c r="B8" s="486"/>
      <c r="C8" s="487"/>
      <c r="D8" s="487"/>
      <c r="E8" s="487"/>
      <c r="F8" s="488"/>
      <c r="G8" s="170" t="str">
        <f>+Master!G23</f>
        <v>Ostvarenje</v>
      </c>
      <c r="H8" s="170" t="str">
        <f>+Master!G22</f>
        <v>Plan</v>
      </c>
      <c r="I8" s="482" t="str">
        <f>+Master!G260</f>
        <v>Odstupanje</v>
      </c>
      <c r="J8" s="482"/>
      <c r="K8" s="170" t="str">
        <f>+CONCATENATE(Master!G245," ",Master!B4-1)</f>
        <v>Jan - Jun 2018</v>
      </c>
      <c r="L8" s="482" t="str">
        <f>+I8</f>
        <v>Odstupanje</v>
      </c>
      <c r="M8" s="492"/>
      <c r="N8" s="171" t="str">
        <f>+G8</f>
        <v>Ostvarenje</v>
      </c>
      <c r="O8" s="170" t="str">
        <f>+H8</f>
        <v>Plan</v>
      </c>
      <c r="P8" s="482" t="str">
        <f>+I8</f>
        <v>Odstupanje</v>
      </c>
      <c r="Q8" s="482"/>
      <c r="R8" s="170" t="str">
        <f>+CONCATENATE(Master!G244," ",Master!B4-1)</f>
        <v>Jun 2018</v>
      </c>
      <c r="S8" s="482" t="str">
        <f>+P8</f>
        <v>Odstupanje</v>
      </c>
      <c r="T8" s="483"/>
    </row>
    <row r="9" spans="1:20" ht="15.7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>+SUMPRODUCT(('2019'!$G10:$R10)*('2019'!$G$5:$R$5&lt;=Master!$B$3)*($A10='2019'!$A$10:$A$66))</f>
        <v>824012872.88</v>
      </c>
      <c r="H10" s="176">
        <f>+SUMPRODUCT(('2019'!$G105:$R105)*('2019'!$G$5:$R$5&lt;=Master!$B$3))</f>
        <v>803249070.93161952</v>
      </c>
      <c r="I10" s="177">
        <f>+G10-H10</f>
        <v>20763801.94838047</v>
      </c>
      <c r="J10" s="178">
        <f>+IF(ISNUMBER(G10/H10-1),G10/H10-1,"…")</f>
        <v>2.5849767774145382E-2</v>
      </c>
      <c r="K10" s="176">
        <f>+SUMPRODUCT(('2018'!$G10:$R10)*('2018'!$G$5:$R$5&lt;=Master!$B$3))</f>
        <v>763869703.32000005</v>
      </c>
      <c r="L10" s="177">
        <f>+G10-K10</f>
        <v>60143169.559999943</v>
      </c>
      <c r="M10" s="179">
        <f>+IF(ISNUMBER(G10/K10-1),G10/K10-1,"…")</f>
        <v>7.8734853992245224E-2</v>
      </c>
      <c r="N10" s="176">
        <f>+INDEX('2019'!$1:$1048576,MATCH('Analitika - 2019'!$A10,'2019'!$A:$A,0),MATCH('Analitika - 2019'!$N$6,'2019'!$6:$6,0))</f>
        <v>143393601.47999999</v>
      </c>
      <c r="O10" s="176">
        <f>+INDEX('2019'!$1:$1048576,MATCH(CONCATENATE('Analitika - 2019'!$A10,"p"),'2019'!$A:$A,0),MATCH('Analitika - 2019'!$O$6,'2019'!$101:$101,0))</f>
        <v>147228422.67922965</v>
      </c>
      <c r="P10" s="177">
        <f>+N10-O10</f>
        <v>-3834821.1992296576</v>
      </c>
      <c r="Q10" s="178">
        <f>+IF(ISNUMBER(N10/O10-1),N10/O10-1,"…")</f>
        <v>-2.6046745115137715E-2</v>
      </c>
      <c r="R10" s="176">
        <f>+INDEX('2018'!$1:$1048576,MATCH('Analitika - 2019'!$A10,'2018'!$A:$A,0),MATCH('Analitika - 2019'!$R$6,'2018'!$6:$6,0))</f>
        <v>140708376.15000001</v>
      </c>
      <c r="S10" s="177">
        <f>+N10-R10</f>
        <v>2685225.3299999833</v>
      </c>
      <c r="T10" s="179">
        <f>+IF(ISNUMBER(N10/R10-1),N10/R10-1,"…")</f>
        <v>1.9083621057053746E-2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341">
        <f>+SUMPRODUCT(('2019'!$G11:$R11)*('2019'!$G$5:$R$5&lt;=Master!$B$3)*($A11='2019'!$A$10:$A$66))</f>
        <v>530163627.60999995</v>
      </c>
      <c r="H11" s="341">
        <f>+SUMPRODUCT(('2019'!$G106:$R106)*('2019'!$G$5:$R$5&lt;=Master!$B$3))</f>
        <v>514258267.72960627</v>
      </c>
      <c r="I11" s="183">
        <f>+G11-H11</f>
        <v>15905359.880393684</v>
      </c>
      <c r="J11" s="184">
        <f t="shared" ref="J11:J59" si="0">+IF(ISNUMBER(G11/H11-1),G11/H11-1,"…")</f>
        <v>3.092873927066675E-2</v>
      </c>
      <c r="K11" s="341">
        <f>+SUMPRODUCT(('2018'!$G11:$R11)*('2018'!$G$5:$R$5&lt;=Master!$B$3))</f>
        <v>490211698.02999997</v>
      </c>
      <c r="L11" s="183">
        <f>+G11-K11</f>
        <v>39951929.579999983</v>
      </c>
      <c r="M11" s="185">
        <f t="shared" ref="M11:M59" si="1">+IF(ISNUMBER(G11/K11-1),G11/K11-1,"…")</f>
        <v>8.1499339449779828E-2</v>
      </c>
      <c r="N11" s="341">
        <f>+INDEX('2019'!$1:$1048576,MATCH('Analitika - 2019'!$A11,'2019'!$A:$A,0),MATCH('Analitika - 2019'!$N$6,'2019'!$6:$6,0))</f>
        <v>89389439.689999998</v>
      </c>
      <c r="O11" s="341">
        <f>+INDEX('2019'!$1:$1048576,MATCH(CONCATENATE('Analitika - 2019'!$A11,"p"),'2019'!$A:$A,0),MATCH('Analitika - 2019'!$O$6,'2019'!$101:$101,0))</f>
        <v>91492613.061199591</v>
      </c>
      <c r="P11" s="183">
        <f t="shared" ref="P11:P59" si="2">+N11-O11</f>
        <v>-2103173.3711995929</v>
      </c>
      <c r="Q11" s="184">
        <f t="shared" ref="Q11:Q59" si="3">+IF(ISNUMBER(N11/O11-1),N11/O11-1,"…")</f>
        <v>-2.298735713005351E-2</v>
      </c>
      <c r="R11" s="341">
        <f>+INDEX('2018'!$1:$1048576,MATCH('Analitika - 2019'!$A11,'2018'!$A:$A,0),MATCH('Analitika - 2019'!$R$6,'2018'!$6:$6,0))</f>
        <v>87503254.430000007</v>
      </c>
      <c r="S11" s="183">
        <f t="shared" ref="S11:S59" si="4">+N11-R11</f>
        <v>1886185.2599999905</v>
      </c>
      <c r="T11" s="185">
        <f t="shared" ref="T11:T59" si="5">+IF(ISNUMBER(N11/R11-1),N11/R11-1,"…")</f>
        <v>2.1555601243481659E-2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f>+SUMPRODUCT(('2019'!$G12:$R12)*('2019'!$G$5:$R$5&lt;=Master!$B$3)*($A12='2019'!$A$10:$A$66))</f>
        <v>53751143.780000001</v>
      </c>
      <c r="H12" s="188">
        <f>+SUMPRODUCT(('2019'!$G107:$R107)*('2019'!$G$5:$R$5&lt;=Master!$B$3))</f>
        <v>48381251.619234733</v>
      </c>
      <c r="I12" s="189">
        <f t="shared" ref="I12:I59" si="6">+G12-H12</f>
        <v>5369892.1607652679</v>
      </c>
      <c r="J12" s="190">
        <f t="shared" si="0"/>
        <v>0.1109911790423872</v>
      </c>
      <c r="K12" s="188">
        <f>+SUMPRODUCT(('2018'!$G12:$R12)*('2018'!$G$5:$R$5&lt;=Master!$B$3))</f>
        <v>53101208.940000005</v>
      </c>
      <c r="L12" s="189">
        <f>+G12-K12</f>
        <v>649934.83999999613</v>
      </c>
      <c r="M12" s="191">
        <f t="shared" si="1"/>
        <v>1.2239548834648284E-2</v>
      </c>
      <c r="N12" s="188">
        <f>+INDEX('2019'!$1:$1048576,MATCH('Analitika - 2019'!$A12,'2019'!$A:$A,0),MATCH('Analitika - 2019'!$N$6,'2019'!$6:$6,0))</f>
        <v>10125793.029999999</v>
      </c>
      <c r="O12" s="188">
        <f>+INDEX('2019'!$1:$1048576,MATCH(CONCATENATE('Analitika - 2019'!$A12,"p"),'2019'!$A:$A,0),MATCH('Analitika - 2019'!$O$6,'2019'!$101:$101,0))</f>
        <v>9445633.2450224012</v>
      </c>
      <c r="P12" s="189">
        <f t="shared" si="2"/>
        <v>680159.78497759812</v>
      </c>
      <c r="Q12" s="190">
        <f t="shared" si="3"/>
        <v>7.2007854564544393E-2</v>
      </c>
      <c r="R12" s="188">
        <f>+INDEX('2018'!$1:$1048576,MATCH('Analitika - 2019'!$A12,'2018'!$A:$A,0),MATCH('Analitika - 2019'!$R$6,'2018'!$6:$6,0))</f>
        <v>10475384.99</v>
      </c>
      <c r="S12" s="189">
        <f t="shared" si="4"/>
        <v>-349591.96000000089</v>
      </c>
      <c r="T12" s="191">
        <f t="shared" si="5"/>
        <v>-3.3372707574349625E-2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f>+SUMPRODUCT(('2019'!$G13:$R13)*('2019'!$G$5:$R$5&lt;=Master!$B$3)*($A13='2019'!$A$10:$A$66))</f>
        <v>54234050.359999999</v>
      </c>
      <c r="H13" s="188">
        <f>+SUMPRODUCT(('2019'!$G108:$R108)*('2019'!$G$5:$R$5&lt;=Master!$B$3))</f>
        <v>52247969.416131645</v>
      </c>
      <c r="I13" s="189">
        <f t="shared" si="6"/>
        <v>1986080.943868354</v>
      </c>
      <c r="J13" s="190">
        <f t="shared" si="0"/>
        <v>3.801259582071248E-2</v>
      </c>
      <c r="K13" s="188">
        <f>+SUMPRODUCT(('2018'!$G13:$R13)*('2018'!$G$5:$R$5&lt;=Master!$B$3))</f>
        <v>49608413.489999995</v>
      </c>
      <c r="L13" s="189">
        <f t="shared" ref="L13:L59" si="7">+G13-K13</f>
        <v>4625636.8700000048</v>
      </c>
      <c r="M13" s="191">
        <f t="shared" si="1"/>
        <v>9.3242991351304427E-2</v>
      </c>
      <c r="N13" s="188">
        <f>+INDEX('2019'!$1:$1048576,MATCH('Analitika - 2019'!$A13,'2019'!$A:$A,0),MATCH('Analitika - 2019'!$N$6,'2019'!$6:$6,0))</f>
        <v>3678815</v>
      </c>
      <c r="O13" s="188">
        <f>+INDEX('2019'!$1:$1048576,MATCH(CONCATENATE('Analitika - 2019'!$A13,"p"),'2019'!$A:$A,0),MATCH('Analitika - 2019'!$O$6,'2019'!$101:$101,0))</f>
        <v>3583416.79871599</v>
      </c>
      <c r="P13" s="189">
        <f t="shared" si="2"/>
        <v>95398.201284009963</v>
      </c>
      <c r="Q13" s="190">
        <f t="shared" si="3"/>
        <v>2.6622133746259546E-2</v>
      </c>
      <c r="R13" s="188">
        <f>+INDEX('2018'!$1:$1048576,MATCH('Analitika - 2019'!$A13,'2018'!$A:$A,0),MATCH('Analitika - 2019'!$R$6,'2018'!$6:$6,0))</f>
        <v>3402383.37</v>
      </c>
      <c r="S13" s="189">
        <f t="shared" si="4"/>
        <v>276431.62999999989</v>
      </c>
      <c r="T13" s="191">
        <f t="shared" si="5"/>
        <v>8.1246467531376432E-2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f>+SUMPRODUCT(('2019'!$G14:$R14)*('2019'!$G$5:$R$5&lt;=Master!$B$3)*($A14='2019'!$A$10:$A$66))</f>
        <v>944287.6</v>
      </c>
      <c r="H14" s="188">
        <f>+SUMPRODUCT(('2019'!$G109:$R109)*('2019'!$G$5:$R$5&lt;=Master!$B$3))</f>
        <v>821242.69005926058</v>
      </c>
      <c r="I14" s="189">
        <f t="shared" si="6"/>
        <v>123044.9099407394</v>
      </c>
      <c r="J14" s="190">
        <f t="shared" si="0"/>
        <v>0.14982770797248812</v>
      </c>
      <c r="K14" s="188">
        <f>+SUMPRODUCT(('2018'!$G14:$R14)*('2018'!$G$5:$R$5&lt;=Master!$B$3))</f>
        <v>796767.09</v>
      </c>
      <c r="L14" s="189">
        <f t="shared" si="7"/>
        <v>147520.51</v>
      </c>
      <c r="M14" s="191">
        <f t="shared" si="1"/>
        <v>0.18514884945862908</v>
      </c>
      <c r="N14" s="188">
        <f>+INDEX('2019'!$1:$1048576,MATCH('Analitika - 2019'!$A14,'2019'!$A:$A,0),MATCH('Analitika - 2019'!$N$6,'2019'!$6:$6,0))</f>
        <v>158253.64000000001</v>
      </c>
      <c r="O14" s="188">
        <f>+INDEX('2019'!$1:$1048576,MATCH(CONCATENATE('Analitika - 2019'!$A14,"p"),'2019'!$A:$A,0),MATCH('Analitika - 2019'!$O$6,'2019'!$101:$101,0))</f>
        <v>125876.16325992151</v>
      </c>
      <c r="P14" s="189">
        <f t="shared" si="2"/>
        <v>32377.476740078506</v>
      </c>
      <c r="Q14" s="190">
        <f t="shared" si="3"/>
        <v>0.25721690192623914</v>
      </c>
      <c r="R14" s="188">
        <f>+INDEX('2018'!$1:$1048576,MATCH('Analitika - 2019'!$A14,'2018'!$A:$A,0),MATCH('Analitika - 2019'!$R$6,'2018'!$6:$6,0))</f>
        <v>122124.66</v>
      </c>
      <c r="S14" s="189">
        <f t="shared" si="4"/>
        <v>36128.98000000001</v>
      </c>
      <c r="T14" s="191">
        <f t="shared" si="5"/>
        <v>0.29583689322041917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f>+SUMPRODUCT(('2019'!$G15:$R15)*('2019'!$G$5:$R$5&lt;=Master!$B$3)*($A15='2019'!$A$10:$A$66))</f>
        <v>303685074.31</v>
      </c>
      <c r="H15" s="188">
        <f>+SUMPRODUCT(('2019'!$G110:$R110)*('2019'!$G$5:$R$5&lt;=Master!$B$3))</f>
        <v>294111586.24422807</v>
      </c>
      <c r="I15" s="189">
        <f t="shared" si="6"/>
        <v>9573488.0657719374</v>
      </c>
      <c r="J15" s="190">
        <f t="shared" si="0"/>
        <v>3.2550530184901172E-2</v>
      </c>
      <c r="K15" s="188">
        <f>+SUMPRODUCT(('2018'!$G15:$R15)*('2018'!$G$5:$R$5&lt;=Master!$B$3))</f>
        <v>276027947.92000002</v>
      </c>
      <c r="L15" s="189">
        <f t="shared" si="7"/>
        <v>27657126.389999986</v>
      </c>
      <c r="M15" s="191">
        <f t="shared" si="1"/>
        <v>0.10019683368444898</v>
      </c>
      <c r="N15" s="188">
        <f>+INDEX('2019'!$1:$1048576,MATCH('Analitika - 2019'!$A15,'2019'!$A:$A,0),MATCH('Analitika - 2019'!$N$6,'2019'!$6:$6,0))</f>
        <v>52810087.229999997</v>
      </c>
      <c r="O15" s="188">
        <f>+INDEX('2019'!$1:$1048576,MATCH(CONCATENATE('Analitika - 2019'!$A15,"p"),'2019'!$A:$A,0),MATCH('Analitika - 2019'!$O$6,'2019'!$101:$101,0))</f>
        <v>55167623.820050351</v>
      </c>
      <c r="P15" s="189">
        <f t="shared" si="2"/>
        <v>-2357536.5900503546</v>
      </c>
      <c r="Q15" s="190">
        <f t="shared" si="3"/>
        <v>-4.2734060791531192E-2</v>
      </c>
      <c r="R15" s="188">
        <f>+INDEX('2018'!$1:$1048576,MATCH('Analitika - 2019'!$A15,'2018'!$A:$A,0),MATCH('Analitika - 2019'!$R$6,'2018'!$6:$6,0))</f>
        <v>52130099.289999999</v>
      </c>
      <c r="S15" s="189">
        <f t="shared" si="4"/>
        <v>679987.93999999762</v>
      </c>
      <c r="T15" s="191">
        <f t="shared" si="5"/>
        <v>1.3044056106956914E-2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f>+SUMPRODUCT(('2019'!$G16:$R16)*('2019'!$G$5:$R$5&lt;=Master!$B$3)*($A16='2019'!$A$10:$A$66))</f>
        <v>97116728.040000007</v>
      </c>
      <c r="H16" s="188">
        <f>+SUMPRODUCT(('2019'!$G111:$R111)*('2019'!$G$5:$R$5&lt;=Master!$B$3))</f>
        <v>101606207.56917427</v>
      </c>
      <c r="I16" s="189">
        <f t="shared" si="6"/>
        <v>-4489479.5291742682</v>
      </c>
      <c r="J16" s="190">
        <f t="shared" si="0"/>
        <v>-4.4185091015406686E-2</v>
      </c>
      <c r="K16" s="188">
        <f>+SUMPRODUCT(('2018'!$G16:$R16)*('2018'!$G$5:$R$5&lt;=Master!$B$3))</f>
        <v>94041782.299999997</v>
      </c>
      <c r="L16" s="189">
        <f t="shared" si="7"/>
        <v>3074945.7400000095</v>
      </c>
      <c r="M16" s="191">
        <f t="shared" si="1"/>
        <v>3.269765485931253E-2</v>
      </c>
      <c r="N16" s="188">
        <f>+INDEX('2019'!$1:$1048576,MATCH('Analitika - 2019'!$A16,'2019'!$A:$A,0),MATCH('Analitika - 2019'!$N$6,'2019'!$6:$6,0))</f>
        <v>19205497.870000001</v>
      </c>
      <c r="O16" s="188">
        <f>+INDEX('2019'!$1:$1048576,MATCH(CONCATENATE('Analitika - 2019'!$A16,"p"),'2019'!$A:$A,0),MATCH('Analitika - 2019'!$O$6,'2019'!$101:$101,0))</f>
        <v>19831823.145692226</v>
      </c>
      <c r="P16" s="189">
        <f t="shared" si="2"/>
        <v>-626325.2756922245</v>
      </c>
      <c r="Q16" s="190">
        <f t="shared" si="3"/>
        <v>-3.1581830429355806E-2</v>
      </c>
      <c r="R16" s="188">
        <f>+INDEX('2018'!$1:$1048576,MATCH('Analitika - 2019'!$A16,'2018'!$A:$A,0),MATCH('Analitika - 2019'!$R$6,'2018'!$6:$6,0))</f>
        <v>18124078.879999999</v>
      </c>
      <c r="S16" s="189">
        <f t="shared" si="4"/>
        <v>1081418.9900000021</v>
      </c>
      <c r="T16" s="191">
        <f t="shared" si="5"/>
        <v>5.9667528328479769E-2</v>
      </c>
    </row>
    <row r="17" spans="1:23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f>+SUMPRODUCT(('2019'!$G17:$R17)*('2019'!$G$5:$R$5&lt;=Master!$B$3)*($A17='2019'!$A$10:$A$66))</f>
        <v>13140970.15</v>
      </c>
      <c r="H17" s="188">
        <f>+SUMPRODUCT(('2019'!$G112:$R112)*('2019'!$G$5:$R$5&lt;=Master!$B$3))</f>
        <v>12565299.798209865</v>
      </c>
      <c r="I17" s="189">
        <f t="shared" si="6"/>
        <v>575670.35179013573</v>
      </c>
      <c r="J17" s="190">
        <f t="shared" si="0"/>
        <v>4.5814295005691008E-2</v>
      </c>
      <c r="K17" s="188">
        <f>+SUMPRODUCT(('2018'!$G17:$R17)*('2018'!$G$5:$R$5&lt;=Master!$B$3))</f>
        <v>12246546.5</v>
      </c>
      <c r="L17" s="189">
        <f t="shared" si="7"/>
        <v>894423.65000000037</v>
      </c>
      <c r="M17" s="191">
        <f t="shared" si="1"/>
        <v>7.303476535201181E-2</v>
      </c>
      <c r="N17" s="188">
        <f>+INDEX('2019'!$1:$1048576,MATCH('Analitika - 2019'!$A17,'2019'!$A:$A,0),MATCH('Analitika - 2019'!$N$6,'2019'!$6:$6,0))</f>
        <v>2485583.9700000002</v>
      </c>
      <c r="O17" s="188">
        <f>+INDEX('2019'!$1:$1048576,MATCH(CONCATENATE('Analitika - 2019'!$A17,"p"),'2019'!$A:$A,0),MATCH('Analitika - 2019'!$O$6,'2019'!$101:$101,0))</f>
        <v>2391366.8090515211</v>
      </c>
      <c r="P17" s="189">
        <f t="shared" si="2"/>
        <v>94217.160948479082</v>
      </c>
      <c r="Q17" s="190">
        <f t="shared" si="3"/>
        <v>3.9398874564896991E-2</v>
      </c>
      <c r="R17" s="188">
        <f>+INDEX('2018'!$1:$1048576,MATCH('Analitika - 2019'!$A17,'2018'!$A:$A,0),MATCH('Analitika - 2019'!$R$6,'2018'!$6:$6,0))</f>
        <v>2330703.23</v>
      </c>
      <c r="S17" s="189">
        <f t="shared" si="4"/>
        <v>154880.74000000022</v>
      </c>
      <c r="T17" s="191">
        <f t="shared" si="5"/>
        <v>6.6452364250595863E-2</v>
      </c>
    </row>
    <row r="18" spans="1:23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f>+SUMPRODUCT(('2019'!$G18:$R18)*('2019'!$G$5:$R$5&lt;=Master!$B$3)*($A18='2019'!$A$10:$A$66))</f>
        <v>7291373.3700000001</v>
      </c>
      <c r="H18" s="188">
        <f>+SUMPRODUCT(('2019'!$G113:$R113)*('2019'!$G$5:$R$5&lt;=Master!$B$3))</f>
        <v>4524710.3925683592</v>
      </c>
      <c r="I18" s="189">
        <f t="shared" si="6"/>
        <v>2766662.977431641</v>
      </c>
      <c r="J18" s="190">
        <f t="shared" si="0"/>
        <v>0.6114563667932793</v>
      </c>
      <c r="K18" s="188">
        <f>+SUMPRODUCT(('2018'!$G18:$R18)*('2018'!$G$5:$R$5&lt;=Master!$B$3))</f>
        <v>4389031.79</v>
      </c>
      <c r="L18" s="189">
        <f t="shared" si="7"/>
        <v>2902341.58</v>
      </c>
      <c r="M18" s="191">
        <f t="shared" si="1"/>
        <v>0.66127148739562891</v>
      </c>
      <c r="N18" s="188">
        <f>+INDEX('2019'!$1:$1048576,MATCH('Analitika - 2019'!$A18,'2019'!$A:$A,0),MATCH('Analitika - 2019'!$N$6,'2019'!$6:$6,0))</f>
        <v>925408.95</v>
      </c>
      <c r="O18" s="188">
        <f>+INDEX('2019'!$1:$1048576,MATCH(CONCATENATE('Analitika - 2019'!$A18,"p"),'2019'!$A:$A,0),MATCH('Analitika - 2019'!$O$6,'2019'!$101:$101,0))</f>
        <v>946873.07940717612</v>
      </c>
      <c r="P18" s="189">
        <f t="shared" si="2"/>
        <v>-21464.129407176166</v>
      </c>
      <c r="Q18" s="190">
        <f t="shared" si="3"/>
        <v>-2.2668433472218474E-2</v>
      </c>
      <c r="R18" s="188">
        <f>+INDEX('2018'!$1:$1048576,MATCH('Analitika - 2019'!$A18,'2018'!$A:$A,0),MATCH('Analitika - 2019'!$R$6,'2018'!$6:$6,0))</f>
        <v>918480.01</v>
      </c>
      <c r="S18" s="189">
        <f t="shared" si="4"/>
        <v>6928.9399999999441</v>
      </c>
      <c r="T18" s="191">
        <f t="shared" si="5"/>
        <v>7.5439203080749362E-3</v>
      </c>
    </row>
    <row r="19" spans="1:23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+SUMPRODUCT(('2019'!$G19:$R19)*('2019'!$G$5:$R$5&lt;=Master!$B$3)*($A19='2019'!$A$10:$A$66))</f>
        <v>232526810.61999997</v>
      </c>
      <c r="H19" s="194">
        <f>+SUMPRODUCT(('2019'!$G114:$R114)*('2019'!$G$5:$R$5&lt;=Master!$B$3))</f>
        <v>220815886.35251176</v>
      </c>
      <c r="I19" s="195">
        <f t="shared" si="6"/>
        <v>11710924.267488211</v>
      </c>
      <c r="J19" s="196">
        <f t="shared" si="0"/>
        <v>5.3034790480576355E-2</v>
      </c>
      <c r="K19" s="194">
        <f>+SUMPRODUCT(('2018'!$G19:$R19)*('2018'!$G$5:$R$5&lt;=Master!$B$3))</f>
        <v>218059646.81999999</v>
      </c>
      <c r="L19" s="195">
        <f t="shared" si="7"/>
        <v>14467163.799999982</v>
      </c>
      <c r="M19" s="197">
        <f t="shared" si="1"/>
        <v>6.6344984094842907E-2</v>
      </c>
      <c r="N19" s="194">
        <f>+INDEX('2019'!$1:$1048576,MATCH('Analitika - 2019'!$A19,'2019'!$A:$A,0),MATCH('Analitika - 2019'!$N$6,'2019'!$6:$6,0))</f>
        <v>45280786.509999998</v>
      </c>
      <c r="O19" s="194">
        <f>+INDEX('2019'!$1:$1048576,MATCH(CONCATENATE('Analitika - 2019'!$A19,"p"),'2019'!$A:$A,0),MATCH('Analitika - 2019'!$O$6,'2019'!$101:$101,0))</f>
        <v>42603078.705825843</v>
      </c>
      <c r="P19" s="195">
        <f t="shared" si="2"/>
        <v>2677707.804174155</v>
      </c>
      <c r="Q19" s="196">
        <f t="shared" si="3"/>
        <v>6.2852448356226054E-2</v>
      </c>
      <c r="R19" s="194">
        <f>+INDEX('2018'!$1:$1048576,MATCH('Analitika - 2019'!$A19,'2018'!$A:$A,0),MATCH('Analitika - 2019'!$R$6,'2018'!$6:$6,0))</f>
        <v>42077356.240000002</v>
      </c>
      <c r="S19" s="195">
        <f t="shared" si="4"/>
        <v>3203430.2699999958</v>
      </c>
      <c r="T19" s="197">
        <f t="shared" si="5"/>
        <v>7.6131928339991939E-2</v>
      </c>
    </row>
    <row r="20" spans="1:23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f>+SUMPRODUCT(('2019'!$G20:$R20)*('2019'!$G$5:$R$5&lt;=Master!$B$3)*($A20='2019'!$A$10:$A$66))</f>
        <v>136978398.88999999</v>
      </c>
      <c r="H20" s="188">
        <f>+SUMPRODUCT(('2019'!$G115:$R115)*('2019'!$G$5:$R$5&lt;=Master!$B$3))</f>
        <v>133994728.18595444</v>
      </c>
      <c r="I20" s="189">
        <f t="shared" si="6"/>
        <v>2983670.704045549</v>
      </c>
      <c r="J20" s="190">
        <f t="shared" si="0"/>
        <v>2.2267075312880191E-2</v>
      </c>
      <c r="K20" s="188">
        <f>+SUMPRODUCT(('2018'!$G20:$R20)*('2018'!$G$5:$R$5&lt;=Master!$B$3))</f>
        <v>132038028.10000001</v>
      </c>
      <c r="L20" s="189">
        <f t="shared" si="7"/>
        <v>4940370.7899999768</v>
      </c>
      <c r="M20" s="191">
        <f t="shared" si="1"/>
        <v>3.7416272123197425E-2</v>
      </c>
      <c r="N20" s="188">
        <f>+INDEX('2019'!$1:$1048576,MATCH('Analitika - 2019'!$A20,'2019'!$A:$A,0),MATCH('Analitika - 2019'!$N$6,'2019'!$6:$6,0))</f>
        <v>27009559.609999999</v>
      </c>
      <c r="O20" s="188">
        <f>+INDEX('2019'!$1:$1048576,MATCH(CONCATENATE('Analitika - 2019'!$A20,"p"),'2019'!$A:$A,0),MATCH('Analitika - 2019'!$O$6,'2019'!$101:$101,0))</f>
        <v>25522109.790882807</v>
      </c>
      <c r="P20" s="189">
        <f t="shared" si="2"/>
        <v>1487449.8191171922</v>
      </c>
      <c r="Q20" s="190">
        <f t="shared" si="3"/>
        <v>5.8280833023003131E-2</v>
      </c>
      <c r="R20" s="188">
        <f>+INDEX('2018'!$1:$1048576,MATCH('Analitika - 2019'!$A20,'2018'!$A:$A,0),MATCH('Analitika - 2019'!$R$6,'2018'!$6:$6,0))</f>
        <v>25149415.170000002</v>
      </c>
      <c r="S20" s="189">
        <f t="shared" si="4"/>
        <v>1860144.4399999976</v>
      </c>
      <c r="T20" s="191">
        <f t="shared" si="5"/>
        <v>7.3963725495251653E-2</v>
      </c>
    </row>
    <row r="21" spans="1:23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f>+SUMPRODUCT(('2019'!$G21:$R21)*('2019'!$G$5:$R$5&lt;=Master!$B$3)*($A21='2019'!$A$10:$A$66))</f>
        <v>83172716.269999996</v>
      </c>
      <c r="H21" s="188">
        <f>+SUMPRODUCT(('2019'!$G116:$R116)*('2019'!$G$5:$R$5&lt;=Master!$B$3))</f>
        <v>75922169.825155035</v>
      </c>
      <c r="I21" s="189">
        <f t="shared" si="6"/>
        <v>7250546.4448449612</v>
      </c>
      <c r="J21" s="190">
        <f t="shared" si="0"/>
        <v>9.549972638483073E-2</v>
      </c>
      <c r="K21" s="188">
        <f>+SUMPRODUCT(('2018'!$G21:$R21)*('2018'!$G$5:$R$5&lt;=Master!$B$3))</f>
        <v>75271592.719999999</v>
      </c>
      <c r="L21" s="189">
        <f t="shared" si="7"/>
        <v>7901123.549999997</v>
      </c>
      <c r="M21" s="191">
        <f t="shared" si="1"/>
        <v>0.10496819934966828</v>
      </c>
      <c r="N21" s="188">
        <f>+INDEX('2019'!$1:$1048576,MATCH('Analitika - 2019'!$A21,'2019'!$A:$A,0),MATCH('Analitika - 2019'!$N$6,'2019'!$6:$6,0))</f>
        <v>15925774.34</v>
      </c>
      <c r="O21" s="188">
        <f>+INDEX('2019'!$1:$1048576,MATCH(CONCATENATE('Analitika - 2019'!$A21,"p"),'2019'!$A:$A,0),MATCH('Analitika - 2019'!$O$6,'2019'!$101:$101,0))</f>
        <v>15027164.196316766</v>
      </c>
      <c r="P21" s="189">
        <f t="shared" si="2"/>
        <v>898610.14368323423</v>
      </c>
      <c r="Q21" s="190">
        <f t="shared" si="3"/>
        <v>5.9799050036565715E-2</v>
      </c>
      <c r="R21" s="188">
        <f>+INDEX('2018'!$1:$1048576,MATCH('Analitika - 2019'!$A21,'2018'!$A:$A,0),MATCH('Analitika - 2019'!$R$6,'2018'!$6:$6,0))</f>
        <v>14898396.42</v>
      </c>
      <c r="S21" s="189">
        <f t="shared" si="4"/>
        <v>1027377.9199999999</v>
      </c>
      <c r="T21" s="191">
        <f t="shared" si="5"/>
        <v>6.895895981266964E-2</v>
      </c>
    </row>
    <row r="22" spans="1:23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f>+SUMPRODUCT(('2019'!$G22:$R22)*('2019'!$G$5:$R$5&lt;=Master!$B$3)*($A22='2019'!$A$10:$A$66))</f>
        <v>6380545.2700000005</v>
      </c>
      <c r="H22" s="188">
        <f>+SUMPRODUCT(('2019'!$G117:$R117)*('2019'!$G$5:$R$5&lt;=Master!$B$3))</f>
        <v>5383720.0798709756</v>
      </c>
      <c r="I22" s="189">
        <f t="shared" si="6"/>
        <v>996825.19012902491</v>
      </c>
      <c r="J22" s="190">
        <f t="shared" si="0"/>
        <v>0.18515546412898098</v>
      </c>
      <c r="K22" s="188">
        <f>+SUMPRODUCT(('2018'!$G22:$R22)*('2018'!$G$5:$R$5&lt;=Master!$B$3))</f>
        <v>5599513.4800000004</v>
      </c>
      <c r="L22" s="189">
        <f t="shared" si="7"/>
        <v>781031.79</v>
      </c>
      <c r="M22" s="191">
        <f t="shared" si="1"/>
        <v>0.1394820805038941</v>
      </c>
      <c r="N22" s="188">
        <f>+INDEX('2019'!$1:$1048576,MATCH('Analitika - 2019'!$A22,'2019'!$A:$A,0),MATCH('Analitika - 2019'!$N$6,'2019'!$6:$6,0))</f>
        <v>1222753.49</v>
      </c>
      <c r="O22" s="188">
        <f>+INDEX('2019'!$1:$1048576,MATCH(CONCATENATE('Analitika - 2019'!$A22,"p"),'2019'!$A:$A,0),MATCH('Analitika - 2019'!$O$6,'2019'!$101:$101,0))</f>
        <v>1050381.0843362929</v>
      </c>
      <c r="P22" s="189">
        <f t="shared" si="2"/>
        <v>172372.40566370706</v>
      </c>
      <c r="Q22" s="190">
        <f t="shared" si="3"/>
        <v>0.16410463614986415</v>
      </c>
      <c r="R22" s="188">
        <f>+INDEX('2018'!$1:$1048576,MATCH('Analitika - 2019'!$A22,'2018'!$A:$A,0),MATCH('Analitika - 2019'!$R$6,'2018'!$6:$6,0))</f>
        <v>1092483.07</v>
      </c>
      <c r="S22" s="189">
        <f t="shared" si="4"/>
        <v>130270.41999999993</v>
      </c>
      <c r="T22" s="191">
        <f t="shared" si="5"/>
        <v>0.11924250688845905</v>
      </c>
    </row>
    <row r="23" spans="1:23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f>+SUMPRODUCT(('2019'!$G23:$R23)*('2019'!$G$5:$R$5&lt;=Master!$B$3)*($A23='2019'!$A$10:$A$66))</f>
        <v>5995150.1900000004</v>
      </c>
      <c r="H23" s="188">
        <f>+SUMPRODUCT(('2019'!$G118:$R118)*('2019'!$G$5:$R$5&lt;=Master!$B$3))</f>
        <v>5515268.2615313251</v>
      </c>
      <c r="I23" s="189">
        <f t="shared" si="6"/>
        <v>479881.92846867535</v>
      </c>
      <c r="J23" s="190">
        <f t="shared" si="0"/>
        <v>8.7009716610853438E-2</v>
      </c>
      <c r="K23" s="188">
        <f>+SUMPRODUCT(('2018'!$G23:$R23)*('2018'!$G$5:$R$5&lt;=Master!$B$3))</f>
        <v>5150512.5199999996</v>
      </c>
      <c r="L23" s="189">
        <f t="shared" si="7"/>
        <v>844637.67000000086</v>
      </c>
      <c r="M23" s="191">
        <f t="shared" si="1"/>
        <v>0.16399099443408427</v>
      </c>
      <c r="N23" s="188">
        <f>+INDEX('2019'!$1:$1048576,MATCH('Analitika - 2019'!$A23,'2019'!$A:$A,0),MATCH('Analitika - 2019'!$N$6,'2019'!$6:$6,0))</f>
        <v>1122699.07</v>
      </c>
      <c r="O23" s="188">
        <f>+INDEX('2019'!$1:$1048576,MATCH(CONCATENATE('Analitika - 2019'!$A23,"p"),'2019'!$A:$A,0),MATCH('Analitika - 2019'!$O$6,'2019'!$101:$101,0))</f>
        <v>1003423.6342899711</v>
      </c>
      <c r="P23" s="189">
        <f t="shared" si="2"/>
        <v>119275.43571002898</v>
      </c>
      <c r="Q23" s="190">
        <f t="shared" si="3"/>
        <v>0.11886847352806185</v>
      </c>
      <c r="R23" s="188">
        <f>+INDEX('2018'!$1:$1048576,MATCH('Analitika - 2019'!$A23,'2018'!$A:$A,0),MATCH('Analitika - 2019'!$R$6,'2018'!$6:$6,0))</f>
        <v>937061.58</v>
      </c>
      <c r="S23" s="189">
        <f t="shared" si="4"/>
        <v>185637.49000000011</v>
      </c>
      <c r="T23" s="191">
        <f t="shared" si="5"/>
        <v>0.19810596652570056</v>
      </c>
      <c r="W23" s="451"/>
    </row>
    <row r="24" spans="1:23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f>+SUMPRODUCT(('2019'!$G24:$R24)*('2019'!$G$5:$R$5&lt;=Master!$B$3)*($A24='2019'!$A$10:$A$66))</f>
        <v>6710488.8600000003</v>
      </c>
      <c r="H24" s="200">
        <f>+SUMPRODUCT(('2019'!$G119:$R119)*('2019'!$G$5:$R$5&lt;=Master!$B$3))</f>
        <v>6149391.9041290265</v>
      </c>
      <c r="I24" s="201">
        <f t="shared" si="6"/>
        <v>561096.95587097388</v>
      </c>
      <c r="J24" s="202">
        <f t="shared" si="0"/>
        <v>9.1244299374418469E-2</v>
      </c>
      <c r="K24" s="200">
        <f>+SUMPRODUCT(('2018'!$G24:$R24)*('2018'!$G$5:$R$5&lt;=Master!$B$3))</f>
        <v>7065685.709999999</v>
      </c>
      <c r="L24" s="201">
        <f t="shared" si="7"/>
        <v>-355196.8499999987</v>
      </c>
      <c r="M24" s="203">
        <f t="shared" si="1"/>
        <v>-5.0270683494638257E-2</v>
      </c>
      <c r="N24" s="200">
        <f>+INDEX('2019'!$1:$1048576,MATCH('Analitika - 2019'!$A24,'2019'!$A:$A,0),MATCH('Analitika - 2019'!$N$6,'2019'!$6:$6,0))</f>
        <v>1252534.6599999999</v>
      </c>
      <c r="O24" s="200">
        <f>+INDEX('2019'!$1:$1048576,MATCH(CONCATENATE('Analitika - 2019'!$A24,"p"),'2019'!$A:$A,0),MATCH('Analitika - 2019'!$O$6,'2019'!$101:$101,0))</f>
        <v>1410094.209853129</v>
      </c>
      <c r="P24" s="201">
        <f t="shared" si="2"/>
        <v>-157559.54985312908</v>
      </c>
      <c r="Q24" s="202">
        <f t="shared" si="3"/>
        <v>-0.111736895841548</v>
      </c>
      <c r="R24" s="200">
        <f>+INDEX('2018'!$1:$1048576,MATCH('Analitika - 2019'!$A24,'2018'!$A:$A,0),MATCH('Analitika - 2019'!$R$6,'2018'!$6:$6,0))</f>
        <v>1616613.69</v>
      </c>
      <c r="S24" s="201">
        <f t="shared" si="4"/>
        <v>-364079.03</v>
      </c>
      <c r="T24" s="203">
        <f t="shared" si="5"/>
        <v>-0.22521090366369467</v>
      </c>
    </row>
    <row r="25" spans="1:23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f>+SUMPRODUCT(('2019'!$G25:$R25)*('2019'!$G$5:$R$5&lt;=Master!$B$3)*($A25='2019'!$A$10:$A$66))</f>
        <v>13448784.5</v>
      </c>
      <c r="H25" s="200">
        <f>+SUMPRODUCT(('2019'!$G120:$R120)*('2019'!$G$5:$R$5&lt;=Master!$B$3))</f>
        <v>14675015.474478459</v>
      </c>
      <c r="I25" s="201">
        <f t="shared" si="6"/>
        <v>-1226230.974478459</v>
      </c>
      <c r="J25" s="202">
        <f t="shared" si="0"/>
        <v>-8.3559092432373583E-2</v>
      </c>
      <c r="K25" s="200">
        <f>+SUMPRODUCT(('2018'!$G25:$R25)*('2018'!$G$5:$R$5&lt;=Master!$B$3))</f>
        <v>12442148.739999998</v>
      </c>
      <c r="L25" s="201">
        <f t="shared" si="7"/>
        <v>1006635.7600000016</v>
      </c>
      <c r="M25" s="203">
        <f t="shared" si="1"/>
        <v>8.0905298677533821E-2</v>
      </c>
      <c r="N25" s="200">
        <f>+INDEX('2019'!$1:$1048576,MATCH('Analitika - 2019'!$A25,'2019'!$A:$A,0),MATCH('Analitika - 2019'!$N$6,'2019'!$6:$6,0))</f>
        <v>2081141.31</v>
      </c>
      <c r="O25" s="200">
        <f>+INDEX('2019'!$1:$1048576,MATCH(CONCATENATE('Analitika - 2019'!$A25,"p"),'2019'!$A:$A,0),MATCH('Analitika - 2019'!$O$6,'2019'!$101:$101,0))</f>
        <v>4191264.8807704193</v>
      </c>
      <c r="P25" s="201">
        <f t="shared" si="2"/>
        <v>-2110123.5707704192</v>
      </c>
      <c r="Q25" s="202">
        <f t="shared" si="3"/>
        <v>-0.5034574599309376</v>
      </c>
      <c r="R25" s="200">
        <f>+INDEX('2018'!$1:$1048576,MATCH('Analitika - 2019'!$A25,'2018'!$A:$A,0),MATCH('Analitika - 2019'!$R$6,'2018'!$6:$6,0))</f>
        <v>2860047.35</v>
      </c>
      <c r="S25" s="201">
        <f t="shared" si="4"/>
        <v>-778906.04</v>
      </c>
      <c r="T25" s="203">
        <f t="shared" si="5"/>
        <v>-0.27234026038065418</v>
      </c>
    </row>
    <row r="26" spans="1:23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f>+SUMPRODUCT(('2019'!$G26:$R26)*('2019'!$G$5:$R$5&lt;=Master!$B$3)*($A26='2019'!$A$10:$A$66))</f>
        <v>19768975.18</v>
      </c>
      <c r="H26" s="200">
        <f>+SUMPRODUCT(('2019'!$G121:$R121)*('2019'!$G$5:$R$5&lt;=Master!$B$3))</f>
        <v>17072298.027566627</v>
      </c>
      <c r="I26" s="201">
        <f t="shared" si="6"/>
        <v>2696677.152433373</v>
      </c>
      <c r="J26" s="202">
        <f t="shared" si="0"/>
        <v>0.15795630723403797</v>
      </c>
      <c r="K26" s="200">
        <f>+SUMPRODUCT(('2018'!$G26:$R26)*('2018'!$G$5:$R$5&lt;=Master!$B$3))</f>
        <v>16456285.470000001</v>
      </c>
      <c r="L26" s="201">
        <f t="shared" si="7"/>
        <v>3312689.709999999</v>
      </c>
      <c r="M26" s="203">
        <f t="shared" si="1"/>
        <v>0.20130239694972918</v>
      </c>
      <c r="N26" s="200">
        <f>+INDEX('2019'!$1:$1048576,MATCH('Analitika - 2019'!$A26,'2019'!$A:$A,0),MATCH('Analitika - 2019'!$N$6,'2019'!$6:$6,0))</f>
        <v>3263135.44</v>
      </c>
      <c r="O26" s="200">
        <f>+INDEX('2019'!$1:$1048576,MATCH(CONCATENATE('Analitika - 2019'!$A26,"p"),'2019'!$A:$A,0),MATCH('Analitika - 2019'!$O$6,'2019'!$101:$101,0))</f>
        <v>2912728.6031032563</v>
      </c>
      <c r="P26" s="201">
        <f t="shared" si="2"/>
        <v>350406.83689674363</v>
      </c>
      <c r="Q26" s="202">
        <f t="shared" si="3"/>
        <v>0.1203019177699618</v>
      </c>
      <c r="R26" s="200">
        <f>+INDEX('2018'!$1:$1048576,MATCH('Analitika - 2019'!$A26,'2018'!$A:$A,0),MATCH('Analitika - 2019'!$R$6,'2018'!$6:$6,0))</f>
        <v>2742239.31</v>
      </c>
      <c r="S26" s="201">
        <f t="shared" si="4"/>
        <v>520896.12999999989</v>
      </c>
      <c r="T26" s="203" t="s">
        <v>774</v>
      </c>
    </row>
    <row r="27" spans="1:23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f>+SUMPRODUCT(('2019'!$G27:$R27)*('2019'!$G$5:$R$5&lt;=Master!$B$3)*($A27='2019'!$A$10:$A$66))</f>
        <v>3161318.2800000003</v>
      </c>
      <c r="H27" s="200">
        <f>+SUMPRODUCT(('2019'!$G122:$R122)*('2019'!$G$5:$R$5&lt;=Master!$B$3))</f>
        <v>3097173.0383094745</v>
      </c>
      <c r="I27" s="201">
        <f t="shared" si="6"/>
        <v>64145.241690525785</v>
      </c>
      <c r="J27" s="202">
        <f t="shared" si="0"/>
        <v>2.0710900197406401E-2</v>
      </c>
      <c r="K27" s="200">
        <f>+SUMPRODUCT(('2018'!$G27:$R27)*('2018'!$G$5:$R$5&lt;=Master!$B$3))</f>
        <v>4355737.25</v>
      </c>
      <c r="L27" s="201">
        <f t="shared" si="7"/>
        <v>-1194418.9699999997</v>
      </c>
      <c r="M27" s="203">
        <f t="shared" si="1"/>
        <v>-0.2742174060200715</v>
      </c>
      <c r="N27" s="200">
        <f>+INDEX('2019'!$1:$1048576,MATCH('Analitika - 2019'!$A27,'2019'!$A:$A,0),MATCH('Analitika - 2019'!$N$6,'2019'!$6:$6,0))</f>
        <v>1298753.81</v>
      </c>
      <c r="O27" s="200">
        <f>+INDEX('2019'!$1:$1048576,MATCH(CONCATENATE('Analitika - 2019'!$A27,"p"),'2019'!$A:$A,0),MATCH('Analitika - 2019'!$O$6,'2019'!$101:$101,0))</f>
        <v>1688457.7339032646</v>
      </c>
      <c r="P27" s="201">
        <f t="shared" si="2"/>
        <v>-389703.92390326457</v>
      </c>
      <c r="Q27" s="202">
        <f t="shared" si="3"/>
        <v>-0.23080466634031338</v>
      </c>
      <c r="R27" s="200">
        <f>+INDEX('2018'!$1:$1048576,MATCH('Analitika - 2019'!$A27,'2018'!$A:$A,0),MATCH('Analitika - 2019'!$R$6,'2018'!$6:$6,0))</f>
        <v>2374577.77</v>
      </c>
      <c r="S27" s="201">
        <f t="shared" si="4"/>
        <v>-1075823.96</v>
      </c>
      <c r="T27" s="203" t="s">
        <v>774</v>
      </c>
    </row>
    <row r="28" spans="1:23" ht="15.7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f>+SUMPRODUCT(('2019'!$G28:$R28)*('2019'!$G$5:$R$5&lt;=Master!$B$3)*($A28='2019'!$A$10:$A$66))</f>
        <v>18232867.829999998</v>
      </c>
      <c r="H28" s="200">
        <f>+SUMPRODUCT(('2019'!$G123:$R123)*('2019'!$G$5:$R$5&lt;=Master!$B$3))</f>
        <v>27181038.405017912</v>
      </c>
      <c r="I28" s="201">
        <f t="shared" si="6"/>
        <v>-8948170.5750179142</v>
      </c>
      <c r="J28" s="202">
        <f t="shared" si="0"/>
        <v>-0.32920635487443284</v>
      </c>
      <c r="K28" s="200">
        <f>+SUMPRODUCT(('2018'!$G28:$R28)*('2018'!$G$5:$R$5&lt;=Master!$B$3))</f>
        <v>15278501.300000001</v>
      </c>
      <c r="L28" s="201">
        <f t="shared" si="7"/>
        <v>2954366.5299999975</v>
      </c>
      <c r="M28" s="203">
        <f t="shared" si="1"/>
        <v>0.1933675608614831</v>
      </c>
      <c r="N28" s="200">
        <f>+INDEX('2019'!$1:$1048576,MATCH('Analitika - 2019'!$A28,'2019'!$A:$A,0),MATCH('Analitika - 2019'!$N$6,'2019'!$6:$6,0))</f>
        <v>827810.06</v>
      </c>
      <c r="O28" s="200">
        <f>+INDEX('2019'!$1:$1048576,MATCH(CONCATENATE('Analitika - 2019'!$A28,"p"),'2019'!$A:$A,0),MATCH('Analitika - 2019'!$O$6,'2019'!$101:$101,0))</f>
        <v>2930185.4845741447</v>
      </c>
      <c r="P28" s="201">
        <f t="shared" si="2"/>
        <v>-2102375.4245741447</v>
      </c>
      <c r="Q28" s="202">
        <f t="shared" si="3"/>
        <v>-0.71748885374049665</v>
      </c>
      <c r="R28" s="200">
        <f>+INDEX('2018'!$1:$1048576,MATCH('Analitika - 2019'!$A28,'2018'!$A:$A,0),MATCH('Analitika - 2019'!$R$6,'2018'!$6:$6,0))</f>
        <v>1534287.36</v>
      </c>
      <c r="S28" s="201">
        <f t="shared" si="4"/>
        <v>-706477.3</v>
      </c>
      <c r="T28" s="203">
        <f t="shared" si="5"/>
        <v>-0.46045957127613957</v>
      </c>
    </row>
    <row r="29" spans="1:23" ht="15.7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>+SUMPRODUCT(('2019'!$G29:$R29)*('2019'!$G$5:$R$5&lt;=Master!$B$3)*($A29='2019'!$A$10:$A$66))</f>
        <v>887278694.51999998</v>
      </c>
      <c r="H29" s="176">
        <f>+SUMPRODUCT(('2019'!$G124:$R124)*('2019'!$G$5:$R$5&lt;=Master!$B$3))</f>
        <v>1018110931.155</v>
      </c>
      <c r="I29" s="177">
        <f t="shared" si="6"/>
        <v>-130832236.63499999</v>
      </c>
      <c r="J29" s="178">
        <f t="shared" si="0"/>
        <v>-0.12850489335830706</v>
      </c>
      <c r="K29" s="176">
        <f>+SUMPRODUCT(('2018'!$G29:$R29)*('2018'!$G$5:$R$5&lt;=Master!$B$3))</f>
        <v>855676444.64999998</v>
      </c>
      <c r="L29" s="177">
        <f t="shared" si="7"/>
        <v>31602249.870000005</v>
      </c>
      <c r="M29" s="179">
        <f t="shared" si="1"/>
        <v>3.6932476133459957E-2</v>
      </c>
      <c r="N29" s="176">
        <f>+INDEX('2019'!$1:$1048576,MATCH('Analitika - 2019'!$A29,'2019'!$A:$A,0),MATCH('Analitika - 2019'!$N$6,'2019'!$6:$6,0))</f>
        <v>144279416.92000002</v>
      </c>
      <c r="O29" s="176">
        <f>+INDEX('2019'!$1:$1048576,MATCH(CONCATENATE('Analitika - 2019'!$A29,"p"),'2019'!$A:$A,0),MATCH('Analitika - 2019'!$O$6,'2019'!$101:$101,0))</f>
        <v>158638536.14750001</v>
      </c>
      <c r="P29" s="177">
        <f t="shared" si="2"/>
        <v>-14359119.227499992</v>
      </c>
      <c r="Q29" s="178">
        <f t="shared" si="3"/>
        <v>-9.0514698232900148E-2</v>
      </c>
      <c r="R29" s="176">
        <f>+INDEX('2018'!$1:$1048576,MATCH('Analitika - 2019'!$A29,'2018'!$A:$A,0),MATCH('Analitika - 2019'!$R$6,'2018'!$6:$6,0))</f>
        <v>162103437.13</v>
      </c>
      <c r="S29" s="177">
        <f t="shared" si="4"/>
        <v>-17824020.209999979</v>
      </c>
      <c r="T29" s="179">
        <f t="shared" si="5"/>
        <v>-0.109954610004388</v>
      </c>
    </row>
    <row r="30" spans="1:23" ht="15.7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342">
        <f>+SUMPRODUCT(('2019'!$G30:$R30)*('2019'!$G$5:$R$5&lt;=Master!$B$3)*($A30='2019'!$A$10:$A$66))</f>
        <v>805426975.78000021</v>
      </c>
      <c r="H30" s="342">
        <f>+SUMPRODUCT(('2019'!$G125:$R125)*('2019'!$G$5:$R$5&lt;=Master!$B$3))</f>
        <v>857648431.21500003</v>
      </c>
      <c r="I30" s="207">
        <f t="shared" si="6"/>
        <v>-52221455.434999824</v>
      </c>
      <c r="J30" s="208">
        <f t="shared" si="0"/>
        <v>-6.0889116722360859E-2</v>
      </c>
      <c r="K30" s="342">
        <f>+SUMPRODUCT(('2018'!$G30:$R30)*('2018'!$G$5:$R$5&lt;=Master!$B$3))</f>
        <v>771978996.11000001</v>
      </c>
      <c r="L30" s="207">
        <f t="shared" si="7"/>
        <v>33447979.670000196</v>
      </c>
      <c r="M30" s="209">
        <f t="shared" si="1"/>
        <v>4.3327577354493441E-2</v>
      </c>
      <c r="N30" s="342">
        <f>+INDEX('2019'!$1:$1048576,MATCH('Analitika - 2019'!$A30,'2019'!$A:$A,0),MATCH('Analitika - 2019'!$N$6,'2019'!$6:$6,0))</f>
        <v>131437195.69000001</v>
      </c>
      <c r="O30" s="342">
        <f>+INDEX('2019'!$1:$1048576,MATCH(CONCATENATE('Analitika - 2019'!$A30,"p"),'2019'!$A:$A,0),MATCH('Analitika - 2019'!$O$6,'2019'!$101:$101,0))</f>
        <v>131894786.15750001</v>
      </c>
      <c r="P30" s="207">
        <f t="shared" si="2"/>
        <v>-457590.46750000119</v>
      </c>
      <c r="Q30" s="208">
        <f t="shared" si="3"/>
        <v>-3.4693597892002659E-3</v>
      </c>
      <c r="R30" s="342">
        <f>+INDEX('2018'!$1:$1048576,MATCH('Analitika - 2019'!$A30,'2018'!$A:$A,0),MATCH('Analitika - 2019'!$R$6,'2018'!$6:$6,0))</f>
        <v>138339397.85999998</v>
      </c>
      <c r="S30" s="207">
        <f t="shared" si="4"/>
        <v>-6902202.169999972</v>
      </c>
      <c r="T30" s="209">
        <f t="shared" si="5"/>
        <v>-4.9893250055815797E-2</v>
      </c>
    </row>
    <row r="31" spans="1:23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389">
        <f>+SUMPRODUCT(('2019'!$G31:$R31)*('2019'!$G$5:$R$5&lt;=Master!$B$3)*($A31='2019'!$A$10:$A$66))</f>
        <v>409418626.97000003</v>
      </c>
      <c r="H31" s="389">
        <f>+SUMPRODUCT(('2019'!$G126:$R126)*('2019'!$G$5:$R$5&lt;=Master!$B$3))</f>
        <v>451965252.55500007</v>
      </c>
      <c r="I31" s="213">
        <f t="shared" si="6"/>
        <v>-42546625.585000038</v>
      </c>
      <c r="J31" s="214">
        <f t="shared" si="0"/>
        <v>-9.4136939387442164E-2</v>
      </c>
      <c r="K31" s="389">
        <f>+SUMPRODUCT(('2018'!$G31:$R31)*('2018'!$G$5:$R$5&lt;=Master!$B$3))</f>
        <v>397384051.94000006</v>
      </c>
      <c r="L31" s="213">
        <f t="shared" si="7"/>
        <v>12034575.029999971</v>
      </c>
      <c r="M31" s="215">
        <f t="shared" si="1"/>
        <v>3.0284494234854353E-2</v>
      </c>
      <c r="N31" s="389">
        <f>+INDEX('2019'!$1:$1048576,MATCH('Analitika - 2019'!$A31,'2019'!$A:$A,0),MATCH('Analitika - 2019'!$N$6,'2019'!$6:$6,0))</f>
        <v>68607981.519999996</v>
      </c>
      <c r="O31" s="389">
        <f>+INDEX('2019'!$1:$1048576,MATCH(CONCATENATE('Analitika - 2019'!$A31,"p"),'2019'!$A:$A,0),MATCH('Analitika - 2019'!$O$6,'2019'!$101:$101,0))</f>
        <v>66157575.742500022</v>
      </c>
      <c r="P31" s="213">
        <f t="shared" si="2"/>
        <v>2450405.7774999738</v>
      </c>
      <c r="Q31" s="214">
        <f t="shared" si="3"/>
        <v>3.7038929404509924E-2</v>
      </c>
      <c r="R31" s="389">
        <f>+INDEX('2018'!$1:$1048576,MATCH('Analitika - 2019'!$A31,'2018'!$A:$A,0),MATCH('Analitika - 2019'!$R$6,'2018'!$6:$6,0))</f>
        <v>70651416.859999999</v>
      </c>
      <c r="S31" s="213">
        <f t="shared" si="4"/>
        <v>-2043435.3400000036</v>
      </c>
      <c r="T31" s="215">
        <f t="shared" si="5"/>
        <v>-2.8922779341413518E-2</v>
      </c>
    </row>
    <row r="32" spans="1:23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f>+SUMPRODUCT(('2019'!$G32:$R32)*('2019'!$G$5:$R$5&lt;=Master!$B$3)*($A32='2019'!$A$10:$A$66))</f>
        <v>237050501.90000004</v>
      </c>
      <c r="H32" s="188">
        <f>+SUMPRODUCT(('2019'!$G127:$R127)*('2019'!$G$5:$R$5&lt;=Master!$B$3))</f>
        <v>237749944.35000005</v>
      </c>
      <c r="I32" s="189">
        <f t="shared" si="6"/>
        <v>-699442.45000001788</v>
      </c>
      <c r="J32" s="190">
        <f t="shared" si="0"/>
        <v>-2.9419247685305017E-3</v>
      </c>
      <c r="K32" s="188">
        <f>+SUMPRODUCT(('2018'!$G32:$R32)*('2018'!$G$5:$R$5&lt;=Master!$B$3))</f>
        <v>227772358.56999999</v>
      </c>
      <c r="L32" s="189">
        <f t="shared" si="7"/>
        <v>9278143.3300000429</v>
      </c>
      <c r="M32" s="191">
        <f t="shared" si="1"/>
        <v>4.0734281316003651E-2</v>
      </c>
      <c r="N32" s="188">
        <f>+INDEX('2019'!$1:$1048576,MATCH('Analitika - 2019'!$A32,'2019'!$A:$A,0),MATCH('Analitika - 2019'!$N$6,'2019'!$6:$6,0))</f>
        <v>41571897.43</v>
      </c>
      <c r="O32" s="188">
        <f>+INDEX('2019'!$1:$1048576,MATCH(CONCATENATE('Analitika - 2019'!$A32,"p"),'2019'!$A:$A,0),MATCH('Analitika - 2019'!$O$6,'2019'!$101:$101,0))</f>
        <v>41935580.18166668</v>
      </c>
      <c r="P32" s="189">
        <f t="shared" si="2"/>
        <v>-363682.75166667998</v>
      </c>
      <c r="Q32" s="190">
        <f t="shared" si="3"/>
        <v>-8.6724149300234643E-3</v>
      </c>
      <c r="R32" s="188">
        <f>+INDEX('2018'!$1:$1048576,MATCH('Analitika - 2019'!$A32,'2018'!$A:$A,0),MATCH('Analitika - 2019'!$R$6,'2018'!$6:$6,0))</f>
        <v>38983266.57</v>
      </c>
      <c r="S32" s="189">
        <f t="shared" si="4"/>
        <v>2588630.8599999994</v>
      </c>
      <c r="T32" s="191">
        <f t="shared" si="5"/>
        <v>6.6403641556095572E-2</v>
      </c>
    </row>
    <row r="33" spans="1:20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f>+SUMPRODUCT(('2019'!$G33:$R33)*('2019'!$G$5:$R$5&lt;=Master!$B$3)*($A33='2019'!$A$10:$A$66))</f>
        <v>5513172.2000000002</v>
      </c>
      <c r="H33" s="188">
        <f>+SUMPRODUCT(('2019'!$G128:$R128)*('2019'!$G$5:$R$5&lt;=Master!$B$3))</f>
        <v>7611219.4349999996</v>
      </c>
      <c r="I33" s="189">
        <f t="shared" si="6"/>
        <v>-2098047.2349999994</v>
      </c>
      <c r="J33" s="190">
        <f t="shared" si="0"/>
        <v>-0.27565191792423993</v>
      </c>
      <c r="K33" s="188">
        <f>+SUMPRODUCT(('2018'!$G33:$R33)*('2018'!$G$5:$R$5&lt;=Master!$B$3))</f>
        <v>5128895.0600000005</v>
      </c>
      <c r="L33" s="189">
        <f t="shared" si="7"/>
        <v>384277.13999999966</v>
      </c>
      <c r="M33" s="191">
        <f t="shared" si="1"/>
        <v>7.4923962277364309E-2</v>
      </c>
      <c r="N33" s="188">
        <f>+INDEX('2019'!$1:$1048576,MATCH('Analitika - 2019'!$A33,'2019'!$A:$A,0),MATCH('Analitika - 2019'!$N$6,'2019'!$6:$6,0))</f>
        <v>650585.03</v>
      </c>
      <c r="O33" s="188">
        <f>+INDEX('2019'!$1:$1048576,MATCH(CONCATENATE('Analitika - 2019'!$A33,"p"),'2019'!$A:$A,0),MATCH('Analitika - 2019'!$O$6,'2019'!$101:$101,0))</f>
        <v>1249948.9408333332</v>
      </c>
      <c r="P33" s="189">
        <f t="shared" si="2"/>
        <v>-599363.91083333315</v>
      </c>
      <c r="Q33" s="190">
        <f t="shared" si="3"/>
        <v>-0.47951071540069545</v>
      </c>
      <c r="R33" s="188">
        <f>+INDEX('2018'!$1:$1048576,MATCH('Analitika - 2019'!$A33,'2018'!$A:$A,0),MATCH('Analitika - 2019'!$R$6,'2018'!$6:$6,0))</f>
        <v>1164263.1200000001</v>
      </c>
      <c r="S33" s="189">
        <f t="shared" si="4"/>
        <v>-513678.09000000008</v>
      </c>
      <c r="T33" s="191">
        <f t="shared" si="5"/>
        <v>-0.4412044675949196</v>
      </c>
    </row>
    <row r="34" spans="1:20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f>+SUMPRODUCT(('2019'!$G34:$R34)*('2019'!$G$5:$R$5&lt;=Master!$B$3)*($A34='2019'!$A$10:$A$66))</f>
        <v>13840298.799999999</v>
      </c>
      <c r="H34" s="188">
        <f>+SUMPRODUCT(('2019'!$G129:$R129)*('2019'!$G$5:$R$5&lt;=Master!$B$3))</f>
        <v>18306539.805000003</v>
      </c>
      <c r="I34" s="189">
        <f t="shared" si="6"/>
        <v>-4466241.0050000045</v>
      </c>
      <c r="J34" s="190">
        <f t="shared" si="0"/>
        <v>-0.24396969894770371</v>
      </c>
      <c r="K34" s="188">
        <f>+SUMPRODUCT(('2018'!$G34:$R34)*('2018'!$G$5:$R$5&lt;=Master!$B$3))</f>
        <v>14665927.190000001</v>
      </c>
      <c r="L34" s="189">
        <f t="shared" si="7"/>
        <v>-825628.39000000246</v>
      </c>
      <c r="M34" s="191">
        <f t="shared" si="1"/>
        <v>-5.6295683137098873E-2</v>
      </c>
      <c r="N34" s="188">
        <f>+INDEX('2019'!$1:$1048576,MATCH('Analitika - 2019'!$A34,'2019'!$A:$A,0),MATCH('Analitika - 2019'!$N$6,'2019'!$6:$6,0))</f>
        <v>3143597.69</v>
      </c>
      <c r="O34" s="188">
        <f>+INDEX('2019'!$1:$1048576,MATCH(CONCATENATE('Analitika - 2019'!$A34,"p"),'2019'!$A:$A,0),MATCH('Analitika - 2019'!$O$6,'2019'!$101:$101,0))</f>
        <v>3056755.8058333341</v>
      </c>
      <c r="P34" s="189">
        <f t="shared" si="2"/>
        <v>86841.884166665841</v>
      </c>
      <c r="Q34" s="190">
        <f t="shared" si="3"/>
        <v>2.8409820634327954E-2</v>
      </c>
      <c r="R34" s="188">
        <f>+INDEX('2018'!$1:$1048576,MATCH('Analitika - 2019'!$A34,'2018'!$A:$A,0),MATCH('Analitika - 2019'!$R$6,'2018'!$6:$6,0))</f>
        <v>2228904.96</v>
      </c>
      <c r="S34" s="189">
        <f t="shared" si="4"/>
        <v>914692.73</v>
      </c>
      <c r="T34" s="191">
        <f t="shared" si="5"/>
        <v>0.41037762776569897</v>
      </c>
    </row>
    <row r="35" spans="1:20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f>+SUMPRODUCT(('2019'!$G35:$R35)*('2019'!$G$5:$R$5&lt;=Master!$B$3)*($A35='2019'!$A$10:$A$66))</f>
        <v>28936484.600000001</v>
      </c>
      <c r="H35" s="188">
        <f>+SUMPRODUCT(('2019'!$G130:$R130)*('2019'!$G$5:$R$5&lt;=Master!$B$3))</f>
        <v>32696394.765000001</v>
      </c>
      <c r="I35" s="189">
        <f t="shared" si="6"/>
        <v>-3759910.1649999991</v>
      </c>
      <c r="J35" s="190">
        <f t="shared" si="0"/>
        <v>-0.11499464060254161</v>
      </c>
      <c r="K35" s="188">
        <f>+SUMPRODUCT(('2018'!$G35:$R35)*('2018'!$G$5:$R$5&lt;=Master!$B$3))</f>
        <v>32924129.390000001</v>
      </c>
      <c r="L35" s="189">
        <f t="shared" si="7"/>
        <v>-3987644.7899999991</v>
      </c>
      <c r="M35" s="191">
        <f t="shared" si="1"/>
        <v>-0.12111618025687754</v>
      </c>
      <c r="N35" s="188">
        <f>+INDEX('2019'!$1:$1048576,MATCH('Analitika - 2019'!$A35,'2019'!$A:$A,0),MATCH('Analitika - 2019'!$N$6,'2019'!$6:$6,0))</f>
        <v>6805709.04</v>
      </c>
      <c r="O35" s="188">
        <f>+INDEX('2019'!$1:$1048576,MATCH(CONCATENATE('Analitika - 2019'!$A35,"p"),'2019'!$A:$A,0),MATCH('Analitika - 2019'!$O$6,'2019'!$101:$101,0))</f>
        <v>5197534.4975000005</v>
      </c>
      <c r="P35" s="189">
        <f t="shared" si="2"/>
        <v>1608174.5424999995</v>
      </c>
      <c r="Q35" s="190">
        <f t="shared" si="3"/>
        <v>0.30941103772827816</v>
      </c>
      <c r="R35" s="188">
        <f>+INDEX('2018'!$1:$1048576,MATCH('Analitika - 2019'!$A35,'2018'!$A:$A,0),MATCH('Analitika - 2019'!$R$6,'2018'!$6:$6,0))</f>
        <v>14378909.140000001</v>
      </c>
      <c r="S35" s="189">
        <f t="shared" si="4"/>
        <v>-7573200.1000000006</v>
      </c>
      <c r="T35" s="191">
        <f t="shared" si="5"/>
        <v>-0.52668808365528075</v>
      </c>
    </row>
    <row r="36" spans="1:20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f>+SUMPRODUCT(('2019'!$G36:$R36)*('2019'!$G$5:$R$5&lt;=Master!$B$3)*($A36='2019'!$A$10:$A$66))</f>
        <v>7879785.8299999991</v>
      </c>
      <c r="H36" s="188">
        <f>+SUMPRODUCT(('2019'!$G131:$R131)*('2019'!$G$5:$R$5&lt;=Master!$B$3))</f>
        <v>11558650.700000001</v>
      </c>
      <c r="I36" s="189">
        <f t="shared" si="6"/>
        <v>-3678864.870000002</v>
      </c>
      <c r="J36" s="190">
        <f t="shared" si="0"/>
        <v>-0.31827805558654021</v>
      </c>
      <c r="K36" s="188">
        <f>+SUMPRODUCT(('2018'!$G36:$R36)*('2018'!$G$5:$R$5&lt;=Master!$B$3))</f>
        <v>8264887.5499999989</v>
      </c>
      <c r="L36" s="189">
        <f t="shared" si="7"/>
        <v>-385101.71999999974</v>
      </c>
      <c r="M36" s="191">
        <f t="shared" si="1"/>
        <v>-4.6594913441986296E-2</v>
      </c>
      <c r="N36" s="188">
        <f>+INDEX('2019'!$1:$1048576,MATCH('Analitika - 2019'!$A36,'2019'!$A:$A,0),MATCH('Analitika - 2019'!$N$6,'2019'!$6:$6,0))</f>
        <v>1361111.43</v>
      </c>
      <c r="O36" s="188">
        <f>+INDEX('2019'!$1:$1048576,MATCH(CONCATENATE('Analitika - 2019'!$A36,"p"),'2019'!$A:$A,0),MATCH('Analitika - 2019'!$O$6,'2019'!$101:$101,0))</f>
        <v>1927612.7316666667</v>
      </c>
      <c r="P36" s="189">
        <f t="shared" si="2"/>
        <v>-566501.30166666675</v>
      </c>
      <c r="Q36" s="190">
        <f t="shared" si="3"/>
        <v>-0.29388750777592876</v>
      </c>
      <c r="R36" s="188">
        <f>+INDEX('2018'!$1:$1048576,MATCH('Analitika - 2019'!$A36,'2018'!$A:$A,0),MATCH('Analitika - 2019'!$R$6,'2018'!$6:$6,0))</f>
        <v>1595120.98</v>
      </c>
      <c r="S36" s="189">
        <f t="shared" si="4"/>
        <v>-234009.55000000005</v>
      </c>
      <c r="T36" s="191">
        <f t="shared" si="5"/>
        <v>-0.14670332403251318</v>
      </c>
    </row>
    <row r="37" spans="1:20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f>+SUMPRODUCT(('2019'!$G37:$R37)*('2019'!$G$5:$R$5&lt;=Master!$B$3)*($A37='2019'!$A$10:$A$66))</f>
        <v>69907047.030000001</v>
      </c>
      <c r="H37" s="188">
        <f>+SUMPRODUCT(('2019'!$G132:$R132)*('2019'!$G$5:$R$5&lt;=Master!$B$3))</f>
        <v>71588315.090000004</v>
      </c>
      <c r="I37" s="189">
        <f t="shared" si="6"/>
        <v>-1681268.0600000024</v>
      </c>
      <c r="J37" s="190">
        <f t="shared" si="0"/>
        <v>-2.3485230206721996E-2</v>
      </c>
      <c r="K37" s="188">
        <f>+SUMPRODUCT(('2018'!$G37:$R37)*('2018'!$G$5:$R$5&lt;=Master!$B$3))</f>
        <v>64922753.730000004</v>
      </c>
      <c r="L37" s="189">
        <f t="shared" si="7"/>
        <v>4984293.299999997</v>
      </c>
      <c r="M37" s="191">
        <f t="shared" si="1"/>
        <v>7.6772672347334758E-2</v>
      </c>
      <c r="N37" s="188">
        <f>+INDEX('2019'!$1:$1048576,MATCH('Analitika - 2019'!$A37,'2019'!$A:$A,0),MATCH('Analitika - 2019'!$N$6,'2019'!$6:$6,0))</f>
        <v>5411766.9400000004</v>
      </c>
      <c r="O37" s="188">
        <f>+INDEX('2019'!$1:$1048576,MATCH(CONCATENATE('Analitika - 2019'!$A37,"p"),'2019'!$A:$A,0),MATCH('Analitika - 2019'!$O$6,'2019'!$101:$101,0))</f>
        <v>1973802.6600000008</v>
      </c>
      <c r="P37" s="189">
        <f t="shared" si="2"/>
        <v>3437964.2799999993</v>
      </c>
      <c r="Q37" s="190">
        <f t="shared" si="3"/>
        <v>1.7417973689426471</v>
      </c>
      <c r="R37" s="188">
        <f>+INDEX('2018'!$1:$1048576,MATCH('Analitika - 2019'!$A37,'2018'!$A:$A,0),MATCH('Analitika - 2019'!$R$6,'2018'!$6:$6,0))</f>
        <v>1838720.63</v>
      </c>
      <c r="S37" s="189">
        <f t="shared" si="4"/>
        <v>3573046.3100000005</v>
      </c>
      <c r="T37" s="191">
        <f t="shared" si="5"/>
        <v>1.9432241373176962</v>
      </c>
    </row>
    <row r="38" spans="1:20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f>+SUMPRODUCT(('2019'!$G38:$R38)*('2019'!$G$5:$R$5&lt;=Master!$B$3)*($A38='2019'!$A$10:$A$66))</f>
        <v>4523865.12</v>
      </c>
      <c r="H38" s="188">
        <f>+SUMPRODUCT(('2019'!$G133:$R133)*('2019'!$G$5:$R$5&lt;=Master!$B$3))</f>
        <v>4802679.42</v>
      </c>
      <c r="I38" s="189">
        <f t="shared" si="6"/>
        <v>-278814.29999999981</v>
      </c>
      <c r="J38" s="190">
        <f t="shared" si="0"/>
        <v>-5.8053906083950113E-2</v>
      </c>
      <c r="K38" s="188">
        <f>+SUMPRODUCT(('2018'!$G38:$R38)*('2018'!$G$5:$R$5&lt;=Master!$B$3))</f>
        <v>4240827.53</v>
      </c>
      <c r="L38" s="189">
        <f t="shared" si="7"/>
        <v>283037.58999999985</v>
      </c>
      <c r="M38" s="191">
        <f t="shared" si="1"/>
        <v>6.6741122575197043E-2</v>
      </c>
      <c r="N38" s="188">
        <f>+INDEX('2019'!$1:$1048576,MATCH('Analitika - 2019'!$A38,'2019'!$A:$A,0),MATCH('Analitika - 2019'!$N$6,'2019'!$6:$6,0))</f>
        <v>608826.98</v>
      </c>
      <c r="O38" s="188">
        <f>+INDEX('2019'!$1:$1048576,MATCH(CONCATENATE('Analitika - 2019'!$A38,"p"),'2019'!$A:$A,0),MATCH('Analitika - 2019'!$O$6,'2019'!$101:$101,0))</f>
        <v>826070.39</v>
      </c>
      <c r="P38" s="189">
        <f t="shared" si="2"/>
        <v>-217243.41000000003</v>
      </c>
      <c r="Q38" s="190">
        <f t="shared" si="3"/>
        <v>-0.26298413867612425</v>
      </c>
      <c r="R38" s="188">
        <f>+INDEX('2018'!$1:$1048576,MATCH('Analitika - 2019'!$A38,'2018'!$A:$A,0),MATCH('Analitika - 2019'!$R$6,'2018'!$6:$6,0))</f>
        <v>835746.88</v>
      </c>
      <c r="S38" s="189">
        <f t="shared" si="4"/>
        <v>-226919.90000000002</v>
      </c>
      <c r="T38" s="191">
        <f t="shared" si="5"/>
        <v>-0.27151749582361595</v>
      </c>
    </row>
    <row r="39" spans="1:20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f>+SUMPRODUCT(('2019'!$G39:$R39)*('2019'!$G$5:$R$5&lt;=Master!$B$3)*($A39='2019'!$A$10:$A$66))</f>
        <v>10454587.060000001</v>
      </c>
      <c r="H39" s="188">
        <f>+SUMPRODUCT(('2019'!$G134:$R134)*('2019'!$G$5:$R$5&lt;=Master!$B$3))</f>
        <v>15928294.439999998</v>
      </c>
      <c r="I39" s="189">
        <f t="shared" si="6"/>
        <v>-5473707.3799999971</v>
      </c>
      <c r="J39" s="190">
        <f t="shared" si="0"/>
        <v>-0.34364679788026309</v>
      </c>
      <c r="K39" s="188">
        <f>+SUMPRODUCT(('2018'!$G39:$R39)*('2018'!$G$5:$R$5&lt;=Master!$B$3))</f>
        <v>11089143.959999999</v>
      </c>
      <c r="L39" s="189">
        <f t="shared" si="7"/>
        <v>-634556.89999999851</v>
      </c>
      <c r="M39" s="191">
        <f t="shared" si="1"/>
        <v>-5.7223253867830448E-2</v>
      </c>
      <c r="N39" s="188">
        <f>+INDEX('2019'!$1:$1048576,MATCH('Analitika - 2019'!$A39,'2019'!$A:$A,0),MATCH('Analitika - 2019'!$N$6,'2019'!$6:$6,0))</f>
        <v>1487101.06</v>
      </c>
      <c r="O39" s="188">
        <f>+INDEX('2019'!$1:$1048576,MATCH(CONCATENATE('Analitika - 2019'!$A39,"p"),'2019'!$A:$A,0),MATCH('Analitika - 2019'!$O$6,'2019'!$101:$101,0))</f>
        <v>1990037.4966666666</v>
      </c>
      <c r="P39" s="189">
        <f t="shared" si="2"/>
        <v>-502936.43666666653</v>
      </c>
      <c r="Q39" s="190">
        <f t="shared" si="3"/>
        <v>-0.25272711569962392</v>
      </c>
      <c r="R39" s="188">
        <f>+INDEX('2018'!$1:$1048576,MATCH('Analitika - 2019'!$A39,'2018'!$A:$A,0),MATCH('Analitika - 2019'!$R$6,'2018'!$6:$6,0))</f>
        <v>2469572.83</v>
      </c>
      <c r="S39" s="189">
        <f t="shared" si="4"/>
        <v>-982471.77</v>
      </c>
      <c r="T39" s="191">
        <f t="shared" si="5"/>
        <v>-0.39783065235618098</v>
      </c>
    </row>
    <row r="40" spans="1:20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f>+SUMPRODUCT(('2019'!$G40:$R40)*('2019'!$G$5:$R$5&lt;=Master!$B$3)*($A40='2019'!$A$10:$A$66))</f>
        <v>18336561.690000001</v>
      </c>
      <c r="H40" s="188">
        <f>+SUMPRODUCT(('2019'!$G135:$R135)*('2019'!$G$5:$R$5&lt;=Master!$B$3))</f>
        <v>22153097.525000006</v>
      </c>
      <c r="I40" s="189">
        <f t="shared" si="6"/>
        <v>-3816535.8350000046</v>
      </c>
      <c r="J40" s="190">
        <f t="shared" si="0"/>
        <v>-0.17228000872984028</v>
      </c>
      <c r="K40" s="188">
        <f>+SUMPRODUCT(('2018'!$G40:$R40)*('2018'!$G$5:$R$5&lt;=Master!$B$3))</f>
        <v>15298346.939999999</v>
      </c>
      <c r="L40" s="189">
        <f t="shared" si="7"/>
        <v>3038214.7500000019</v>
      </c>
      <c r="M40" s="191">
        <f t="shared" si="1"/>
        <v>0.19859758455706733</v>
      </c>
      <c r="N40" s="188">
        <f>+INDEX('2019'!$1:$1048576,MATCH('Analitika - 2019'!$A40,'2019'!$A:$A,0),MATCH('Analitika - 2019'!$N$6,'2019'!$6:$6,0))</f>
        <v>4483387.37</v>
      </c>
      <c r="O40" s="188">
        <f>+INDEX('2019'!$1:$1048576,MATCH(CONCATENATE('Analitika - 2019'!$A40,"p"),'2019'!$A:$A,0),MATCH('Analitika - 2019'!$O$6,'2019'!$101:$101,0))</f>
        <v>3309652.560833334</v>
      </c>
      <c r="P40" s="189">
        <f t="shared" si="2"/>
        <v>1173734.8091666661</v>
      </c>
      <c r="Q40" s="190">
        <f t="shared" si="3"/>
        <v>0.35463988669285951</v>
      </c>
      <c r="R40" s="188">
        <f>+INDEX('2018'!$1:$1048576,MATCH('Analitika - 2019'!$A40,'2018'!$A:$A,0),MATCH('Analitika - 2019'!$R$6,'2018'!$6:$6,0))</f>
        <v>3638653.72</v>
      </c>
      <c r="S40" s="189">
        <f t="shared" si="4"/>
        <v>844733.64999999991</v>
      </c>
      <c r="T40" s="191">
        <f t="shared" si="5"/>
        <v>0.23215554845378361</v>
      </c>
    </row>
    <row r="41" spans="1:20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f>+SUMPRODUCT(('2019'!$G41:$R41)*('2019'!$G$5:$R$5&lt;=Master!$B$3)*($A41='2019'!$A$10:$A$66))</f>
        <v>12976322.740000002</v>
      </c>
      <c r="H41" s="188">
        <f>+SUMPRODUCT(('2019'!$G136:$R136)*('2019'!$G$5:$R$5&lt;=Master!$B$3))</f>
        <v>29570117.025000006</v>
      </c>
      <c r="I41" s="189">
        <f t="shared" si="6"/>
        <v>-16593794.285000004</v>
      </c>
      <c r="J41" s="190">
        <f t="shared" si="0"/>
        <v>-0.56116769071190387</v>
      </c>
      <c r="K41" s="188">
        <f>+SUMPRODUCT(('2018'!$G41:$R41)*('2018'!$G$5:$R$5&lt;=Master!$B$3))</f>
        <v>13076782.02</v>
      </c>
      <c r="L41" s="189">
        <f t="shared" si="7"/>
        <v>-100459.27999999747</v>
      </c>
      <c r="M41" s="191">
        <f t="shared" si="1"/>
        <v>-7.682263101606468E-3</v>
      </c>
      <c r="N41" s="188">
        <f>+INDEX('2019'!$1:$1048576,MATCH('Analitika - 2019'!$A41,'2019'!$A:$A,0),MATCH('Analitika - 2019'!$N$6,'2019'!$6:$6,0))</f>
        <v>3083998.55</v>
      </c>
      <c r="O41" s="188">
        <f>+INDEX('2019'!$1:$1048576,MATCH(CONCATENATE('Analitika - 2019'!$A41,"p"),'2019'!$A:$A,0),MATCH('Analitika - 2019'!$O$6,'2019'!$101:$101,0))</f>
        <v>4690580.477500001</v>
      </c>
      <c r="P41" s="189">
        <f t="shared" si="2"/>
        <v>-1606581.9275000012</v>
      </c>
      <c r="Q41" s="190">
        <f t="shared" si="3"/>
        <v>-0.34251238950200935</v>
      </c>
      <c r="R41" s="188">
        <f>+INDEX('2018'!$1:$1048576,MATCH('Analitika - 2019'!$A41,'2018'!$A:$A,0),MATCH('Analitika - 2019'!$R$6,'2018'!$6:$6,0))</f>
        <v>3518258.03</v>
      </c>
      <c r="S41" s="189">
        <f t="shared" si="4"/>
        <v>-434259.48</v>
      </c>
      <c r="T41" s="191">
        <f t="shared" si="5"/>
        <v>-0.12343025335182711</v>
      </c>
    </row>
    <row r="42" spans="1:20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00">
        <f>+SUMPRODUCT(('2019'!$G42:$R42)*('2019'!$G$5:$R$5&lt;=Master!$B$3)*($A42='2019'!$A$10:$A$66))</f>
        <v>271144124.34000003</v>
      </c>
      <c r="H42" s="200">
        <f>+SUMPRODUCT(('2019'!$G137:$R137)*('2019'!$G$5:$R$5&lt;=Master!$B$3))</f>
        <v>277235598.95999998</v>
      </c>
      <c r="I42" s="219">
        <f t="shared" si="6"/>
        <v>-6091474.6199999452</v>
      </c>
      <c r="J42" s="220">
        <f t="shared" si="0"/>
        <v>-2.197219492320257E-2</v>
      </c>
      <c r="K42" s="200">
        <f>+SUMPRODUCT(('2018'!$G42:$R42)*('2018'!$G$5:$R$5&lt;=Master!$B$3))</f>
        <v>265214445.68000001</v>
      </c>
      <c r="L42" s="219">
        <f t="shared" si="7"/>
        <v>5929678.6600000262</v>
      </c>
      <c r="M42" s="221">
        <f t="shared" si="1"/>
        <v>2.2358053102260467E-2</v>
      </c>
      <c r="N42" s="200">
        <f>+INDEX('2019'!$1:$1048576,MATCH('Analitika - 2019'!$A42,'2019'!$A:$A,0),MATCH('Analitika - 2019'!$N$6,'2019'!$6:$6,0))</f>
        <v>45746699.100000001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2"/>
        <v>-459450.71000000089</v>
      </c>
      <c r="Q42" s="220">
        <f t="shared" si="3"/>
        <v>-9.9434969563416686E-3</v>
      </c>
      <c r="R42" s="200">
        <f>+INDEX('2018'!$1:$1048576,MATCH('Analitika - 2019'!$A42,'2018'!$A:$A,0),MATCH('Analitika - 2019'!$R$6,'2018'!$6:$6,0))</f>
        <v>45562152.019999996</v>
      </c>
      <c r="S42" s="219">
        <f t="shared" si="4"/>
        <v>184547.08000000566</v>
      </c>
      <c r="T42" s="221">
        <f t="shared" si="5"/>
        <v>4.050446956917142E-3</v>
      </c>
    </row>
    <row r="43" spans="1:20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+SUMPRODUCT(('2019'!$G43:$R43)*('2019'!$G$5:$R$5&lt;=Master!$B$3)*($A43='2019'!$A$10:$A$66))</f>
        <v>39036726.319999993</v>
      </c>
      <c r="H43" s="188">
        <f>+SUMPRODUCT(('2019'!$G138:$R138)*('2019'!$G$5:$R$5&lt;=Master!$B$3))</f>
        <v>40494350.000000015</v>
      </c>
      <c r="I43" s="189">
        <f t="shared" si="6"/>
        <v>-1457623.6800000221</v>
      </c>
      <c r="J43" s="190">
        <f t="shared" si="0"/>
        <v>-3.5995729774648155E-2</v>
      </c>
      <c r="K43" s="188">
        <f>+SUMPRODUCT(('2018'!$G43:$R43)*('2018'!$G$5:$R$5&lt;=Master!$B$3))</f>
        <v>38154008.969999999</v>
      </c>
      <c r="L43" s="189">
        <f t="shared" si="7"/>
        <v>882717.34999999404</v>
      </c>
      <c r="M43" s="191">
        <f t="shared" si="1"/>
        <v>2.3135638267896441E-2</v>
      </c>
      <c r="N43" s="188">
        <f>+INDEX('2019'!$1:$1048576,MATCH('Analitika - 2019'!$A43,'2019'!$A:$A,0),MATCH('Analitika - 2019'!$N$6,'2019'!$6:$6,0))</f>
        <v>6536921.0899999999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2"/>
        <v>-212353.91000000294</v>
      </c>
      <c r="Q43" s="190">
        <f t="shared" si="3"/>
        <v>-3.146321790118245E-2</v>
      </c>
      <c r="R43" s="188">
        <f>+INDEX('2018'!$1:$1048576,MATCH('Analitika - 2019'!$A43,'2018'!$A:$A,0),MATCH('Analitika - 2019'!$R$6,'2018'!$6:$6,0))</f>
        <v>6326119.0300000003</v>
      </c>
      <c r="S43" s="189">
        <f t="shared" si="4"/>
        <v>210802.05999999959</v>
      </c>
      <c r="T43" s="191">
        <f t="shared" si="5"/>
        <v>3.3322493459311264E-2</v>
      </c>
    </row>
    <row r="44" spans="1:20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+SUMPRODUCT(('2019'!$G44:$R44)*('2019'!$G$5:$R$5&lt;=Master!$B$3)*($A44='2019'!$A$10:$A$66))</f>
        <v>6171418.71</v>
      </c>
      <c r="H44" s="188">
        <f>+SUMPRODUCT(('2019'!$G139:$R139)*('2019'!$G$5:$R$5&lt;=Master!$B$3))</f>
        <v>7416191.1500000013</v>
      </c>
      <c r="I44" s="189">
        <f t="shared" si="6"/>
        <v>-1244772.4400000013</v>
      </c>
      <c r="J44" s="190">
        <f t="shared" si="0"/>
        <v>-0.16784524762417985</v>
      </c>
      <c r="K44" s="188">
        <f>+SUMPRODUCT(('2018'!$G44:$R44)*('2018'!$G$5:$R$5&lt;=Master!$B$3))</f>
        <v>6014821.4799999995</v>
      </c>
      <c r="L44" s="189">
        <f t="shared" si="7"/>
        <v>156597.23000000045</v>
      </c>
      <c r="M44" s="191">
        <f t="shared" si="1"/>
        <v>2.6035224905794019E-2</v>
      </c>
      <c r="N44" s="188">
        <f>+INDEX('2019'!$1:$1048576,MATCH('Analitika - 2019'!$A44,'2019'!$A:$A,0),MATCH('Analitika - 2019'!$N$6,'2019'!$6:$6,0))</f>
        <v>1381621.25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2"/>
        <v>145589.38000000012</v>
      </c>
      <c r="Q44" s="190">
        <f t="shared" si="3"/>
        <v>0.11778772338612931</v>
      </c>
      <c r="R44" s="188">
        <f>+INDEX('2018'!$1:$1048576,MATCH('Analitika - 2019'!$A44,'2018'!$A:$A,0),MATCH('Analitika - 2019'!$R$6,'2018'!$6:$6,0))</f>
        <v>1474735.96</v>
      </c>
      <c r="S44" s="189">
        <f t="shared" si="4"/>
        <v>-93114.709999999963</v>
      </c>
      <c r="T44" s="191">
        <f t="shared" si="5"/>
        <v>-6.313991963686838E-2</v>
      </c>
    </row>
    <row r="45" spans="1:20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+SUMPRODUCT(('2019'!$G45:$R45)*('2019'!$G$5:$R$5&lt;=Master!$B$3)*($A45='2019'!$A$10:$A$66))</f>
        <v>210490849.90000001</v>
      </c>
      <c r="H45" s="188">
        <f>+SUMPRODUCT(('2019'!$G140:$R140)*('2019'!$G$5:$R$5&lt;=Master!$B$3))</f>
        <v>214512507.26999998</v>
      </c>
      <c r="I45" s="189">
        <f t="shared" si="6"/>
        <v>-4021657.369999975</v>
      </c>
      <c r="J45" s="190">
        <f t="shared" si="0"/>
        <v>-1.8747892237994557E-2</v>
      </c>
      <c r="K45" s="188">
        <f>+SUMPRODUCT(('2018'!$G45:$R45)*('2018'!$G$5:$R$5&lt;=Master!$B$3))</f>
        <v>207351126.36999997</v>
      </c>
      <c r="L45" s="189">
        <f t="shared" si="7"/>
        <v>3139723.530000031</v>
      </c>
      <c r="M45" s="191">
        <f t="shared" si="1"/>
        <v>1.5142061608083512E-2</v>
      </c>
      <c r="N45" s="188">
        <f>+INDEX('2019'!$1:$1048576,MATCH('Analitika - 2019'!$A45,'2019'!$A:$A,0),MATCH('Analitika - 2019'!$N$6,'2019'!$6:$6,0))</f>
        <v>35185457.75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2"/>
        <v>-566626.78000000119</v>
      </c>
      <c r="Q45" s="190">
        <f t="shared" si="3"/>
        <v>-1.5848776021004762E-2</v>
      </c>
      <c r="R45" s="188">
        <f>+INDEX('2018'!$1:$1048576,MATCH('Analitika - 2019'!$A45,'2018'!$A:$A,0),MATCH('Analitika - 2019'!$R$6,'2018'!$6:$6,0))</f>
        <v>34392603.229999997</v>
      </c>
      <c r="S45" s="189">
        <f t="shared" si="4"/>
        <v>792854.52000000328</v>
      </c>
      <c r="T45" s="191">
        <f t="shared" si="5"/>
        <v>2.3053053434129556E-2</v>
      </c>
    </row>
    <row r="46" spans="1:20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+SUMPRODUCT(('2019'!$G46:$R46)*('2019'!$G$5:$R$5&lt;=Master!$B$3)*($A46='2019'!$A$10:$A$66))</f>
        <v>10199905.73</v>
      </c>
      <c r="H46" s="188">
        <f>+SUMPRODUCT(('2019'!$G141:$R141)*('2019'!$G$5:$R$5&lt;=Master!$B$3))</f>
        <v>9500050.0399999991</v>
      </c>
      <c r="I46" s="189">
        <f t="shared" si="6"/>
        <v>699855.69000000134</v>
      </c>
      <c r="J46" s="190">
        <f t="shared" si="0"/>
        <v>7.366863196017448E-2</v>
      </c>
      <c r="K46" s="188">
        <f>+SUMPRODUCT(('2018'!$G46:$R46)*('2018'!$G$5:$R$5&lt;=Master!$B$3))</f>
        <v>9384720.8499999996</v>
      </c>
      <c r="L46" s="189">
        <f t="shared" si="7"/>
        <v>815184.88000000082</v>
      </c>
      <c r="M46" s="191">
        <f t="shared" si="1"/>
        <v>8.6862986446741397E-2</v>
      </c>
      <c r="N46" s="188">
        <f>+INDEX('2019'!$1:$1048576,MATCH('Analitika - 2019'!$A46,'2019'!$A:$A,0),MATCH('Analitika - 2019'!$N$6,'2019'!$6:$6,0))</f>
        <v>1732967.4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2"/>
        <v>149625.73999999976</v>
      </c>
      <c r="Q46" s="190">
        <f t="shared" si="3"/>
        <v>9.4499970398050248E-2</v>
      </c>
      <c r="R46" s="188">
        <f>+INDEX('2018'!$1:$1048576,MATCH('Analitika - 2019'!$A46,'2018'!$A:$A,0),MATCH('Analitika - 2019'!$R$6,'2018'!$6:$6,0))</f>
        <v>2503607.61</v>
      </c>
      <c r="S46" s="189">
        <f t="shared" si="4"/>
        <v>-770640.21</v>
      </c>
      <c r="T46" s="191">
        <f t="shared" si="5"/>
        <v>-0.30781189788762464</v>
      </c>
    </row>
    <row r="47" spans="1:20">
      <c r="A47" s="175">
        <v>425</v>
      </c>
      <c r="B47" s="456" t="str">
        <f>+VLOOKUP($A47,Master!$D$27:$G$225,4,FALSE)</f>
        <v>Ostala prava iz zdravstvenog osiguranja</v>
      </c>
      <c r="C47" s="457"/>
      <c r="D47" s="457"/>
      <c r="E47" s="457"/>
      <c r="F47" s="457"/>
      <c r="G47" s="188">
        <f>+SUMPRODUCT(('2019'!$G47:$R47)*('2019'!$G$5:$R$5&lt;=Master!$B$3)*($A47='2019'!$A$10:$A$66))</f>
        <v>5245223.6800000006</v>
      </c>
      <c r="H47" s="188">
        <f>+SUMPRODUCT(('2019'!$G142:$R142)*('2019'!$G$5:$R$5&lt;=Master!$B$3))</f>
        <v>5312500.5</v>
      </c>
      <c r="I47" s="189">
        <f t="shared" si="6"/>
        <v>-67276.819999999367</v>
      </c>
      <c r="J47" s="190">
        <f t="shared" si="0"/>
        <v>-1.2663870808106159E-2</v>
      </c>
      <c r="K47" s="188">
        <f>+SUMPRODUCT(('2018'!$G47:$R47)*('2018'!$G$5:$R$5&lt;=Master!$B$3))</f>
        <v>4309768.01</v>
      </c>
      <c r="L47" s="189">
        <f t="shared" si="7"/>
        <v>935455.67000000086</v>
      </c>
      <c r="M47" s="191">
        <f t="shared" si="1"/>
        <v>0.21705476207291285</v>
      </c>
      <c r="N47" s="188">
        <f>+INDEX('2019'!$1:$1048576,MATCH('Analitika - 2019'!$A47,'2019'!$A:$A,0),MATCH('Analitika - 2019'!$N$6,'2019'!$6:$6,0))</f>
        <v>909731.61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2"/>
        <v>24314.859999999986</v>
      </c>
      <c r="Q47" s="190">
        <f t="shared" si="3"/>
        <v>2.7461486356565867E-2</v>
      </c>
      <c r="R47" s="188">
        <f>+INDEX('2018'!$1:$1048576,MATCH('Analitika - 2019'!$A47,'2018'!$A:$A,0),MATCH('Analitika - 2019'!$R$6,'2018'!$6:$6,0))</f>
        <v>865086.19</v>
      </c>
      <c r="S47" s="189">
        <f t="shared" si="4"/>
        <v>44645.420000000042</v>
      </c>
      <c r="T47" s="191">
        <f t="shared" si="5"/>
        <v>5.1608060001512746E-2</v>
      </c>
    </row>
    <row r="48" spans="1:20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f>+SUMPRODUCT(('2019'!$G48:$R48)*('2019'!$G$5:$R$5&lt;=Master!$B$3)*($A48='2019'!$A$10:$A$66))</f>
        <v>98012294.86999999</v>
      </c>
      <c r="H48" s="200">
        <f>+SUMPRODUCT(('2019'!$G143:$R143)*('2019'!$G$5:$R$5&lt;=Master!$B$3))</f>
        <v>108319451.89999999</v>
      </c>
      <c r="I48" s="201">
        <f t="shared" si="6"/>
        <v>-10307157.030000001</v>
      </c>
      <c r="J48" s="202">
        <f t="shared" si="0"/>
        <v>-9.5155180802756645E-2</v>
      </c>
      <c r="K48" s="200">
        <f>+SUMPRODUCT(('2018'!$G48:$R48)*('2018'!$G$5:$R$5&lt;=Master!$B$3))</f>
        <v>87363769.560000002</v>
      </c>
      <c r="L48" s="201">
        <f t="shared" si="7"/>
        <v>10648525.309999987</v>
      </c>
      <c r="M48" s="203">
        <f t="shared" si="1"/>
        <v>0.12188720065114356</v>
      </c>
      <c r="N48" s="200">
        <f>+INDEX('2019'!$1:$1048576,MATCH('Analitika - 2019'!$A48,'2019'!$A:$A,0),MATCH('Analitika - 2019'!$N$6,'2019'!$6:$6,0))</f>
        <v>13582731.800000001</v>
      </c>
      <c r="O48" s="200">
        <f>+INDEX('2019'!$1:$1048576,MATCH(CONCATENATE('Analitika - 2019'!$A48,"p"),'2019'!$A:$A,0),MATCH('Analitika - 2019'!$O$6,'2019'!$101:$101,0))</f>
        <v>16020602.668333333</v>
      </c>
      <c r="P48" s="201">
        <f t="shared" si="2"/>
        <v>-2437870.8683333322</v>
      </c>
      <c r="Q48" s="202">
        <f t="shared" si="3"/>
        <v>-0.15217098375157134</v>
      </c>
      <c r="R48" s="200">
        <f>+INDEX('2018'!$1:$1048576,MATCH('Analitika - 2019'!$A48,'2018'!$A:$A,0),MATCH('Analitika - 2019'!$R$6,'2018'!$6:$6,0))</f>
        <v>17878544.43</v>
      </c>
      <c r="S48" s="201">
        <f t="shared" si="4"/>
        <v>-4295812.629999999</v>
      </c>
      <c r="T48" s="203">
        <f t="shared" si="5"/>
        <v>-0.24027753751539604</v>
      </c>
    </row>
    <row r="49" spans="1:23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f>+SUMPRODUCT(('2019'!$G49:$R49)*('2019'!$G$5:$R$5&lt;=Master!$B$3)*($A49='2019'!$A$10:$A$66))</f>
        <v>81851718.74000001</v>
      </c>
      <c r="H49" s="200">
        <f>+SUMPRODUCT(('2019'!$G144:$R144)*('2019'!$G$5:$R$5&lt;=Master!$B$3))</f>
        <v>160462499.93999997</v>
      </c>
      <c r="I49" s="201">
        <f t="shared" si="6"/>
        <v>-78610781.199999958</v>
      </c>
      <c r="J49" s="202">
        <f t="shared" si="0"/>
        <v>-0.48990126184868144</v>
      </c>
      <c r="K49" s="200">
        <f>+SUMPRODUCT(('2018'!$G49:$R49)*('2018'!$G$5:$R$5&lt;=Master!$B$3))</f>
        <v>83697448.540000007</v>
      </c>
      <c r="L49" s="201">
        <f t="shared" si="7"/>
        <v>-1845729.799999997</v>
      </c>
      <c r="M49" s="203">
        <f t="shared" si="1"/>
        <v>-2.2052402220097522E-2</v>
      </c>
      <c r="N49" s="200">
        <f>+INDEX('2019'!$1:$1048576,MATCH('Analitika - 2019'!$A49,'2019'!$A:$A,0),MATCH('Analitika - 2019'!$N$6,'2019'!$6:$6,0))</f>
        <v>12842221.23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2"/>
        <v>-13901528.759999994</v>
      </c>
      <c r="Q49" s="202">
        <f t="shared" si="3"/>
        <v>-0.51980476803731879</v>
      </c>
      <c r="R49" s="200">
        <f>+INDEX('2018'!$1:$1048576,MATCH('Analitika - 2019'!$A49,'2018'!$A:$A,0),MATCH('Analitika - 2019'!$R$6,'2018'!$6:$6,0))</f>
        <v>23764039.27</v>
      </c>
      <c r="S49" s="201">
        <f t="shared" si="4"/>
        <v>-10921818.039999999</v>
      </c>
      <c r="T49" s="203" t="s">
        <v>774</v>
      </c>
    </row>
    <row r="50" spans="1:23">
      <c r="A50" s="175">
        <v>451</v>
      </c>
      <c r="B50" s="474" t="str">
        <f>+VLOOKUP($A50,Master!$D$27:$G$225,4,FALSE)</f>
        <v>Pozajmice i krediti</v>
      </c>
      <c r="C50" s="475"/>
      <c r="D50" s="475"/>
      <c r="E50" s="475"/>
      <c r="F50" s="475"/>
      <c r="G50" s="188">
        <f>+SUMPRODUCT(('2019'!$G50:$R50)*('2019'!$G$5:$R$5&lt;=Master!$B$3)*($A50='2019'!$A$10:$A$66))</f>
        <v>1305607.98</v>
      </c>
      <c r="H50" s="188">
        <f>+SUMPRODUCT(('2019'!$G145:$R145)*('2019'!$G$5:$R$5&lt;=Master!$B$3))</f>
        <v>1140000.5</v>
      </c>
      <c r="I50" s="189">
        <f>G50-H50</f>
        <v>165607.47999999998</v>
      </c>
      <c r="J50" s="343">
        <f t="shared" si="0"/>
        <v>0.14526965558348448</v>
      </c>
      <c r="K50" s="188">
        <f>+SUMPRODUCT(('2018'!$G50:$R50)*('2018'!$G$5:$R$5&lt;=Master!$B$3))</f>
        <v>1234392.67</v>
      </c>
      <c r="L50" s="349">
        <f t="shared" si="7"/>
        <v>71215.310000000056</v>
      </c>
      <c r="M50" s="352">
        <f t="shared" si="1"/>
        <v>5.7692589830430574E-2</v>
      </c>
      <c r="N50" s="188">
        <f>+INDEX('2019'!$1:$1048576,MATCH('Analitika - 2019'!$A50,'2019'!$A:$A,0),MATCH('Analitika - 2019'!$N$6,'2019'!$6:$6,0))</f>
        <v>358750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2"/>
        <v>168749.91666666666</v>
      </c>
      <c r="Q50" s="343">
        <f t="shared" si="3"/>
        <v>0.88815706659777782</v>
      </c>
      <c r="R50" s="188">
        <f>+INDEX('2018'!$1:$1048576,MATCH('Analitika - 2019'!$A50,'2018'!$A:$A,0),MATCH('Analitika - 2019'!$R$6,'2018'!$6:$6,0))</f>
        <v>285000.05</v>
      </c>
      <c r="S50" s="349">
        <f t="shared" si="4"/>
        <v>73749.950000000012</v>
      </c>
      <c r="T50" s="352" t="s">
        <v>774</v>
      </c>
    </row>
    <row r="51" spans="1:23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f>+SUMPRODUCT(('2019'!$G51:$R51)*('2019'!$G$5:$R$5&lt;=Master!$B$3)*($A51='2019'!$A$10:$A$66))</f>
        <v>6738987.2400000002</v>
      </c>
      <c r="H51" s="188">
        <f>+SUMPRODUCT(('2019'!$G146:$R146)*('2019'!$G$5:$R$5&lt;=Master!$B$3))</f>
        <v>10096500</v>
      </c>
      <c r="I51" s="189">
        <f t="shared" ref="I51:I52" si="8">G51-H51</f>
        <v>-3357512.76</v>
      </c>
      <c r="J51" s="344">
        <f t="shared" si="0"/>
        <v>-0.3325422433516565</v>
      </c>
      <c r="K51" s="188">
        <f>+SUMPRODUCT(('2018'!$G51:$R51)*('2018'!$G$5:$R$5&lt;=Master!$B$3))</f>
        <v>9118214.6500000004</v>
      </c>
      <c r="L51" s="350">
        <f t="shared" si="7"/>
        <v>-2379227.41</v>
      </c>
      <c r="M51" s="353">
        <f t="shared" si="1"/>
        <v>-0.26093127890995638</v>
      </c>
      <c r="N51" s="188">
        <f>+INDEX('2019'!$1:$1048576,MATCH('Analitika - 2019'!$A51,'2019'!$A:$A,0),MATCH('Analitika - 2019'!$N$6,'2019'!$6:$6,0))</f>
        <v>1292423.94</v>
      </c>
      <c r="O51" s="188">
        <f>+INDEX('2019'!$1:$1048576,MATCH(CONCATENATE('Analitika - 2019'!$A51,"p"),'2019'!$A:$A,0),MATCH('Analitika - 2019'!$O$6,'2019'!$101:$101,0))</f>
        <v>1650583.3333333333</v>
      </c>
      <c r="P51" s="189">
        <f t="shared" si="2"/>
        <v>-358159.39333333331</v>
      </c>
      <c r="Q51" s="344">
        <f t="shared" si="3"/>
        <v>-0.21698958550007574</v>
      </c>
      <c r="R51" s="188">
        <f>+INDEX('2018'!$1:$1048576,MATCH('Analitika - 2019'!$A51,'2018'!$A:$A,0),MATCH('Analitika - 2019'!$R$6,'2018'!$6:$6,0))</f>
        <v>1980934.15</v>
      </c>
      <c r="S51" s="350">
        <f t="shared" si="4"/>
        <v>-688510.21</v>
      </c>
      <c r="T51" s="353">
        <f t="shared" si="5"/>
        <v>-0.34756844895626637</v>
      </c>
      <c r="W51" s="441"/>
    </row>
    <row r="52" spans="1:23" ht="15.7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188">
        <f>+SUMPRODUCT(('2019'!$G52:$R52)*('2019'!$G$5:$R$5&lt;=Master!$B$3)*($A52='2019'!$A$10:$A$66))</f>
        <v>9434699.4100000001</v>
      </c>
      <c r="H52" s="188">
        <f>+SUMPRODUCT(('2019'!$G147:$R147)*('2019'!$G$5:$R$5&lt;=Master!$B$3))</f>
        <v>0</v>
      </c>
      <c r="I52" s="189">
        <f t="shared" si="8"/>
        <v>9434699.4100000001</v>
      </c>
      <c r="J52" s="345" t="str">
        <f t="shared" si="0"/>
        <v>…</v>
      </c>
      <c r="K52" s="188">
        <f>+SUMPRODUCT(('2018'!$G52:$R52)*('2018'!$G$5:$R$5&lt;=Master!$B$3))</f>
        <v>0</v>
      </c>
      <c r="L52" s="350">
        <f t="shared" si="7"/>
        <v>9434699.4100000001</v>
      </c>
      <c r="M52" s="354" t="str">
        <f t="shared" si="1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2"/>
        <v>0</v>
      </c>
      <c r="Q52" s="345" t="str">
        <f t="shared" si="3"/>
        <v>…</v>
      </c>
      <c r="R52" s="188">
        <f>+INDEX('2018'!$1:$1048576,MATCH('Analitika - 2019'!$A52,'2018'!$A:$A,0),MATCH('Analitika - 2019'!$R$6,'2018'!$6:$6,0))</f>
        <v>0</v>
      </c>
      <c r="S52" s="350">
        <f t="shared" si="4"/>
        <v>0</v>
      </c>
      <c r="T52" s="354" t="str">
        <f t="shared" si="5"/>
        <v>…</v>
      </c>
    </row>
    <row r="53" spans="1:23" ht="15.75" thickBot="1">
      <c r="A53" s="169">
        <v>4630</v>
      </c>
      <c r="B53" s="476" t="str">
        <f>+VLOOKUP($A53,Master!$D$27:$G$225,4,FALSE)</f>
        <v>Otplata obaveza iz prethodnih godina</v>
      </c>
      <c r="C53" s="477"/>
      <c r="D53" s="477"/>
      <c r="E53" s="477"/>
      <c r="F53" s="477"/>
      <c r="G53" s="390">
        <f>+SUMPRODUCT(('2019'!$G53:$R53)*('2019'!$G$5:$R$5&lt;=Master!$B$3)*($A53='2019'!$A$10:$A$66))</f>
        <v>9372634.9699999988</v>
      </c>
      <c r="H53" s="390">
        <f>+SUMPRODUCT(('2019'!$G148:$R148)*('2019'!$G$5:$R$5&lt;=Master!$B$3))</f>
        <v>8891627.3000000007</v>
      </c>
      <c r="I53" s="351">
        <f>G53-H53</f>
        <v>481007.66999999806</v>
      </c>
      <c r="J53" s="346">
        <f t="shared" si="0"/>
        <v>5.4096697237860925E-2</v>
      </c>
      <c r="K53" s="390">
        <f>+SUMPRODUCT(('2018'!$G53:$R53)*('2018'!$G$5:$R$5&lt;=Master!$B$3))</f>
        <v>11664121.609999999</v>
      </c>
      <c r="L53" s="357">
        <f t="shared" si="7"/>
        <v>-2291486.6400000006</v>
      </c>
      <c r="M53" s="355">
        <f t="shared" si="1"/>
        <v>-0.19645599699813154</v>
      </c>
      <c r="N53" s="390">
        <f>+INDEX('2019'!$1:$1048576,MATCH('Analitika - 2019'!$A53,'2019'!$A:$A,0),MATCH('Analitika - 2019'!$N$6,'2019'!$6:$6,0))</f>
        <v>1848609.33</v>
      </c>
      <c r="O53" s="390">
        <f>+INDEX('2019'!$1:$1048576,MATCH(CONCATENATE('Analitika - 2019'!$A53,"p"),'2019'!$A:$A,0),MATCH('Analitika - 2019'!$O$6,'2019'!$101:$101,0))</f>
        <v>1669874.52</v>
      </c>
      <c r="P53" s="351">
        <f>N53-O53</f>
        <v>178734.81000000006</v>
      </c>
      <c r="Q53" s="346">
        <f t="shared" si="3"/>
        <v>0.10703487469226136</v>
      </c>
      <c r="R53" s="390">
        <f>+INDEX('2018'!$1:$1048576,MATCH('Analitika - 2019'!$A53,'2018'!$A:$A,0),MATCH('Analitika - 2019'!$R$6,'2018'!$6:$6,0))</f>
        <v>1981350.35</v>
      </c>
      <c r="S53" s="357">
        <f>+N53-R53</f>
        <v>-132741.02000000002</v>
      </c>
      <c r="T53" s="355">
        <f>+IF(ISNUMBER(N53/R53-1),N53/R53-1,"…")</f>
        <v>-6.6995228784248129E-2</v>
      </c>
    </row>
    <row r="54" spans="1:23" ht="15.75" thickBot="1">
      <c r="A54" s="169">
        <v>1005</v>
      </c>
      <c r="B54" s="476" t="str">
        <f>+VLOOKUP($A54,Master!$D$27:$G$227,4,FALSE)</f>
        <v>Neto povećanje obaveza</v>
      </c>
      <c r="C54" s="477"/>
      <c r="D54" s="477"/>
      <c r="E54" s="477"/>
      <c r="F54" s="477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0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1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3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>+SUMPRODUCT(('2019'!$G55:$R55)*('2019'!$G$5:$R$5&lt;=Master!$B$3)*($A55='2019'!$A$10:$A$66))</f>
        <v>-63265821.64000009</v>
      </c>
      <c r="H55" s="176">
        <f>+SUMPRODUCT(('2019'!$G150:$R150)*('2019'!$G$5:$R$5&lt;=Master!$B$3))</f>
        <v>-214861860.22338054</v>
      </c>
      <c r="I55" s="397">
        <f>+G55-H55</f>
        <v>151596038.58338046</v>
      </c>
      <c r="J55" s="348">
        <f t="shared" si="0"/>
        <v>-0.70555117797907019</v>
      </c>
      <c r="K55" s="176">
        <f>+SUMPRODUCT(('2018'!$G55:$R55)*('2018'!$G$5:$R$5&lt;=Master!$B$3))</f>
        <v>-91806741.329999968</v>
      </c>
      <c r="L55" s="358">
        <f t="shared" si="7"/>
        <v>28540919.689999878</v>
      </c>
      <c r="M55" s="356">
        <f t="shared" si="1"/>
        <v>-0.31088043510235641</v>
      </c>
      <c r="N55" s="176">
        <f>+INDEX('2019'!$1:$1048576,MATCH('Analitika - 2019'!$A55,'2019'!$A:$A,0),MATCH('Analitika - 2019'!$N$6,'2019'!$6:$6,0))</f>
        <v>-885815.44000002742</v>
      </c>
      <c r="O55" s="176">
        <f>+INDEX('2019'!$1:$1048576,MATCH(CONCATENATE('Analitika - 2019'!$A55,"p"),'2019'!$A:$A,0),MATCH('Analitika - 2019'!$O$6,'2019'!$101:$101,0))</f>
        <v>-11410113.468270361</v>
      </c>
      <c r="P55" s="397">
        <f>N55-O55</f>
        <v>10524298.028270334</v>
      </c>
      <c r="Q55" s="348">
        <f t="shared" si="3"/>
        <v>-0.92236576415621685</v>
      </c>
      <c r="R55" s="176">
        <f>+INDEX('2018'!$1:$1048576,MATCH('Analitika - 2019'!$A55,'2018'!$A:$A,0),MATCH('Analitika - 2019'!$R$6,'2018'!$6:$6,0))</f>
        <v>-21395060.979999989</v>
      </c>
      <c r="S55" s="358">
        <f t="shared" si="4"/>
        <v>20509245.539999962</v>
      </c>
      <c r="T55" s="450">
        <f>+IF(ISNUMBER(N55/R55-1),N55/R55-1,"…")</f>
        <v>-0.95859719956731682</v>
      </c>
    </row>
    <row r="56" spans="1:23" ht="15.7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176">
        <f>+SUMPRODUCT(('2019'!$G56:$R56)*('2019'!$G$5:$R$5&lt;=Master!$B$3)*($A56='2019'!$A$10:$A$66))</f>
        <v>6641225.3899999065</v>
      </c>
      <c r="H56" s="176">
        <f>+SUMPRODUCT(('2019'!$G151:$R151)*('2019'!$G$5:$R$5&lt;=Master!$B$3))</f>
        <v>-143273545.13338053</v>
      </c>
      <c r="I56" s="231">
        <f t="shared" si="6"/>
        <v>149914770.52338043</v>
      </c>
      <c r="J56" s="232">
        <f t="shared" si="0"/>
        <v>-1.0463534659089873</v>
      </c>
      <c r="K56" s="176">
        <f>+SUMPRODUCT(('2018'!$G56:$R56)*('2018'!$G$5:$R$5&lt;=Master!$B$3))</f>
        <v>-26883987.599999964</v>
      </c>
      <c r="L56" s="231">
        <f t="shared" si="7"/>
        <v>33525212.989999872</v>
      </c>
      <c r="M56" s="233">
        <f t="shared" si="1"/>
        <v>-1.2470327500820568</v>
      </c>
      <c r="N56" s="176">
        <f>+INDEX('2019'!$1:$1048576,MATCH('Analitika - 2019'!$A56,'2019'!$A:$A,0),MATCH('Analitika - 2019'!$N$6,'2019'!$6:$6,0))</f>
        <v>4525951.499999973</v>
      </c>
      <c r="O56" s="176">
        <f>+INDEX('2019'!$1:$1048576,MATCH(CONCATENATE('Analitika - 2019'!$A56,"p"),'2019'!$A:$A,0),MATCH('Analitika - 2019'!$O$6,'2019'!$101:$101,0))</f>
        <v>-9436310.8082703613</v>
      </c>
      <c r="P56" s="231">
        <f t="shared" si="2"/>
        <v>13962262.308270335</v>
      </c>
      <c r="Q56" s="232">
        <f t="shared" si="3"/>
        <v>-1.4796314568224318</v>
      </c>
      <c r="R56" s="176">
        <f>+INDEX('2018'!$1:$1048576,MATCH('Analitika - 2019'!$A56,'2018'!$A:$A,0),MATCH('Analitika - 2019'!$R$6,'2018'!$6:$6,0))</f>
        <v>-19556340.34999999</v>
      </c>
      <c r="S56" s="231">
        <f t="shared" si="4"/>
        <v>24082291.849999964</v>
      </c>
      <c r="T56" s="450">
        <f>+IF(ISNUMBER(N56/R56-1),N56/R56-1,"…")</f>
        <v>-1.2314314140068632</v>
      </c>
    </row>
    <row r="57" spans="1:23">
      <c r="A57" s="169">
        <v>46</v>
      </c>
      <c r="B57" s="472" t="str">
        <f>+VLOOKUP($A57,Master!$D$27:$G$225,4,FALSE)</f>
        <v>Otplata dugova</v>
      </c>
      <c r="C57" s="473"/>
      <c r="D57" s="473"/>
      <c r="E57" s="473"/>
      <c r="F57" s="473"/>
      <c r="G57" s="182">
        <f>+SUMPRODUCT(('2019'!$G57:$R57)*('2019'!$G$5:$R$5&lt;=Master!$B$3)*($A57='2019'!$A$10:$A$66))</f>
        <v>317749931.88999999</v>
      </c>
      <c r="H57" s="182">
        <f>+SUMPRODUCT(('2019'!$G152:$R152)*('2019'!$G$5:$R$5&lt;=Master!$B$3))</f>
        <v>242253521.27000001</v>
      </c>
      <c r="I57" s="219">
        <f t="shared" si="6"/>
        <v>75496410.619999975</v>
      </c>
      <c r="J57" s="220">
        <f t="shared" si="0"/>
        <v>0.31164215993317423</v>
      </c>
      <c r="K57" s="182">
        <f>+SUMPRODUCT(('2018'!$G57:$R57)*('2018'!$G$5:$R$5&lt;=Master!$B$3))</f>
        <v>509777879.79000002</v>
      </c>
      <c r="L57" s="219">
        <f t="shared" si="7"/>
        <v>-192027947.90000004</v>
      </c>
      <c r="M57" s="221">
        <f t="shared" si="1"/>
        <v>-0.37668944752782296</v>
      </c>
      <c r="N57" s="182">
        <f>+INDEX('2019'!$1:$1048576,MATCH('Analitika - 2019'!$A57,'2019'!$A:$A,0),MATCH('Analitika - 2019'!$N$6,'2019'!$6:$6,0))</f>
        <v>11094774.199999999</v>
      </c>
      <c r="O57" s="182">
        <f>+INDEX('2019'!$1:$1048576,MATCH(CONCATENATE('Analitika - 2019'!$A57,"p"),'2019'!$A:$A,0),MATCH('Analitika - 2019'!$O$6,'2019'!$101:$101,0))</f>
        <v>16844785.800000001</v>
      </c>
      <c r="P57" s="219">
        <f t="shared" si="2"/>
        <v>-5750011.6000000015</v>
      </c>
      <c r="Q57" s="220">
        <f t="shared" si="3"/>
        <v>-0.34135261013529783</v>
      </c>
      <c r="R57" s="182">
        <f>+INDEX('2018'!$1:$1048576,MATCH('Analitika - 2019'!$A57,'2018'!$A:$A,0),MATCH('Analitika - 2019'!$R$6,'2018'!$6:$6,0))</f>
        <v>12929550.809999999</v>
      </c>
      <c r="S57" s="219">
        <f t="shared" si="4"/>
        <v>-1834776.6099999994</v>
      </c>
      <c r="T57" s="221">
        <f t="shared" si="5"/>
        <v>-0.14190567305562873</v>
      </c>
    </row>
    <row r="58" spans="1:23">
      <c r="A58" s="169">
        <v>4611</v>
      </c>
      <c r="B58" s="498" t="str">
        <f>+VLOOKUP($A58,Master!$D$27:$G$225,4,FALSE)</f>
        <v>Otplata hartija od vrijednosti i kredita rezidentima</v>
      </c>
      <c r="C58" s="499"/>
      <c r="D58" s="499"/>
      <c r="E58" s="499"/>
      <c r="F58" s="499"/>
      <c r="G58" s="188">
        <f>+SUMPRODUCT(('2019'!$G58:$R58)*('2019'!$G$5:$R$5&lt;=Master!$B$3)*($A58='2019'!$A$10:$A$66))</f>
        <v>93415154</v>
      </c>
      <c r="H58" s="188">
        <f>+SUMPRODUCT(('2019'!$G153:$R153)*('2019'!$G$5:$R$5&lt;=Master!$B$3))</f>
        <v>17165231.859999999</v>
      </c>
      <c r="I58" s="237">
        <f t="shared" si="6"/>
        <v>76249922.140000001</v>
      </c>
      <c r="J58" s="238">
        <f t="shared" si="0"/>
        <v>4.4421143135086094</v>
      </c>
      <c r="K58" s="188">
        <f>+SUMPRODUCT(('2018'!$G58:$R58)*('2018'!$G$5:$R$5&lt;=Master!$B$3))</f>
        <v>90053708.820000008</v>
      </c>
      <c r="L58" s="237">
        <f t="shared" si="7"/>
        <v>3361445.1799999923</v>
      </c>
      <c r="M58" s="239">
        <f t="shared" si="1"/>
        <v>3.7327115385318299E-2</v>
      </c>
      <c r="N58" s="188">
        <f>+INDEX('2019'!$1:$1048576,MATCH('Analitika - 2019'!$A58,'2019'!$A:$A,0),MATCH('Analitika - 2019'!$N$6,'2019'!$6:$6,0))</f>
        <v>1304074.52</v>
      </c>
      <c r="O58" s="188">
        <f>+INDEX('2019'!$1:$1048576,MATCH(CONCATENATE('Analitika - 2019'!$A58,"p"),'2019'!$A:$A,0),MATCH('Analitika - 2019'!$O$6,'2019'!$101:$101,0))</f>
        <v>7054086.1200000001</v>
      </c>
      <c r="P58" s="237">
        <f t="shared" si="2"/>
        <v>-5750011.5999999996</v>
      </c>
      <c r="Q58" s="238">
        <f t="shared" si="3"/>
        <v>-0.8151320386771802</v>
      </c>
      <c r="R58" s="188">
        <f>+INDEX('2018'!$1:$1048576,MATCH('Analitika - 2019'!$A58,'2018'!$A:$A,0),MATCH('Analitika - 2019'!$R$6,'2018'!$6:$6,0))</f>
        <v>4420027.8</v>
      </c>
      <c r="S58" s="237">
        <f t="shared" si="4"/>
        <v>-3115953.28</v>
      </c>
      <c r="T58" s="239">
        <f t="shared" si="5"/>
        <v>-0.70496237150363616</v>
      </c>
    </row>
    <row r="59" spans="1:23">
      <c r="A59" s="169">
        <v>4612</v>
      </c>
      <c r="B59" s="474" t="str">
        <f>+VLOOKUP($A59,Master!$D$27:$G$225,4,FALSE)</f>
        <v>Otplata hartija od vrijednosti i kredita nerezidentima</v>
      </c>
      <c r="C59" s="475"/>
      <c r="D59" s="475"/>
      <c r="E59" s="475"/>
      <c r="F59" s="475"/>
      <c r="G59" s="188">
        <f>+SUMPRODUCT(('2019'!$G59:$R59)*('2019'!$G$5:$R$5&lt;=Master!$B$3)*($A59='2019'!$A$10:$A$66))</f>
        <v>224334777.88999999</v>
      </c>
      <c r="H59" s="188">
        <f>+SUMPRODUCT(('2019'!$G154:$R154)*('2019'!$G$5:$R$5&lt;=Master!$B$3))</f>
        <v>225088289.41</v>
      </c>
      <c r="I59" s="237">
        <f t="shared" si="6"/>
        <v>-753511.52000001073</v>
      </c>
      <c r="J59" s="238">
        <f t="shared" si="0"/>
        <v>-3.3476264890328622E-3</v>
      </c>
      <c r="K59" s="188">
        <f>+SUMPRODUCT(('2018'!$G59:$R59)*('2018'!$G$5:$R$5&lt;=Master!$B$3))</f>
        <v>419724170.97000003</v>
      </c>
      <c r="L59" s="237">
        <f t="shared" si="7"/>
        <v>-195389393.08000004</v>
      </c>
      <c r="M59" s="239">
        <f t="shared" si="1"/>
        <v>-0.46551856336614361</v>
      </c>
      <c r="N59" s="188">
        <f>+INDEX('2019'!$1:$1048576,MATCH('Analitika - 2019'!$A59,'2019'!$A:$A,0),MATCH('Analitika - 2019'!$N$6,'2019'!$6:$6,0))</f>
        <v>9790699.6799999997</v>
      </c>
      <c r="O59" s="188">
        <f>+INDEX('2019'!$1:$1048576,MATCH(CONCATENATE('Analitika - 2019'!$A59,"p"),'2019'!$A:$A,0),MATCH('Analitika - 2019'!$O$6,'2019'!$101:$101,0))</f>
        <v>9790699.6799999997</v>
      </c>
      <c r="P59" s="237">
        <f t="shared" si="2"/>
        <v>0</v>
      </c>
      <c r="Q59" s="238">
        <f t="shared" si="3"/>
        <v>0</v>
      </c>
      <c r="R59" s="188">
        <f>+INDEX('2018'!$1:$1048576,MATCH('Analitika - 2019'!$A59,'2018'!$A:$A,0),MATCH('Analitika - 2019'!$R$6,'2018'!$6:$6,0))</f>
        <v>8509523.0099999998</v>
      </c>
      <c r="S59" s="237">
        <f t="shared" si="4"/>
        <v>1281176.67</v>
      </c>
      <c r="T59" s="239">
        <f t="shared" si="5"/>
        <v>0.15055798879613103</v>
      </c>
    </row>
    <row r="60" spans="1:23" ht="15.75" thickBot="1">
      <c r="A60" s="169">
        <v>4418</v>
      </c>
      <c r="B60" s="462" t="s">
        <v>340</v>
      </c>
      <c r="C60" s="463"/>
      <c r="D60" s="463"/>
      <c r="E60" s="463"/>
      <c r="F60" s="463"/>
      <c r="G60" s="425">
        <f>+SUMPRODUCT(('2019'!$G60:$R60)*('2019'!$G$5:$R$5&lt;=Master!$B$3)*($A60='2019'!$A$10:$A$66))</f>
        <v>39983668.460000001</v>
      </c>
      <c r="H60" s="425">
        <f>+SUMPRODUCT(('2019'!$G155:$R155)*('2019'!$G$5:$R$5&lt;=Master!$B$3))</f>
        <v>40060000.020000003</v>
      </c>
      <c r="I60" s="426">
        <f t="shared" ref="I60:I66" si="9">+G60-H60</f>
        <v>-76331.560000002384</v>
      </c>
      <c r="J60" s="427">
        <f>+IF(ISNUMBER(G60/H60-1),G60/H61-1,"…")</f>
        <v>-1.0804216579233901</v>
      </c>
      <c r="K60" s="425">
        <f>+SUMPRODUCT(('2018'!$G60:$R60)*('2018'!$G$5:$R$5&lt;=Master!$B$3))</f>
        <v>68939595.359999999</v>
      </c>
      <c r="L60" s="426">
        <f t="shared" ref="L60:L66" si="10">+G60-K60</f>
        <v>-28955926.899999999</v>
      </c>
      <c r="M60" s="428">
        <f>+IF(ISNUMBER(G60/K60-1),G60/K60-1,"…")</f>
        <v>-0.42001881137818153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1">+N60-O60</f>
        <v>0</v>
      </c>
      <c r="Q60" s="427" t="str">
        <f t="shared" ref="Q60:Q66" si="12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3">+N60-R60</f>
        <v>0</v>
      </c>
      <c r="T60" s="428" t="str">
        <f t="shared" ref="T60:T66" si="14">+IF(ISNUMBER(N60/R60-1),N60/R60-1,"…")</f>
        <v>…</v>
      </c>
    </row>
    <row r="61" spans="1:23" ht="15.75" thickBot="1">
      <c r="A61" s="169">
        <v>1002</v>
      </c>
      <c r="B61" s="500" t="str">
        <f>+VLOOKUP($A61,Master!$D$27:$G$225,4,FALSE)</f>
        <v>Nedostajuća sredstva</v>
      </c>
      <c r="C61" s="501"/>
      <c r="D61" s="501"/>
      <c r="E61" s="501"/>
      <c r="F61" s="501"/>
      <c r="G61" s="396">
        <f>+SUMPRODUCT(('2019'!$G$61:$R$61)*('2019'!$G$5:$R$5&lt;=Master!$B$3)*($A61='2019'!$A$10:$A$66))</f>
        <v>-420999421.99000007</v>
      </c>
      <c r="H61" s="396">
        <f>+SUMPRODUCT(('2019'!$G156:$R156)*('2019'!$G$5:$R$5&lt;=Master!$B$3))</f>
        <v>-497175381.51338059</v>
      </c>
      <c r="I61" s="398">
        <f t="shared" si="9"/>
        <v>76175959.523380518</v>
      </c>
      <c r="J61" s="399">
        <f>+IF(ISNUMBER(G61/H61-1),G61/H61-1,"…")</f>
        <v>-0.15321748090483511</v>
      </c>
      <c r="K61" s="396">
        <f>+SUMPRODUCT(('2018'!$G61:$R61)*('2018'!$G$5:$R$5&lt;=Master!$B$3))</f>
        <v>-670524216.48000002</v>
      </c>
      <c r="L61" s="398">
        <f t="shared" si="10"/>
        <v>249524794.48999995</v>
      </c>
      <c r="M61" s="401">
        <f>+IF(ISNUMBER(G61/K61-1),G61/K61-1,"…")</f>
        <v>-0.37213390412640324</v>
      </c>
      <c r="N61" s="396">
        <f>+INDEX('2019'!$1:$1048576,MATCH('Analitika - 2019'!$A61,'2019'!$A:$A,0),MATCH('Analitika - 2019'!$N$6,'2019'!$6:$6,0))</f>
        <v>-11980589.640000027</v>
      </c>
      <c r="O61" s="396">
        <f>+INDEX('2019'!$1:$1048576,MATCH(CONCATENATE('Analitika - 2019'!$A61,"p"),'2019'!$A:$A,0),MATCH('Analitika - 2019'!$O$6,'2019'!$101:$101,0))</f>
        <v>-28281565.938270364</v>
      </c>
      <c r="P61" s="398">
        <f t="shared" si="11"/>
        <v>16300976.298270337</v>
      </c>
      <c r="Q61" s="399">
        <f t="shared" si="12"/>
        <v>-0.57638167327262457</v>
      </c>
      <c r="R61" s="396">
        <f>+INDEX('2018'!$1:$1048576,MATCH('Analitika - 2019'!$A61,'2018'!$A:$A,0),MATCH('Analitika - 2019'!$R$6,'2018'!$6:$6,0))</f>
        <v>-34324611.789999992</v>
      </c>
      <c r="S61" s="398">
        <f t="shared" si="13"/>
        <v>22344022.149999965</v>
      </c>
      <c r="T61" s="401">
        <f t="shared" si="14"/>
        <v>-0.65096212265129227</v>
      </c>
    </row>
    <row r="62" spans="1:23" ht="15.75" thickBot="1">
      <c r="A62" s="169">
        <v>1003</v>
      </c>
      <c r="B62" s="464" t="str">
        <f>+VLOOKUP($A62,Master!$D$27:$G$225,4,FALSE)</f>
        <v>Finansiranje</v>
      </c>
      <c r="C62" s="465"/>
      <c r="D62" s="465"/>
      <c r="E62" s="465"/>
      <c r="F62" s="465"/>
      <c r="G62" s="176">
        <f>+SUMPRODUCT(('2019'!$G$62:$R$62)*('2019'!$G$5:$R$5&lt;=Master!$B$3)*($A62='2019'!$A$10:$A$66))</f>
        <v>420999421.99000007</v>
      </c>
      <c r="H62" s="176">
        <f>+SUMPRODUCT(('2019'!$G157:$R157)*('2019'!$G$5:$R$5&lt;=Master!$B$3))</f>
        <v>497175381.51338059</v>
      </c>
      <c r="I62" s="397">
        <f t="shared" si="9"/>
        <v>-76175959.523380518</v>
      </c>
      <c r="J62" s="400">
        <f>+IF(ISNUMBER(G62/H63-1),G62/H63-1,"…")</f>
        <v>1.215786431526316</v>
      </c>
      <c r="K62" s="176">
        <f>+SUMPRODUCT(('2018'!$G62:$R62)*('2018'!$G$5:$R$5&lt;=Master!$B$3))</f>
        <v>670524216.48000002</v>
      </c>
      <c r="L62" s="397">
        <f t="shared" si="10"/>
        <v>-249524794.48999995</v>
      </c>
      <c r="M62" s="402">
        <f>+IF(ISNUMBER(G62/K63-1),G62/K63-1,"…")</f>
        <v>2.0819869838213769</v>
      </c>
      <c r="N62" s="176">
        <f>+INDEX('2019'!$1:$1048576,MATCH('Analitika - 2019'!$A62,'2019'!$A:$A,0),MATCH('Analitika - 2019'!$N$6,'2019'!$6:$6,0))</f>
        <v>11980589.640000027</v>
      </c>
      <c r="O62" s="176">
        <f>+INDEX('2019'!$1:$1048576,MATCH(CONCATENATE('Analitika - 2019'!$A62,"p"),'2019'!$A:$A,0),MATCH('Analitika - 2019'!$O$6,'2019'!$101:$101,0))</f>
        <v>28281565.938270364</v>
      </c>
      <c r="P62" s="397">
        <f t="shared" si="11"/>
        <v>-16300976.298270337</v>
      </c>
      <c r="Q62" s="400">
        <f>+IF(ISNUMBER(N62/O62-1),N62/O62-1,"…")</f>
        <v>-0.57638167327262457</v>
      </c>
      <c r="R62" s="176">
        <f>+INDEX('2018'!$1:$1048576,MATCH('Analitika - 2019'!$A62,'2018'!$A:$A,0),MATCH('Analitika - 2019'!$R$6,'2018'!$6:$6,0))</f>
        <v>34324611.789999992</v>
      </c>
      <c r="S62" s="397">
        <f t="shared" si="13"/>
        <v>-22344022.149999965</v>
      </c>
      <c r="T62" s="402">
        <f t="shared" si="14"/>
        <v>-0.65096212265129227</v>
      </c>
    </row>
    <row r="63" spans="1:23">
      <c r="A63" s="169">
        <v>7511</v>
      </c>
      <c r="B63" s="498" t="str">
        <f>+VLOOKUP($A63,Master!$D$27:$G$225,4,FALSE)</f>
        <v>Pozajmice i krediti od domaćih izvora</v>
      </c>
      <c r="C63" s="499"/>
      <c r="D63" s="499"/>
      <c r="E63" s="499"/>
      <c r="F63" s="499"/>
      <c r="G63" s="188">
        <f>+SUMPRODUCT(('2019'!$G63:$R63)*('2019'!$G$5:$R$5&lt;=Master!$B$3)*($A63='2019'!$A$10:$A$66))</f>
        <v>214438000</v>
      </c>
      <c r="H63" s="188">
        <f>+SUMPRODUCT(('2019'!$G158:$R158)*('2019'!$G$5:$R$5&lt;=Master!$B$3))</f>
        <v>190000000</v>
      </c>
      <c r="I63" s="237">
        <f t="shared" si="9"/>
        <v>24438000</v>
      </c>
      <c r="J63" s="238">
        <f>+IF(ISNUMBER(G63/H63-1),G63/H63-1,"…")</f>
        <v>0.12862105263157897</v>
      </c>
      <c r="K63" s="188">
        <f>+SUMPRODUCT(('2018'!$G63:$R63)*('2018'!$G$5:$R$5&lt;=Master!$B$3))</f>
        <v>136600000</v>
      </c>
      <c r="L63" s="237">
        <f t="shared" si="10"/>
        <v>77838000</v>
      </c>
      <c r="M63" s="239">
        <f>+IF(ISNUMBER(G63/K63-1),G63/K63-1,"…")</f>
        <v>0.5698243045387994</v>
      </c>
      <c r="N63" s="188">
        <f>+INDEX('2019'!$1:$1048576,MATCH('Analitika - 2019'!$A63,'2019'!$A:$A,0),MATCH('Analitika - 2019'!$N$6,'2019'!$6:$6,0))</f>
        <v>0</v>
      </c>
      <c r="O63" s="188">
        <f>+INDEX('2019'!$1:$1048576,MATCH(CONCATENATE('Analitika - 2019'!$A63,"p"),'2019'!$A:$A,0),MATCH('Analitika - 2019'!$O$6,'2019'!$101:$101,0))</f>
        <v>0</v>
      </c>
      <c r="P63" s="237">
        <f t="shared" si="11"/>
        <v>0</v>
      </c>
      <c r="Q63" s="238" t="str">
        <f t="shared" si="12"/>
        <v>…</v>
      </c>
      <c r="R63" s="188">
        <f>+INDEX('2018'!$1:$1048576,MATCH('Analitika - 2019'!$A63,'2018'!$A:$A,0),MATCH('Analitika - 2019'!$R$6,'2018'!$6:$6,0))</f>
        <v>0</v>
      </c>
      <c r="S63" s="237">
        <f t="shared" si="13"/>
        <v>0</v>
      </c>
      <c r="T63" s="239" t="str">
        <f t="shared" si="14"/>
        <v>…</v>
      </c>
    </row>
    <row r="64" spans="1:23">
      <c r="A64" s="169">
        <v>7512</v>
      </c>
      <c r="B64" s="474" t="str">
        <f>+VLOOKUP($A64,Master!$D$27:$G$225,4,FALSE)</f>
        <v>Pozajmice i krediti od inostranih izvora</v>
      </c>
      <c r="C64" s="475"/>
      <c r="D64" s="475"/>
      <c r="E64" s="475"/>
      <c r="F64" s="475"/>
      <c r="G64" s="188">
        <f>+SUMPRODUCT(('2019'!$G64:$R64)*('2019'!$G$5:$R$5&lt;=Master!$B$3)*($A64='2019'!$A$10:$A$66))</f>
        <v>66765844.480000004</v>
      </c>
      <c r="H64" s="188">
        <f>+SUMPRODUCT(('2019'!$G159:$R159)*('2019'!$G$5:$R$5&lt;=Master!$B$3))</f>
        <v>85422181.24000001</v>
      </c>
      <c r="I64" s="237">
        <f t="shared" si="9"/>
        <v>-18656336.760000005</v>
      </c>
      <c r="J64" s="238">
        <f>+IF(ISNUMBER(G64/H64-1),G64/H64-1,"…")</f>
        <v>-0.21840154968161762</v>
      </c>
      <c r="K64" s="188">
        <f>+SUMPRODUCT(('2018'!$G64:$R64)*('2018'!$G$5:$R$5&lt;=Master!$B$3))</f>
        <v>773798030.83000004</v>
      </c>
      <c r="L64" s="237">
        <f t="shared" si="10"/>
        <v>-707032186.35000002</v>
      </c>
      <c r="M64" s="239" t="s">
        <v>774</v>
      </c>
      <c r="N64" s="188">
        <f>+INDEX('2019'!$1:$1048576,MATCH('Analitika - 2019'!$A64,'2019'!$A:$A,0),MATCH('Analitika - 2019'!$N$6,'2019'!$6:$6,0))</f>
        <v>8784836.1999999993</v>
      </c>
      <c r="O64" s="188">
        <f>+INDEX('2019'!$1:$1048576,MATCH(CONCATENATE('Analitika - 2019'!$A64,"p"),'2019'!$A:$A,0),MATCH('Analitika - 2019'!$O$6,'2019'!$101:$101,0))</f>
        <v>17000000</v>
      </c>
      <c r="P64" s="237">
        <f t="shared" si="11"/>
        <v>-8215163.8000000007</v>
      </c>
      <c r="Q64" s="238">
        <f t="shared" si="12"/>
        <v>-0.48324492941176478</v>
      </c>
      <c r="R64" s="188">
        <f>+INDEX('2018'!$1:$1048576,MATCH('Analitika - 2019'!$A64,'2018'!$A:$A,0),MATCH('Analitika - 2019'!$R$6,'2018'!$6:$6,0))</f>
        <v>266189636.84999999</v>
      </c>
      <c r="S64" s="237">
        <f t="shared" si="13"/>
        <v>-257404800.65000001</v>
      </c>
      <c r="T64" s="239" t="s">
        <v>774</v>
      </c>
    </row>
    <row r="65" spans="1:20">
      <c r="A65" s="169">
        <v>72</v>
      </c>
      <c r="B65" s="474" t="str">
        <f>+VLOOKUP($A65,Master!$D$27:$G$225,4,FALSE)</f>
        <v>Primici od prodaje imovine</v>
      </c>
      <c r="C65" s="475"/>
      <c r="D65" s="475"/>
      <c r="E65" s="475"/>
      <c r="F65" s="475"/>
      <c r="G65" s="188">
        <f>+SUMPRODUCT(('2019'!$G65:$R65)*('2019'!$G$5:$R$5&lt;=Master!$B$3)*($A65='2019'!$A$10:$A$66))</f>
        <v>1500130.95</v>
      </c>
      <c r="H65" s="188">
        <f>+SUMPRODUCT(('2019'!$G160:$R160)*('2019'!$G$5:$R$5&lt;=Master!$B$3))</f>
        <v>3000000</v>
      </c>
      <c r="I65" s="237">
        <f t="shared" si="9"/>
        <v>-1499869.05</v>
      </c>
      <c r="J65" s="238">
        <f>+IF(ISNUMBER(G65/H65-1),G65/H65-1,"…")</f>
        <v>-0.49995635000000005</v>
      </c>
      <c r="K65" s="188">
        <f>+SUMPRODUCT(('2018'!$G65:$R65)*('2018'!$G$5:$R$5&lt;=Master!$B$3))</f>
        <v>13389210.450000001</v>
      </c>
      <c r="L65" s="237">
        <f t="shared" si="10"/>
        <v>-11889079.500000002</v>
      </c>
      <c r="M65" s="239">
        <f>+IF(ISNUMBER(G65/K65-1),G65/K65-1,"…")</f>
        <v>-0.8879597153542389</v>
      </c>
      <c r="N65" s="188">
        <f>+INDEX('2019'!$1:$1048576,MATCH('Analitika - 2019'!$A65,'2019'!$A:$A,0),MATCH('Analitika - 2019'!$N$6,'2019'!$6:$6,0))</f>
        <v>722176.42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1"/>
        <v>222176.42000000004</v>
      </c>
      <c r="Q65" s="238">
        <f t="shared" si="12"/>
        <v>0.44435284000000008</v>
      </c>
      <c r="R65" s="188">
        <f>+INDEX('2018'!$1:$1048576,MATCH('Analitika - 2019'!$A65,'2018'!$A:$A,0),MATCH('Analitika - 2019'!$R$6,'2018'!$6:$6,0))</f>
        <v>10312117.130000001</v>
      </c>
      <c r="S65" s="237">
        <f t="shared" si="13"/>
        <v>-9589940.7100000009</v>
      </c>
      <c r="T65" s="239">
        <f t="shared" si="14"/>
        <v>-0.92996817133709186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138295446.56000012</v>
      </c>
      <c r="H66" s="394">
        <f>+SUMPRODUCT(('2019'!$G161:$R161)*('2019'!$G$5:$R$5&lt;=Master!$B$3))</f>
        <v>218753200.27338052</v>
      </c>
      <c r="I66" s="251">
        <f t="shared" si="9"/>
        <v>-80457753.713380396</v>
      </c>
      <c r="J66" s="252">
        <f>+IF(ISNUMBER(G66/H66-1),G66/H66-1,"…")</f>
        <v>-0.36780149324823885</v>
      </c>
      <c r="K66" s="394">
        <f>+SUMPRODUCT(('2018'!$G66:$R66)*('2018'!$G$5:$R$5&lt;=Master!$B$3))</f>
        <v>-253263024.80000001</v>
      </c>
      <c r="L66" s="251">
        <f t="shared" si="10"/>
        <v>391558471.36000013</v>
      </c>
      <c r="M66" s="253" t="s">
        <v>774</v>
      </c>
      <c r="N66" s="394">
        <f>+INDEX('2019'!$1:$1048576,MATCH('Analitika - 2019'!$A66,'2019'!$A:$A,0),MATCH('Analitika - 2019'!$N$6,'2019'!$6:$6,0))</f>
        <v>2473577.0200000275</v>
      </c>
      <c r="O66" s="394">
        <f>+INDEX('2019'!$1:$1048576,MATCH(CONCATENATE('Analitika - 2019'!$A66,"p"),'2019'!$A:$A,0),MATCH('Analitika - 2019'!$O$6,'2019'!$101:$101,0))</f>
        <v>10781565.938270364</v>
      </c>
      <c r="P66" s="251">
        <f t="shared" si="11"/>
        <v>-8307988.9182703365</v>
      </c>
      <c r="Q66" s="252">
        <f t="shared" si="12"/>
        <v>-0.77057349236999129</v>
      </c>
      <c r="R66" s="394">
        <f>+INDEX('2018'!$1:$1048576,MATCH('Analitika - 2019'!$A66,'2018'!$A:$A,0),MATCH('Analitika - 2019'!$R$6,'2018'!$6:$6,0))</f>
        <v>-242177142.19000003</v>
      </c>
      <c r="S66" s="251">
        <f t="shared" si="13"/>
        <v>244650719.21000007</v>
      </c>
      <c r="T66" s="253">
        <f t="shared" si="14"/>
        <v>-1.0102139161344112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B19" sqref="B19:F19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6.8554687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779</v>
      </c>
      <c r="H6" s="259" t="s">
        <v>780</v>
      </c>
      <c r="I6" s="259" t="s">
        <v>781</v>
      </c>
      <c r="J6" s="259" t="s">
        <v>782</v>
      </c>
      <c r="K6" s="259" t="s">
        <v>783</v>
      </c>
      <c r="L6" s="259" t="s">
        <v>784</v>
      </c>
      <c r="M6" s="259" t="s">
        <v>785</v>
      </c>
      <c r="N6" s="259" t="s">
        <v>786</v>
      </c>
      <c r="O6" s="259" t="s">
        <v>787</v>
      </c>
      <c r="P6" s="259" t="s">
        <v>788</v>
      </c>
      <c r="Q6" s="259" t="s">
        <v>789</v>
      </c>
      <c r="R6" s="259" t="s">
        <v>790</v>
      </c>
      <c r="S6" s="258"/>
      <c r="T6" s="258"/>
    </row>
    <row r="7" spans="1:20" ht="15" customHeight="1" thickBot="1">
      <c r="A7" s="169"/>
      <c r="B7" s="504" t="str">
        <f>+Master!G251</f>
        <v>Ostvarenje budžeta</v>
      </c>
      <c r="C7" s="485"/>
      <c r="D7" s="485"/>
      <c r="E7" s="485"/>
      <c r="F7" s="485"/>
      <c r="G7" s="493">
        <v>2019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+Master!G248</f>
        <v>BDP</v>
      </c>
      <c r="T7" s="261">
        <v>4788600000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93" t="str">
        <f>+Master!G245</f>
        <v>Jan - Jun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 t="shared" ref="G10:R10" si="1">+G11+G19+SUM(G24:G28)</f>
        <v>107257935.59</v>
      </c>
      <c r="H10" s="176">
        <f t="shared" si="1"/>
        <v>116544625.94999999</v>
      </c>
      <c r="I10" s="176">
        <f t="shared" si="1"/>
        <v>147544680.63</v>
      </c>
      <c r="J10" s="176">
        <f>+J11+J19+SUM(J24:J28)</f>
        <v>165045416.32999998</v>
      </c>
      <c r="K10" s="176">
        <f t="shared" si="1"/>
        <v>144226612.90000001</v>
      </c>
      <c r="L10" s="176">
        <f t="shared" si="1"/>
        <v>143393601.47999999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824012872.88</v>
      </c>
      <c r="T10" s="265">
        <f>+S10/$T$7</f>
        <v>0.17207803384705342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94372185.030000001</v>
      </c>
      <c r="L11" s="182">
        <f t="shared" si="2"/>
        <v>89389439.689999998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530163627.60999995</v>
      </c>
      <c r="T11" s="268">
        <f t="shared" ref="T11:T66" si="4">+S11/$T$7</f>
        <v>0.11071370079146305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10210712.41</v>
      </c>
      <c r="L12" s="188">
        <f>+INDEX(DataEx!$1:$1048576,MATCH('2019'!$A12,DataEx!$D:$D,0),MATCH('2019'!L$6,DataEx!$7:$7,0))</f>
        <v>10125793.029999999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53751143.780000001</v>
      </c>
      <c r="T12" s="270">
        <f t="shared" si="4"/>
        <v>1.1224813887148645E-2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4781744.7</v>
      </c>
      <c r="L13" s="188">
        <f>+INDEX(DataEx!$1:$1048576,MATCH('2019'!$A13,DataEx!$D:$D,0),MATCH('2019'!L$6,DataEx!$7:$7,0))</f>
        <v>3678815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54234050.359999999</v>
      </c>
      <c r="T13" s="270">
        <f t="shared" si="4"/>
        <v>1.1325658931629286E-2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147510.5</v>
      </c>
      <c r="L14" s="188">
        <f>+INDEX(DataEx!$1:$1048576,MATCH('2019'!$A14,DataEx!$D:$D,0),MATCH('2019'!L$6,DataEx!$7:$7,0))</f>
        <v>158253.64000000001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944287.6</v>
      </c>
      <c r="T14" s="270">
        <f t="shared" si="4"/>
        <v>1.9719492127135278E-4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56428341.859999999</v>
      </c>
      <c r="L15" s="188">
        <f>+INDEX(DataEx!$1:$1048576,MATCH('2019'!$A15,DataEx!$D:$D,0),MATCH('2019'!L$6,DataEx!$7:$7,0))</f>
        <v>52810087.229999997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303685074.31</v>
      </c>
      <c r="T15" s="270">
        <f t="shared" si="4"/>
        <v>6.3418342377730447E-2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19442485.359999999</v>
      </c>
      <c r="L16" s="188">
        <f>+INDEX(DataEx!$1:$1048576,MATCH('2019'!$A16,DataEx!$D:$D,0),MATCH('2019'!L$6,DataEx!$7:$7,0))</f>
        <v>19205497.870000001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97116728.040000007</v>
      </c>
      <c r="T16" s="270">
        <f t="shared" si="4"/>
        <v>2.028081861922065E-2</v>
      </c>
    </row>
    <row r="17" spans="1:25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2502520.2799999998</v>
      </c>
      <c r="L17" s="188">
        <f>+INDEX(DataEx!$1:$1048576,MATCH('2019'!$A17,DataEx!$D:$D,0),MATCH('2019'!L$6,DataEx!$7:$7,0))</f>
        <v>2485583.9700000002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13140970.15</v>
      </c>
      <c r="T17" s="270">
        <f t="shared" si="4"/>
        <v>2.7442196362193545E-3</v>
      </c>
    </row>
    <row r="18" spans="1:25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858869.92</v>
      </c>
      <c r="L18" s="188">
        <f>+INDEX(DataEx!$1:$1048576,MATCH('2019'!$A18,DataEx!$D:$D,0),MATCH('2019'!L$6,DataEx!$7:$7,0))</f>
        <v>925408.95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7291373.3700000001</v>
      </c>
      <c r="T18" s="270">
        <f t="shared" si="4"/>
        <v>1.522652418243328E-3</v>
      </c>
    </row>
    <row r="19" spans="1:25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50290988.939999998</v>
      </c>
      <c r="K19" s="194">
        <f>+INDEX(DataEx!$1:$1048576,MATCH('2019'!$A19,DataEx!$D:$D,0),MATCH('2019'!K$6,DataEx!$7:$7,0))</f>
        <v>37496285.130000003</v>
      </c>
      <c r="L19" s="194">
        <f>+INDEX(DataEx!$1:$1048576,MATCH('2019'!$A19,DataEx!$D:$D,0),MATCH('2019'!L$6,DataEx!$7:$7,0))</f>
        <v>45280786.509999998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232526810.61999997</v>
      </c>
      <c r="T19" s="273">
        <f t="shared" si="4"/>
        <v>4.8558411773796092E-2</v>
      </c>
    </row>
    <row r="20" spans="1:25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22104934.850000001</v>
      </c>
      <c r="L20" s="188">
        <f>+INDEX(DataEx!$1:$1048576,MATCH('2019'!$A20,DataEx!$D:$D,0),MATCH('2019'!L$6,DataEx!$7:$7,0))</f>
        <v>27009559.609999999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136978398.88999999</v>
      </c>
      <c r="T20" s="270">
        <f t="shared" si="4"/>
        <v>2.8605103556363025E-2</v>
      </c>
    </row>
    <row r="21" spans="1:25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13458982.5</v>
      </c>
      <c r="L21" s="188">
        <f>+INDEX(DataEx!$1:$1048576,MATCH('2019'!$A21,DataEx!$D:$D,0),MATCH('2019'!L$6,DataEx!$7:$7,0))</f>
        <v>15925774.34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83172716.269999996</v>
      </c>
      <c r="T21" s="270">
        <f t="shared" si="4"/>
        <v>1.7368900361274694E-2</v>
      </c>
    </row>
    <row r="22" spans="1:25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1026106.03</v>
      </c>
      <c r="L22" s="188">
        <f>+INDEX(DataEx!$1:$1048576,MATCH('2019'!$A22,DataEx!$D:$D,0),MATCH('2019'!L$6,DataEx!$7:$7,0))</f>
        <v>1222753.49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6380545.2700000005</v>
      </c>
      <c r="T22" s="270">
        <f t="shared" si="4"/>
        <v>1.3324448210332875E-3</v>
      </c>
    </row>
    <row r="23" spans="1:25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906261.75</v>
      </c>
      <c r="L23" s="188">
        <f>+INDEX(DataEx!$1:$1048576,MATCH('2019'!$A23,DataEx!$D:$D,0),MATCH('2019'!L$6,DataEx!$7:$7,0))</f>
        <v>1122699.07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5995150.1900000004</v>
      </c>
      <c r="T23" s="270">
        <f t="shared" si="4"/>
        <v>1.2519630351250889E-3</v>
      </c>
      <c r="Y23" s="379"/>
    </row>
    <row r="24" spans="1:25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1208813.17</v>
      </c>
      <c r="L24" s="200">
        <f>+INDEX(DataEx!$1:$1048576,MATCH('2019'!$A24,DataEx!$D:$D,0),MATCH('2019'!L$6,DataEx!$7:$7,0))</f>
        <v>1252534.6599999999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6710488.8600000003</v>
      </c>
      <c r="T24" s="273">
        <f t="shared" si="4"/>
        <v>1.401346710938479E-3</v>
      </c>
      <c r="Y24" s="379"/>
    </row>
    <row r="25" spans="1:25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1792591.2</v>
      </c>
      <c r="L25" s="200">
        <f>+INDEX(DataEx!$1:$1048576,MATCH('2019'!$A25,DataEx!$D:$D,0),MATCH('2019'!L$6,DataEx!$7:$7,0))</f>
        <v>2081141.31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13448784.5</v>
      </c>
      <c r="T25" s="273">
        <f t="shared" si="4"/>
        <v>2.8085002923610241E-3</v>
      </c>
      <c r="W25" s="366"/>
    </row>
    <row r="26" spans="1:25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f>+INDEX(DataEx!$1:$1048576,MATCH('2019'!$A26,DataEx!$D:$D,0),MATCH('2019'!G$6,DataEx!$7:$7,0))</f>
        <v>1567288.04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3194097.81</v>
      </c>
      <c r="J26" s="200">
        <f>+INDEX(DataEx!$1:$1048576,MATCH('2019'!$A26,DataEx!$D:$D,0),MATCH('2019'!J$6,DataEx!$7:$7,0))</f>
        <v>2385711.15</v>
      </c>
      <c r="K26" s="200">
        <f>+INDEX(DataEx!$1:$1048576,MATCH('2019'!$A26,DataEx!$D:$D,0),MATCH('2019'!K$6,DataEx!$7:$7,0))</f>
        <v>7159211.6399999997</v>
      </c>
      <c r="L26" s="200">
        <f>+INDEX(DataEx!$1:$1048576,MATCH('2019'!$A26,DataEx!$D:$D,0),MATCH('2019'!L$6,DataEx!$7:$7,0))</f>
        <v>3263135.44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19768975.18</v>
      </c>
      <c r="T26" s="273">
        <f t="shared" si="4"/>
        <v>4.1283413064361193E-3</v>
      </c>
    </row>
    <row r="27" spans="1:25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808656.23</v>
      </c>
      <c r="L27" s="200">
        <f>+INDEX(DataEx!$1:$1048576,MATCH('2019'!$A27,DataEx!$D:$D,0),MATCH('2019'!L$6,DataEx!$7:$7,0))</f>
        <v>1298753.81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3161318.2800000003</v>
      </c>
      <c r="T27" s="273">
        <f t="shared" si="4"/>
        <v>6.6017589274527011E-4</v>
      </c>
    </row>
    <row r="28" spans="1:25" ht="13.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1388870.5</v>
      </c>
      <c r="L28" s="200">
        <f>+INDEX(DataEx!$1:$1048576,MATCH('2019'!$A28,DataEx!$D:$D,0),MATCH('2019'!L$6,DataEx!$7:$7,0))</f>
        <v>827810.06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18232867.829999998</v>
      </c>
      <c r="T28" s="276">
        <f t="shared" si="4"/>
        <v>3.8075570793133688E-3</v>
      </c>
    </row>
    <row r="29" spans="1:25" ht="13.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>+G31+G42+G48+SUM(G49:G53)</f>
        <v>139590244.27000004</v>
      </c>
      <c r="H29" s="176">
        <f t="shared" ref="H29:R29" si="5">+H31+H42+H48+SUM(H49:H53)</f>
        <v>130859677.45</v>
      </c>
      <c r="I29" s="176">
        <f t="shared" si="5"/>
        <v>172161690.72000003</v>
      </c>
      <c r="J29" s="176">
        <f t="shared" si="5"/>
        <v>154925241.90999997</v>
      </c>
      <c r="K29" s="176">
        <f t="shared" si="5"/>
        <v>145462423.25</v>
      </c>
      <c r="L29" s="176">
        <f t="shared" si="5"/>
        <v>144279416.92000002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887278694.51999998</v>
      </c>
      <c r="T29" s="278">
        <f t="shared" si="4"/>
        <v>0.1852897912792883</v>
      </c>
    </row>
    <row r="30" spans="1:25" ht="13.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206">
        <f>+G29-G49</f>
        <v>112761889.32000004</v>
      </c>
      <c r="H30" s="206">
        <f t="shared" ref="H30:R30" si="6">+H29-H49</f>
        <v>127169227.44</v>
      </c>
      <c r="I30" s="206">
        <f t="shared" si="6"/>
        <v>157231493.12000003</v>
      </c>
      <c r="J30" s="206">
        <f t="shared" si="6"/>
        <v>142829124.51999998</v>
      </c>
      <c r="K30" s="206">
        <f t="shared" si="6"/>
        <v>133998045.69</v>
      </c>
      <c r="L30" s="206">
        <f t="shared" si="6"/>
        <v>131437195.69000001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805426975.78000021</v>
      </c>
      <c r="T30" s="280">
        <f t="shared" si="4"/>
        <v>0.1681967539113729</v>
      </c>
    </row>
    <row r="31" spans="1:25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212">
        <f>+SUM(G32:G41)</f>
        <v>50999384.180000007</v>
      </c>
      <c r="H31" s="212">
        <f t="shared" ref="H31:R31" si="7">+SUM(H32:H41)</f>
        <v>58383029.660000004</v>
      </c>
      <c r="I31" s="212">
        <f t="shared" si="7"/>
        <v>85880880.63000001</v>
      </c>
      <c r="J31" s="212">
        <f t="shared" si="7"/>
        <v>77286292.23999998</v>
      </c>
      <c r="K31" s="212">
        <f t="shared" si="7"/>
        <v>68261058.739999995</v>
      </c>
      <c r="L31" s="212">
        <f t="shared" si="7"/>
        <v>68607981.519999996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409418626.97000003</v>
      </c>
      <c r="T31" s="268">
        <f t="shared" si="4"/>
        <v>8.5498606475796685E-2</v>
      </c>
    </row>
    <row r="32" spans="1:25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39174668.049999997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39904782.170000002</v>
      </c>
      <c r="L32" s="188">
        <f>+INDEX(DataEx!$1:$1048576,MATCH('2019'!$A32,DataEx!$D:$D,0),MATCH('2019'!L$6,DataEx!$7:$7,0))</f>
        <v>41571897.43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237050501.90000004</v>
      </c>
      <c r="T32" s="270">
        <f t="shared" si="4"/>
        <v>4.9503091070459013E-2</v>
      </c>
    </row>
    <row r="33" spans="1:22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f>+INDEX(DataEx!$1:$1048576,MATCH('2019'!$A33,DataEx!$D:$D,0),MATCH('2019'!G$6,DataEx!$7:$7,0))</f>
        <v>432711.77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1606928.02</v>
      </c>
      <c r="K33" s="188">
        <f>+INDEX(DataEx!$1:$1048576,MATCH('2019'!$A33,DataEx!$D:$D,0),MATCH('2019'!K$6,DataEx!$7:$7,0))</f>
        <v>1045480.66</v>
      </c>
      <c r="L33" s="188">
        <f>+INDEX(DataEx!$1:$1048576,MATCH('2019'!$A33,DataEx!$D:$D,0),MATCH('2019'!L$6,DataEx!$7:$7,0))</f>
        <v>650585.03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5513172.2000000002</v>
      </c>
      <c r="T33" s="270">
        <f t="shared" si="4"/>
        <v>1.151311907446853E-3</v>
      </c>
      <c r="U33" s="367"/>
    </row>
    <row r="34" spans="1:22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2488394.38</v>
      </c>
      <c r="K34" s="188">
        <f>+INDEX(DataEx!$1:$1048576,MATCH('2019'!$A34,DataEx!$D:$D,0),MATCH('2019'!K$6,DataEx!$7:$7,0))</f>
        <v>2262319.3199999998</v>
      </c>
      <c r="L34" s="188">
        <f>+INDEX(DataEx!$1:$1048576,MATCH('2019'!$A34,DataEx!$D:$D,0),MATCH('2019'!L$6,DataEx!$7:$7,0))</f>
        <v>3143597.69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13840298.799999999</v>
      </c>
      <c r="T34" s="270">
        <f t="shared" si="4"/>
        <v>2.8902599507162844E-3</v>
      </c>
      <c r="U34" s="385"/>
      <c r="V34" s="365"/>
    </row>
    <row r="35" spans="1:22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4369547.51</v>
      </c>
      <c r="I35" s="188">
        <f>+INDEX(DataEx!$1:$1048576,MATCH('2019'!$A35,DataEx!$D:$D,0),MATCH('2019'!I$6,DataEx!$7:$7,0))</f>
        <v>4690729.2300000004</v>
      </c>
      <c r="J35" s="188">
        <f>+INDEX(DataEx!$1:$1048576,MATCH('2019'!$A35,DataEx!$D:$D,0),MATCH('2019'!J$6,DataEx!$7:$7,0))</f>
        <v>4354225.75</v>
      </c>
      <c r="K35" s="188">
        <f>+INDEX(DataEx!$1:$1048576,MATCH('2019'!$A35,DataEx!$D:$D,0),MATCH('2019'!K$6,DataEx!$7:$7,0))</f>
        <v>5902884.25</v>
      </c>
      <c r="L35" s="188">
        <f>+INDEX(DataEx!$1:$1048576,MATCH('2019'!$A35,DataEx!$D:$D,0),MATCH('2019'!L$6,DataEx!$7:$7,0))</f>
        <v>6805709.04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28936484.600000001</v>
      </c>
      <c r="T35" s="270">
        <f t="shared" si="4"/>
        <v>6.0427859081986389E-3</v>
      </c>
    </row>
    <row r="36" spans="1:22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1602730.43</v>
      </c>
      <c r="K36" s="188">
        <f>+INDEX(DataEx!$1:$1048576,MATCH('2019'!$A36,DataEx!$D:$D,0),MATCH('2019'!K$6,DataEx!$7:$7,0))</f>
        <v>1719004.83</v>
      </c>
      <c r="L36" s="188">
        <f>+INDEX(DataEx!$1:$1048576,MATCH('2019'!$A36,DataEx!$D:$D,0),MATCH('2019'!L$6,DataEx!$7:$7,0))</f>
        <v>1361111.43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7879785.8299999991</v>
      </c>
      <c r="T36" s="270">
        <f t="shared" si="4"/>
        <v>1.645530182099152E-3</v>
      </c>
    </row>
    <row r="37" spans="1:22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950797.68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18435271.789999999</v>
      </c>
      <c r="K37" s="188">
        <f>+INDEX(DataEx!$1:$1048576,MATCH('2019'!$A37,DataEx!$D:$D,0),MATCH('2019'!K$6,DataEx!$7:$7,0))</f>
        <v>10258844.07</v>
      </c>
      <c r="L37" s="188">
        <f>+INDEX(DataEx!$1:$1048576,MATCH('2019'!$A37,DataEx!$D:$D,0),MATCH('2019'!L$6,DataEx!$7:$7,0))</f>
        <v>5411766.9400000004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69907047.030000001</v>
      </c>
      <c r="T37" s="270">
        <f t="shared" si="4"/>
        <v>1.459863990101491E-2</v>
      </c>
    </row>
    <row r="38" spans="1:22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1122402.21</v>
      </c>
      <c r="K38" s="188">
        <f>+INDEX(DataEx!$1:$1048576,MATCH('2019'!$A38,DataEx!$D:$D,0),MATCH('2019'!K$6,DataEx!$7:$7,0))</f>
        <v>989005.29</v>
      </c>
      <c r="L38" s="188">
        <f>+INDEX(DataEx!$1:$1048576,MATCH('2019'!$A38,DataEx!$D:$D,0),MATCH('2019'!L$6,DataEx!$7:$7,0))</f>
        <v>608826.98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4523865.12</v>
      </c>
      <c r="T38" s="270">
        <f t="shared" si="4"/>
        <v>9.4471559954892868E-4</v>
      </c>
    </row>
    <row r="39" spans="1:22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2194236.0299999998</v>
      </c>
      <c r="L39" s="188">
        <f>+INDEX(DataEx!$1:$1048576,MATCH('2019'!$A39,DataEx!$D:$D,0),MATCH('2019'!L$6,DataEx!$7:$7,0))</f>
        <v>1487101.06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10454587.060000001</v>
      </c>
      <c r="T39" s="270">
        <f t="shared" si="4"/>
        <v>2.1832241281376603E-3</v>
      </c>
    </row>
    <row r="40" spans="1:22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3360527.27</v>
      </c>
      <c r="I40" s="188">
        <f>+INDEX(DataEx!$1:$1048576,MATCH('2019'!$A40,DataEx!$D:$D,0),MATCH('2019'!I$6,DataEx!$7:$7,0))</f>
        <v>2294447.6800000002</v>
      </c>
      <c r="J40" s="188">
        <f>+INDEX(DataEx!$1:$1048576,MATCH('2019'!$A40,DataEx!$D:$D,0),MATCH('2019'!J$6,DataEx!$7:$7,0))</f>
        <v>5380148.8300000001</v>
      </c>
      <c r="K40" s="188">
        <f>+INDEX(DataEx!$1:$1048576,MATCH('2019'!$A40,DataEx!$D:$D,0),MATCH('2019'!K$6,DataEx!$7:$7,0))</f>
        <v>2122463.62</v>
      </c>
      <c r="L40" s="188">
        <f>+INDEX(DataEx!$1:$1048576,MATCH('2019'!$A40,DataEx!$D:$D,0),MATCH('2019'!L$6,DataEx!$7:$7,0))</f>
        <v>4483387.37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18336561.690000001</v>
      </c>
      <c r="T40" s="270">
        <f t="shared" si="4"/>
        <v>3.8292113958150612E-3</v>
      </c>
    </row>
    <row r="41" spans="1:22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3462137.8600000003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1862038.5</v>
      </c>
      <c r="L41" s="188">
        <f>+INDEX(DataEx!$1:$1048576,MATCH('2019'!$A41,DataEx!$D:$D,0),MATCH('2019'!L$6,DataEx!$7:$7,0))</f>
        <v>3083998.55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12976322.740000002</v>
      </c>
      <c r="T41" s="270">
        <f t="shared" si="4"/>
        <v>2.7098364323601891E-3</v>
      </c>
    </row>
    <row r="42" spans="1:22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45429673.470000006</v>
      </c>
      <c r="J42" s="218">
        <f t="shared" si="8"/>
        <v>45454458.559999995</v>
      </c>
      <c r="K42" s="218">
        <f t="shared" si="8"/>
        <v>45354310.190000005</v>
      </c>
      <c r="L42" s="218">
        <f t="shared" si="8"/>
        <v>45746699.100000001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271144124.34000003</v>
      </c>
      <c r="T42" s="273">
        <f t="shared" si="4"/>
        <v>5.6622838478887362E-2</v>
      </c>
    </row>
    <row r="43" spans="1:22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6410465.4699999997</v>
      </c>
      <c r="L43" s="188">
        <f>+INDEX(DataEx!$1:$1048576,MATCH('2019'!$A43,DataEx!$D:$D,0),MATCH('2019'!L$6,DataEx!$7:$7,0))</f>
        <v>6536921.0899999999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39036726.319999993</v>
      </c>
      <c r="T43" s="270">
        <f t="shared" si="4"/>
        <v>8.1520123459883874E-3</v>
      </c>
    </row>
    <row r="44" spans="1:22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1341095.6299999999</v>
      </c>
      <c r="L44" s="188">
        <f>+INDEX(DataEx!$1:$1048576,MATCH('2019'!$A44,DataEx!$D:$D,0),MATCH('2019'!L$6,DataEx!$7:$7,0))</f>
        <v>1381621.25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6171418.71</v>
      </c>
      <c r="T44" s="270">
        <f t="shared" si="4"/>
        <v>1.2887730672848014E-3</v>
      </c>
    </row>
    <row r="45" spans="1:22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34782667.030000001</v>
      </c>
      <c r="L45" s="188">
        <f>+INDEX(DataEx!$1:$1048576,MATCH('2019'!$A45,DataEx!$D:$D,0),MATCH('2019'!L$6,DataEx!$7:$7,0))</f>
        <v>35185457.75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210490849.90000001</v>
      </c>
      <c r="T45" s="270">
        <f t="shared" si="4"/>
        <v>4.3956657457294407E-2</v>
      </c>
    </row>
    <row r="46" spans="1:22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1914804.54</v>
      </c>
      <c r="L46" s="188">
        <f>+INDEX(DataEx!$1:$1048576,MATCH('2019'!$A46,DataEx!$D:$D,0),MATCH('2019'!L$6,DataEx!$7:$7,0))</f>
        <v>1732967.4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10199905.73</v>
      </c>
      <c r="T46" s="270">
        <f t="shared" si="4"/>
        <v>2.1300392035250386E-3</v>
      </c>
    </row>
    <row r="47" spans="1:22">
      <c r="A47" s="175">
        <v>425</v>
      </c>
      <c r="B47" s="505" t="str">
        <f>+VLOOKUP($A47,Master!$D$27:$G$225,4,FALSE)</f>
        <v>Ostala prava iz zdravstvenog osiguranja</v>
      </c>
      <c r="C47" s="506"/>
      <c r="D47" s="506"/>
      <c r="E47" s="506"/>
      <c r="F47" s="506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905277.52</v>
      </c>
      <c r="L47" s="188">
        <f>+INDEX(DataEx!$1:$1048576,MATCH('2019'!$A47,DataEx!$D:$D,0),MATCH('2019'!L$6,DataEx!$7:$7,0))</f>
        <v>909731.61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5245223.6800000006</v>
      </c>
      <c r="T47" s="270">
        <f t="shared" si="4"/>
        <v>1.095356404794721E-3</v>
      </c>
    </row>
    <row r="48" spans="1:22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16108536.07</v>
      </c>
      <c r="K48" s="200">
        <f>+INDEX(DataEx!$1:$1048576,MATCH('2019'!$A48,DataEx!$D:$D,0),MATCH('2019'!K$6,DataEx!$7:$7,0))</f>
        <v>17254969.68</v>
      </c>
      <c r="L48" s="200">
        <f>+INDEX(DataEx!$1:$1048576,MATCH('2019'!$A48,DataEx!$D:$D,0),MATCH('2019'!L$6,DataEx!$7:$7,0))</f>
        <v>13582731.800000001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98012294.86999999</v>
      </c>
      <c r="T48" s="273">
        <f t="shared" si="4"/>
        <v>2.0467839216054794E-2</v>
      </c>
    </row>
    <row r="49" spans="1:22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11464377.560000001</v>
      </c>
      <c r="L49" s="200">
        <f>+INDEX(DataEx!$1:$1048576,MATCH('2019'!$A49,DataEx!$D:$D,0),MATCH('2019'!L$6,DataEx!$7:$7,0))</f>
        <v>12842221.23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81851718.74000001</v>
      </c>
      <c r="T49" s="273">
        <f t="shared" si="4"/>
        <v>1.7093037367915467E-2</v>
      </c>
    </row>
    <row r="50" spans="1:22">
      <c r="A50" s="175">
        <v>451</v>
      </c>
      <c r="B50" s="509" t="str">
        <f>+VLOOKUP($A50,Master!$D$27:$G$225,4,FALSE)</f>
        <v>Pozajmice i krediti</v>
      </c>
      <c r="C50" s="510"/>
      <c r="D50" s="510"/>
      <c r="E50" s="510"/>
      <c r="F50" s="510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188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260000</v>
      </c>
      <c r="L50" s="188">
        <f>+INDEX(DataEx!$1:$1048576,MATCH('2019'!$A50,DataEx!$D:$D,0),MATCH('2019'!L$6,DataEx!$7:$7,0))</f>
        <v>358750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1305607.98</v>
      </c>
      <c r="T50" s="270">
        <f t="shared" si="4"/>
        <v>2.7264920436035587E-4</v>
      </c>
    </row>
    <row r="51" spans="1:22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188">
        <f>+INDEX(DataEx!$1:$1048576,MATCH('2019'!$A51,DataEx!$D:$D,0),MATCH('2019'!J$6,DataEx!$7:$7,0))</f>
        <v>1806704.1</v>
      </c>
      <c r="K51" s="188">
        <f>+INDEX(DataEx!$1:$1048576,MATCH('2019'!$A51,DataEx!$D:$D,0),MATCH('2019'!K$6,DataEx!$7:$7,0))</f>
        <v>1408200</v>
      </c>
      <c r="L51" s="188">
        <f>+INDEX(DataEx!$1:$1048576,MATCH('2019'!$A51,DataEx!$D:$D,0),MATCH('2019'!L$6,DataEx!$7:$7,0))</f>
        <v>1292423.94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6738987.2400000002</v>
      </c>
      <c r="T51" s="270">
        <f t="shared" si="4"/>
        <v>1.4072980077684501E-3</v>
      </c>
    </row>
    <row r="52" spans="1:22" ht="13.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7180485.3399999999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9434699.4100000001</v>
      </c>
      <c r="T52" s="284">
        <f t="shared" si="4"/>
        <v>1.9702417011235019E-3</v>
      </c>
      <c r="U52" s="366"/>
    </row>
    <row r="53" spans="1:22" ht="13.5" thickBot="1">
      <c r="A53" s="169">
        <v>4630</v>
      </c>
      <c r="B53" s="511" t="str">
        <f>+VLOOKUP($A53,Master!$D$27:$G$225,4,TRUE)</f>
        <v>Otplata obaveza iz prethodnih godina</v>
      </c>
      <c r="C53" s="512"/>
      <c r="D53" s="512"/>
      <c r="E53" s="512"/>
      <c r="F53" s="512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1736748.41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1459507.08</v>
      </c>
      <c r="L53" s="224">
        <f>+INDEX(DataEx!$1:$1048576,MATCH('2019'!$A53,DataEx!$D:$D,0),MATCH('2019'!L$6,DataEx!$7:$7,0))</f>
        <v>1848609.33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9372634.9699999988</v>
      </c>
      <c r="T53" s="284">
        <f>+S53/$T$7</f>
        <v>1.9572808273816979E-3</v>
      </c>
    </row>
    <row r="54" spans="1:22" ht="13.5" thickBot="1">
      <c r="A54" s="71">
        <v>1005</v>
      </c>
      <c r="B54" s="513" t="str">
        <f>+VLOOKUP($A54,Master!$D$27:$G$227,4,FALSE)</f>
        <v>Neto povećanje obaveza</v>
      </c>
      <c r="C54" s="514"/>
      <c r="D54" s="514"/>
      <c r="E54" s="514"/>
      <c r="F54" s="514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99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-32332308.680000037</v>
      </c>
      <c r="H55" s="176">
        <f t="shared" si="9"/>
        <v>-14315051.500000015</v>
      </c>
      <c r="I55" s="176">
        <f t="shared" si="9"/>
        <v>-24617010.090000033</v>
      </c>
      <c r="J55" s="176">
        <f t="shared" si="9"/>
        <v>10120174.420000017</v>
      </c>
      <c r="K55" s="176">
        <f t="shared" si="9"/>
        <v>-1235810.349999994</v>
      </c>
      <c r="L55" s="176">
        <f t="shared" si="9"/>
        <v>-885815.44000002742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-63265821.64000009</v>
      </c>
      <c r="T55" s="286">
        <f t="shared" si="4"/>
        <v>-1.321175743223491E-2</v>
      </c>
    </row>
    <row r="56" spans="1:22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-26177455.780000038</v>
      </c>
      <c r="H56" s="230">
        <f t="shared" ref="H56:R56" si="10">+H55+H37</f>
        <v>-13364253.820000015</v>
      </c>
      <c r="I56" s="230">
        <f t="shared" si="10"/>
        <v>4078503.5599999651</v>
      </c>
      <c r="J56" s="230">
        <f t="shared" si="10"/>
        <v>28555446.210000016</v>
      </c>
      <c r="K56" s="230">
        <f t="shared" si="10"/>
        <v>9023033.7200000063</v>
      </c>
      <c r="L56" s="230">
        <f t="shared" si="10"/>
        <v>4525951.499999973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6641225.3899999065</v>
      </c>
      <c r="T56" s="286">
        <f t="shared" si="4"/>
        <v>1.3868824687799997E-3</v>
      </c>
    </row>
    <row r="57" spans="1:22">
      <c r="A57" s="169">
        <v>46</v>
      </c>
      <c r="B57" s="507" t="str">
        <f>+VLOOKUP($A57,Master!$D$27:$G$225,4,FALSE)</f>
        <v>Otplata dugova</v>
      </c>
      <c r="C57" s="508"/>
      <c r="D57" s="508"/>
      <c r="E57" s="508"/>
      <c r="F57" s="508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18">
        <f t="shared" si="11"/>
        <v>18302050.879999999</v>
      </c>
      <c r="K57" s="218">
        <f t="shared" si="11"/>
        <v>183682731.81999999</v>
      </c>
      <c r="L57" s="218">
        <f t="shared" si="11"/>
        <v>11094774.199999999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317749931.88999999</v>
      </c>
      <c r="T57" s="288">
        <f t="shared" si="4"/>
        <v>6.6355496781940443E-2</v>
      </c>
      <c r="V57" s="383"/>
    </row>
    <row r="58" spans="1:22">
      <c r="A58" s="169">
        <v>4611</v>
      </c>
      <c r="B58" s="498" t="str">
        <f>+VLOOKUP($A58,Master!$D$27:$G$225,4,FALSE)</f>
        <v>Otplata hartija od vrijednosti i kredita rezidentima</v>
      </c>
      <c r="C58" s="499"/>
      <c r="D58" s="499"/>
      <c r="E58" s="499"/>
      <c r="F58" s="499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5836708.6600000001</v>
      </c>
      <c r="L58" s="236">
        <f>+INDEX(DataEx!$1:$1048576,MATCH('2019'!$A58,DataEx!$D:$D,0),MATCH('2019'!L$6,DataEx!$7:$7,0))</f>
        <v>1304074.52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93415154</v>
      </c>
      <c r="T58" s="290">
        <f t="shared" si="4"/>
        <v>1.9507821492711859E-2</v>
      </c>
    </row>
    <row r="59" spans="1:22" ht="13.5" thickBot="1">
      <c r="A59" s="169">
        <v>4612</v>
      </c>
      <c r="B59" s="474" t="str">
        <f>+VLOOKUP($A59,Master!$D$27:$G$225,4,FALSE)</f>
        <v>Otplata hartija od vrijednosti i kredita nerezidentima</v>
      </c>
      <c r="C59" s="475"/>
      <c r="D59" s="475"/>
      <c r="E59" s="475"/>
      <c r="F59" s="475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177846023.16</v>
      </c>
      <c r="L59" s="236">
        <f>+INDEX(DataEx!$1:$1048576,MATCH('2019'!$A59,DataEx!$D:$D,0),MATCH('2019'!L$6,DataEx!$7:$7,0))</f>
        <v>9790699.6799999997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224334777.88999999</v>
      </c>
      <c r="T59" s="290">
        <f t="shared" si="4"/>
        <v>4.6847675289228584E-2</v>
      </c>
      <c r="V59" s="395"/>
    </row>
    <row r="60" spans="1:22" ht="13.5" thickBot="1">
      <c r="A60" s="169">
        <v>4418</v>
      </c>
      <c r="B60" s="462" t="s">
        <v>340</v>
      </c>
      <c r="C60" s="463"/>
      <c r="D60" s="463"/>
      <c r="E60" s="463"/>
      <c r="F60" s="463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39983668.460000001</v>
      </c>
      <c r="T60" s="288">
        <f>+S60/$T$7</f>
        <v>8.3497616129975354E-3</v>
      </c>
      <c r="V60" s="395"/>
    </row>
    <row r="61" spans="1:22" ht="13.5" thickBot="1">
      <c r="A61" s="169">
        <v>1002</v>
      </c>
      <c r="B61" s="500" t="str">
        <f>+VLOOKUP($A61,Master!$D$27:$G$225,4,FALSE)</f>
        <v>Nedostajuća sredstva</v>
      </c>
      <c r="C61" s="501"/>
      <c r="D61" s="501"/>
      <c r="E61" s="501"/>
      <c r="F61" s="501"/>
      <c r="G61" s="242">
        <f>+G55-G57-G60</f>
        <v>-51850676.080000035</v>
      </c>
      <c r="H61" s="242">
        <f t="shared" ref="H61:R61" si="12">+H55-H57-H60</f>
        <v>-81715746.710000023</v>
      </c>
      <c r="I61" s="242">
        <f t="shared" si="12"/>
        <v>-42403594.560000032</v>
      </c>
      <c r="J61" s="242">
        <f t="shared" si="12"/>
        <v>-48130272.829999983</v>
      </c>
      <c r="K61" s="242">
        <f t="shared" si="12"/>
        <v>-184918542.16999999</v>
      </c>
      <c r="L61" s="242">
        <f t="shared" si="12"/>
        <v>-11980589.640000027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>+SUM(G61:R61)</f>
        <v>-420999421.99000007</v>
      </c>
      <c r="T61" s="292">
        <f t="shared" si="4"/>
        <v>-8.7917015827172887E-2</v>
      </c>
    </row>
    <row r="62" spans="1:22" ht="13.5" thickBot="1">
      <c r="A62" s="169">
        <v>1003</v>
      </c>
      <c r="B62" s="464" t="str">
        <f>+VLOOKUP($A62,Master!$D$27:$G$225,4,FALSE)</f>
        <v>Finansiranje</v>
      </c>
      <c r="C62" s="465"/>
      <c r="D62" s="465"/>
      <c r="E62" s="465"/>
      <c r="F62" s="465"/>
      <c r="G62" s="176">
        <f>+SUM(G63:G66)</f>
        <v>51850676.080000035</v>
      </c>
      <c r="H62" s="176">
        <f t="shared" ref="H62:R62" si="13">+SUM(H63:H66)</f>
        <v>81715746.710000023</v>
      </c>
      <c r="I62" s="176">
        <f t="shared" si="13"/>
        <v>42403594.560000032</v>
      </c>
      <c r="J62" s="176">
        <f t="shared" si="13"/>
        <v>48130272.829999983</v>
      </c>
      <c r="K62" s="176">
        <f t="shared" si="13"/>
        <v>184918542.16999999</v>
      </c>
      <c r="L62" s="176">
        <f t="shared" si="13"/>
        <v>11980589.640000027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>+SUM(G62:R62)</f>
        <v>420999421.99000007</v>
      </c>
      <c r="T62" s="294">
        <f t="shared" si="4"/>
        <v>8.7917015827172887E-2</v>
      </c>
    </row>
    <row r="63" spans="1:22">
      <c r="A63" s="169">
        <v>7511</v>
      </c>
      <c r="B63" s="498" t="str">
        <f>+VLOOKUP($A63,Master!$D$27:$G$225,4,FALSE)</f>
        <v>Pozajmice i krediti od domaćih izvora</v>
      </c>
      <c r="C63" s="499"/>
      <c r="D63" s="499"/>
      <c r="E63" s="499"/>
      <c r="F63" s="499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67815000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214438000</v>
      </c>
      <c r="T63" s="290">
        <f t="shared" si="4"/>
        <v>4.4780938061228751E-2</v>
      </c>
    </row>
    <row r="64" spans="1:22">
      <c r="A64" s="169">
        <v>7512</v>
      </c>
      <c r="B64" s="474" t="str">
        <f>+VLOOKUP($A64,Master!$D$27:$G$225,4,FALSE)</f>
        <v>Pozajmice i krediti od inostranih izvora</v>
      </c>
      <c r="C64" s="475"/>
      <c r="D64" s="475"/>
      <c r="E64" s="475"/>
      <c r="F64" s="475"/>
      <c r="G64" s="236">
        <f>+INDEX(DataEx!$1:$1048576,MATCH('2019'!$A64,DataEx!$D:$D,0),MATCH('2019'!G$6,DataEx!$7:$7,0))</f>
        <v>25748930.140000001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7856343.8600000003</v>
      </c>
      <c r="L64" s="236">
        <f>+INDEX(DataEx!$1:$1048576,MATCH('2019'!$A64,DataEx!$D:$D,0),MATCH('2019'!L$6,DataEx!$7:$7,0))</f>
        <v>8784836.1999999993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66765844.480000004</v>
      </c>
      <c r="T64" s="290">
        <f t="shared" si="4"/>
        <v>1.3942664762143425E-2</v>
      </c>
    </row>
    <row r="65" spans="1:20">
      <c r="A65" s="169">
        <v>72</v>
      </c>
      <c r="B65" s="474" t="str">
        <f>+VLOOKUP($A65,Master!$D$27:$G$225,4,FALSE)</f>
        <v>Primici od prodaje imovine</v>
      </c>
      <c r="C65" s="475"/>
      <c r="D65" s="475"/>
      <c r="E65" s="475"/>
      <c r="F65" s="475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223780.48000000001</v>
      </c>
      <c r="L65" s="236">
        <f>+INDEX(DataEx!$1:$1048576,MATCH('2019'!$A65,DataEx!$D:$D,0),MATCH('2019'!L$6,DataEx!$7:$7,0))</f>
        <v>722176.42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1500130.95</v>
      </c>
      <c r="T65" s="290">
        <f t="shared" si="4"/>
        <v>3.1327130058889861E-4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8075151.8100000322</v>
      </c>
      <c r="H66" s="250">
        <f t="shared" ref="H66:R66" si="14">-H61-SUM(H63:H65)</f>
        <v>23718901.110000029</v>
      </c>
      <c r="I66" s="250">
        <f t="shared" si="14"/>
        <v>28163047.89000003</v>
      </c>
      <c r="J66" s="250">
        <f t="shared" si="14"/>
        <v>-33158649.100000009</v>
      </c>
      <c r="K66" s="250">
        <f t="shared" si="14"/>
        <v>109023417.82999998</v>
      </c>
      <c r="L66" s="250">
        <f t="shared" si="14"/>
        <v>2473577.0200000275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138295446.56000012</v>
      </c>
      <c r="T66" s="296">
        <f t="shared" si="4"/>
        <v>2.888014170321182E-2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24" t="str">
        <f>+Master!G252</f>
        <v>Plan ostvarenja budžeta</v>
      </c>
      <c r="C102" s="525"/>
      <c r="D102" s="525"/>
      <c r="E102" s="525"/>
      <c r="F102" s="525"/>
      <c r="G102" s="515">
        <v>2019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7"/>
      <c r="S102" s="115" t="str">
        <f>+S7</f>
        <v>BDP</v>
      </c>
      <c r="T102" s="116">
        <f>+T7</f>
        <v>4788600000</v>
      </c>
    </row>
    <row r="103" spans="1:21" ht="15.75" customHeight="1">
      <c r="B103" s="526"/>
      <c r="C103" s="527"/>
      <c r="D103" s="527"/>
      <c r="E103" s="527"/>
      <c r="F103" s="528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15" t="str">
        <f>+Master!G246</f>
        <v>Jan - Dec</v>
      </c>
      <c r="T103" s="517">
        <f>+T8</f>
        <v>0</v>
      </c>
    </row>
    <row r="104" spans="1:21" ht="13.5" thickBot="1">
      <c r="B104" s="529"/>
      <c r="C104" s="530"/>
      <c r="D104" s="530"/>
      <c r="E104" s="530"/>
      <c r="F104" s="531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18" t="str">
        <f>+VLOOKUP(LEFT($A105,LEN(A105)-1)*1,Master!$D$27:$G$225,4,FALSE)</f>
        <v>Prihodi budžeta</v>
      </c>
      <c r="C105" s="519"/>
      <c r="D105" s="519"/>
      <c r="E105" s="519"/>
      <c r="F105" s="519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20" t="str">
        <f>+VLOOKUP(LEFT($A106,LEN(A106)-1)*1,Master!$D$27:$G$225,4,FALSE)</f>
        <v>Porezi</v>
      </c>
      <c r="C106" s="521"/>
      <c r="D106" s="521"/>
      <c r="E106" s="521"/>
      <c r="F106" s="521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32" t="str">
        <f>+VLOOKUP(LEFT($A119,LEN(A119)-1)*1,Master!$D$27:$G$225,4,FALSE)</f>
        <v>Takse</v>
      </c>
      <c r="C119" s="533"/>
      <c r="D119" s="533"/>
      <c r="E119" s="533"/>
      <c r="F119" s="533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32" t="str">
        <f>+VLOOKUP(LEFT($A120,LEN(A120)-1)*1,Master!$D$27:$G$225,4,FALSE)</f>
        <v>Naknade</v>
      </c>
      <c r="C120" s="533"/>
      <c r="D120" s="533"/>
      <c r="E120" s="533"/>
      <c r="F120" s="533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32" t="str">
        <f>+VLOOKUP(LEFT($A121,LEN(A121)-1)*1,Master!$D$27:$G$225,4,FALSE)</f>
        <v>Ostali prihodi</v>
      </c>
      <c r="C121" s="533"/>
      <c r="D121" s="533"/>
      <c r="E121" s="533"/>
      <c r="F121" s="533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32" t="str">
        <f>+VLOOKUP(LEFT($A122,LEN(A122)-1)*1,Master!$D$27:$G$225,4,FALSE)</f>
        <v>Primici od otplate kredita i sredstva prenesena iz prethodne godine</v>
      </c>
      <c r="C122" s="533"/>
      <c r="D122" s="533"/>
      <c r="E122" s="533"/>
      <c r="F122" s="533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36" t="str">
        <f>+VLOOKUP(LEFT($A123,LEN(A123)-1)*1,Master!$D$27:$G$225,4,FALSE)</f>
        <v>Donacije i transferi</v>
      </c>
      <c r="C123" s="537"/>
      <c r="D123" s="537"/>
      <c r="E123" s="537"/>
      <c r="F123" s="537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38" t="str">
        <f>+VLOOKUP(LEFT($A124,LEN(A124)-1)*1,Master!$D$27:$G$225,4,FALSE)</f>
        <v>Budžetski izdaci</v>
      </c>
      <c r="C124" s="539"/>
      <c r="D124" s="539"/>
      <c r="E124" s="539"/>
      <c r="F124" s="539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40" t="str">
        <f>+VLOOKUP(LEFT($A125,LEN(A125)-1)*1,Master!$D$27:$G$225,4,FALSE)</f>
        <v>Tekuća budžetska potrošnja</v>
      </c>
      <c r="C125" s="541"/>
      <c r="D125" s="541"/>
      <c r="E125" s="541"/>
      <c r="F125" s="541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42" t="str">
        <f>+VLOOKUP(LEFT($A126,LEN(A126)-1)*1,Master!$D$27:$G$225,4,FALSE)</f>
        <v>Tekući izdaci</v>
      </c>
      <c r="C126" s="543"/>
      <c r="D126" s="543"/>
      <c r="E126" s="543"/>
      <c r="F126" s="543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9.8579835056175083E-2</v>
      </c>
    </row>
    <row r="128" spans="1:20">
      <c r="A128" s="137" t="str">
        <f t="shared" si="17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46" t="str">
        <f>+VLOOKUP(LEFT($A137,LEN(A137)-1)*1,Master!$D$27:$G$225,4,FALSE)</f>
        <v>Transferi za socijalnu zaštitu</v>
      </c>
      <c r="C137" s="547"/>
      <c r="D137" s="547"/>
      <c r="E137" s="547"/>
      <c r="F137" s="547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44" t="str">
        <f>+VLOOKUP(LEFT($A143,LEN(A143)-1)*1,Master!$D$27:$G$225,4,FALSE)</f>
        <v xml:space="preserve">Transferi institucijama, pojedincima, nevladinom i javnom sektoru </v>
      </c>
      <c r="C143" s="545"/>
      <c r="D143" s="545"/>
      <c r="E143" s="545"/>
      <c r="F143" s="545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44" t="str">
        <f>+VLOOKUP(LEFT($A144,LEN(A144)-1)*1,Master!$D$27:$G$225,4,FALSE)</f>
        <v>Kapitalni budžet</v>
      </c>
      <c r="C144" s="545"/>
      <c r="D144" s="545"/>
      <c r="E144" s="545"/>
      <c r="F144" s="545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48" t="str">
        <f>+VLOOKUP(LEFT($A145,LEN(A145)-1)*1,Master!$D$27:$G$225,4,FALSE)</f>
        <v>Pozajmice i krediti</v>
      </c>
      <c r="C145" s="549"/>
      <c r="D145" s="549"/>
      <c r="E145" s="549"/>
      <c r="F145" s="549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48" t="str">
        <f>+VLOOKUP(LEFT($A146,LEN(A146)-1)*1,Master!$D$27:$G$225,4,FALSE)</f>
        <v>Rezerve</v>
      </c>
      <c r="C146" s="549"/>
      <c r="D146" s="549"/>
      <c r="E146" s="549"/>
      <c r="F146" s="549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48" t="str">
        <f>+VLOOKUP(LEFT($A147,LEN(A147)-1)*1,Master!$D$27:$G$225,4,FALSE)</f>
        <v>Otplata garancija</v>
      </c>
      <c r="C147" s="549"/>
      <c r="D147" s="549"/>
      <c r="E147" s="549"/>
      <c r="F147" s="549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48" t="str">
        <f>+VLOOKUP(LEFT($A148,LEN(A148)-1)*1,Master!$D$27:$G$225,4,FALSE)</f>
        <v>Otplata obaveza iz prethodnih godina</v>
      </c>
      <c r="C148" s="549"/>
      <c r="D148" s="549"/>
      <c r="E148" s="549"/>
      <c r="F148" s="549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48" t="s">
        <v>694</v>
      </c>
      <c r="C149" s="549"/>
      <c r="D149" s="549"/>
      <c r="E149" s="549"/>
      <c r="F149" s="549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54" t="str">
        <f>+VLOOKUP(LEFT($A150,LEN(A150)-1)*1,Master!$D$27:$G$225,4,FALSE)</f>
        <v>Suficit / deficit</v>
      </c>
      <c r="C150" s="555"/>
      <c r="D150" s="555"/>
      <c r="E150" s="555"/>
      <c r="F150" s="555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56" t="str">
        <f>+VLOOKUP(LEFT($A151,LEN(A151)-1)*1,Master!$D$27:$G$225,4,FALSE)</f>
        <v>Primarni bilans</v>
      </c>
      <c r="C151" s="557"/>
      <c r="D151" s="557"/>
      <c r="E151" s="557"/>
      <c r="F151" s="557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46" t="str">
        <f>+VLOOKUP(LEFT($A152,LEN(A152)-1)*1,Master!$D$27:$G$225,4,FALSE)</f>
        <v>Otplata dugova</v>
      </c>
      <c r="C152" s="547"/>
      <c r="D152" s="547"/>
      <c r="E152" s="547"/>
      <c r="F152" s="547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50" t="str">
        <f>+VLOOKUP(LEFT($A153,LEN(A153)-1)*1,Master!$D$27:$G$225,4,FALSE)</f>
        <v>Otplata hartija od vrijednosti i kredita rezidentima</v>
      </c>
      <c r="C153" s="551"/>
      <c r="D153" s="551"/>
      <c r="E153" s="551"/>
      <c r="F153" s="551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48" t="str">
        <f>+VLOOKUP(LEFT($A154,LEN(A154)-1)*1,Master!$D$27:$G$225,4,FALSE)</f>
        <v>Otplata hartija od vrijednosti i kredita nerezidentima</v>
      </c>
      <c r="C154" s="549"/>
      <c r="D154" s="549"/>
      <c r="E154" s="549"/>
      <c r="F154" s="549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56" t="s">
        <v>340</v>
      </c>
      <c r="C155" s="557"/>
      <c r="D155" s="557"/>
      <c r="E155" s="557"/>
      <c r="F155" s="557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52" t="str">
        <f>+VLOOKUP(LEFT($A156,LEN(A156)-1)*1,Master!$D$27:$G$225,4,FALSE)</f>
        <v>Nedostajuća sredstva</v>
      </c>
      <c r="C156" s="553"/>
      <c r="D156" s="553"/>
      <c r="E156" s="553"/>
      <c r="F156" s="553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38" t="str">
        <f>+VLOOKUP(LEFT($A157,LEN(A157)-1)*1,Master!$D$27:$G$225,4,FALSE)</f>
        <v>Finansiranje</v>
      </c>
      <c r="C157" s="539"/>
      <c r="D157" s="539"/>
      <c r="E157" s="539"/>
      <c r="F157" s="539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50" t="str">
        <f>+VLOOKUP(LEFT($A158,LEN(A158)-1)*1,Master!$D$27:$G$225,4,FALSE)</f>
        <v>Pozajmice i krediti od domaćih izvora</v>
      </c>
      <c r="C158" s="551"/>
      <c r="D158" s="551"/>
      <c r="E158" s="551"/>
      <c r="F158" s="551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48" t="str">
        <f>+VLOOKUP(LEFT($A159,LEN(A159)-1)*1,Master!$D$27:$G$225,4,FALSE)</f>
        <v>Pozajmice i krediti od inostranih izvora</v>
      </c>
      <c r="C159" s="549"/>
      <c r="D159" s="549"/>
      <c r="E159" s="549"/>
      <c r="F159" s="549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48" t="str">
        <f>+VLOOKUP(LEFT($A160,LEN(A160)-1)*1,Master!$D$27:$G$225,4,FALSE)</f>
        <v>Primici od prodaje imovine</v>
      </c>
      <c r="C160" s="549"/>
      <c r="D160" s="549"/>
      <c r="E160" s="549"/>
      <c r="F160" s="549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755</v>
      </c>
      <c r="H6" s="259" t="s">
        <v>756</v>
      </c>
      <c r="I6" s="259" t="s">
        <v>757</v>
      </c>
      <c r="J6" s="259" t="s">
        <v>758</v>
      </c>
      <c r="K6" s="259" t="s">
        <v>759</v>
      </c>
      <c r="L6" s="259" t="s">
        <v>760</v>
      </c>
      <c r="M6" s="259" t="s">
        <v>761</v>
      </c>
      <c r="N6" s="259" t="s">
        <v>762</v>
      </c>
      <c r="O6" s="259" t="s">
        <v>763</v>
      </c>
      <c r="P6" s="259" t="s">
        <v>764</v>
      </c>
      <c r="Q6" s="259" t="s">
        <v>765</v>
      </c>
      <c r="R6" s="259" t="s">
        <v>766</v>
      </c>
      <c r="S6" s="258"/>
      <c r="T6" s="258"/>
    </row>
    <row r="7" spans="1:20" ht="15" customHeight="1" thickBot="1">
      <c r="A7" s="169"/>
      <c r="B7" s="504" t="str">
        <f>+Master!G251</f>
        <v>Ostvarenje budžeta</v>
      </c>
      <c r="C7" s="485"/>
      <c r="D7" s="485"/>
      <c r="E7" s="485"/>
      <c r="F7" s="485"/>
      <c r="G7" s="493">
        <v>2018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+Master!G248</f>
        <v>BDP</v>
      </c>
      <c r="T7" s="261">
        <v>4604500000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93" t="str">
        <f>+Master!G245</f>
        <v>Jan - Jun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0.37922508447822784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0.23215272044738841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2.7125286580519062E-2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1.4805620247583884E-2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3.9876089043327178E-4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0.13398060134868064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4.8035192618090999E-2</v>
      </c>
    </row>
    <row r="17" spans="1:25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5.7845351265066779E-3</v>
      </c>
    </row>
    <row r="18" spans="1:25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2.0227236355738949E-3</v>
      </c>
    </row>
    <row r="19" spans="1:25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0.11389729925073297</v>
      </c>
    </row>
    <row r="20" spans="1:25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6.8841993328265835E-2</v>
      </c>
    </row>
    <row r="21" spans="1:25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3.9536489379954388E-2</v>
      </c>
    </row>
    <row r="22" spans="1:25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2.951590263872299E-3</v>
      </c>
    </row>
    <row r="23" spans="1:25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2.5672262786404607E-3</v>
      </c>
      <c r="Y23" s="379"/>
    </row>
    <row r="24" spans="1:25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3.6364409425561949E-3</v>
      </c>
      <c r="Y24" s="379"/>
    </row>
    <row r="25" spans="1:25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5.7377650298620917E-3</v>
      </c>
      <c r="W25" s="366"/>
    </row>
    <row r="26" spans="1:25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1.5444649657943317E-2</v>
      </c>
    </row>
    <row r="27" spans="1:25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2.4159763014442392E-3</v>
      </c>
    </row>
    <row r="28" spans="1:25" ht="13.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5.9402328483005758E-3</v>
      </c>
    </row>
    <row r="29" spans="1:25" ht="13.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0.41385302131827556</v>
      </c>
    </row>
    <row r="30" spans="1:25" ht="13.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0.3563659049538494</v>
      </c>
    </row>
    <row r="31" spans="1:25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0.18162676107720707</v>
      </c>
    </row>
    <row r="32" spans="1:25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9.9858015973504188E-2</v>
      </c>
    </row>
    <row r="33" spans="1:22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2.8695711173851663E-3</v>
      </c>
      <c r="U33" s="367"/>
    </row>
    <row r="34" spans="1:22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7.9923911173851656E-3</v>
      </c>
      <c r="U34" s="385"/>
      <c r="V34" s="365"/>
    </row>
    <row r="35" spans="1:22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1.6340098812031707E-2</v>
      </c>
    </row>
    <row r="36" spans="1:22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4.5589727245086333E-3</v>
      </c>
    </row>
    <row r="37" spans="1:22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1.9252167922684332E-2</v>
      </c>
    </row>
    <row r="38" spans="1:22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2.4148565468563358E-3</v>
      </c>
    </row>
    <row r="39" spans="1:22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6.6371777543707241E-3</v>
      </c>
    </row>
    <row r="40" spans="1:22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9.4715161407318924E-3</v>
      </c>
    </row>
    <row r="41" spans="1:22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1.2231992967748942E-2</v>
      </c>
    </row>
    <row r="42" spans="1:22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0.11825074850255185</v>
      </c>
    </row>
    <row r="43" spans="1:22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1.7872686389401673E-2</v>
      </c>
    </row>
    <row r="44" spans="1:22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3.0832429015093927E-3</v>
      </c>
    </row>
    <row r="45" spans="1:22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9.0074984428276689E-2</v>
      </c>
    </row>
    <row r="46" spans="1:22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4.3446257530676512E-3</v>
      </c>
    </row>
    <row r="47" spans="1:22">
      <c r="A47" s="175">
        <v>425</v>
      </c>
      <c r="B47" s="505" t="str">
        <f>+VLOOKUP($A47,Master!$D$27:$G$225,4,FALSE)</f>
        <v>Ostala prava iz zdravstvenog osiguranja</v>
      </c>
      <c r="C47" s="506"/>
      <c r="D47" s="506"/>
      <c r="E47" s="506"/>
      <c r="F47" s="506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2.875209030296449E-3</v>
      </c>
    </row>
    <row r="48" spans="1:22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4.5331658208274506E-2</v>
      </c>
    </row>
    <row r="49" spans="1:22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5.7487116364426105E-2</v>
      </c>
    </row>
    <row r="50" spans="1:22">
      <c r="A50" s="175">
        <v>451</v>
      </c>
      <c r="B50" s="509" t="str">
        <f>+VLOOKUP($A50,Master!$D$27:$G$225,4,FALSE)</f>
        <v>Pozajmice i krediti</v>
      </c>
      <c r="C50" s="510"/>
      <c r="D50" s="510"/>
      <c r="E50" s="510"/>
      <c r="F50" s="510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9.9823411879682911E-4</v>
      </c>
    </row>
    <row r="51" spans="1:22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5.187859713323922E-3</v>
      </c>
    </row>
    <row r="52" spans="1:22" ht="13.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11" t="str">
        <f>+VLOOKUP($A53,Master!$D$27:$G$225,4,TRUE)</f>
        <v>Otplata obaveza iz prethodnih godina</v>
      </c>
      <c r="C53" s="512"/>
      <c r="D53" s="512"/>
      <c r="E53" s="512"/>
      <c r="F53" s="512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4.9706433336952974E-3</v>
      </c>
    </row>
    <row r="54" spans="1:22" ht="13.5" thickBot="1">
      <c r="A54" s="71">
        <v>1005</v>
      </c>
      <c r="B54" s="513" t="str">
        <f>+VLOOKUP($A54,Master!$D$27:$G$227,4,FALSE)</f>
        <v>Neto povećanje obaveza</v>
      </c>
      <c r="C54" s="514"/>
      <c r="D54" s="514"/>
      <c r="E54" s="514"/>
      <c r="F54" s="514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-3.4627936840047759E-2</v>
      </c>
    </row>
    <row r="56" spans="1:22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-1.537576891736343E-2</v>
      </c>
    </row>
    <row r="57" spans="1:22">
      <c r="A57" s="169">
        <v>46</v>
      </c>
      <c r="B57" s="507" t="str">
        <f>+VLOOKUP($A57,Master!$D$27:$G$225,4,FALSE)</f>
        <v>Otplata dugova</v>
      </c>
      <c r="C57" s="508"/>
      <c r="D57" s="508"/>
      <c r="E57" s="508"/>
      <c r="F57" s="508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0.15121760449777391</v>
      </c>
      <c r="V57" s="383"/>
    </row>
    <row r="58" spans="1:22">
      <c r="A58" s="169">
        <v>4611</v>
      </c>
      <c r="B58" s="498" t="str">
        <f>+VLOOKUP($A58,Master!$D$27:$G$225,4,FALSE)</f>
        <v>Otplata hartija od vrijednosti i kredita rezidentima</v>
      </c>
      <c r="C58" s="499"/>
      <c r="D58" s="499"/>
      <c r="E58" s="499"/>
      <c r="F58" s="499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5.099871714626996E-2</v>
      </c>
    </row>
    <row r="59" spans="1:22" ht="13.5" thickBot="1">
      <c r="A59" s="169">
        <v>4612</v>
      </c>
      <c r="B59" s="474" t="str">
        <f>+VLOOKUP($A59,Master!$D$27:$G$225,4,FALSE)</f>
        <v>Otplata hartija od vrijednosti i kredita nerezidentima</v>
      </c>
      <c r="C59" s="475"/>
      <c r="D59" s="475"/>
      <c r="E59" s="475"/>
      <c r="F59" s="475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0.10021888735150396</v>
      </c>
      <c r="V59" s="395"/>
    </row>
    <row r="60" spans="1:22" ht="13.5" thickBot="1">
      <c r="A60" s="169">
        <v>4418</v>
      </c>
      <c r="B60" s="462" t="s">
        <v>772</v>
      </c>
      <c r="C60" s="463"/>
      <c r="D60" s="463"/>
      <c r="E60" s="463"/>
      <c r="F60" s="463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1.5038613673580193E-2</v>
      </c>
      <c r="V60" s="395"/>
    </row>
    <row r="61" spans="1:22" ht="13.5" thickBot="1">
      <c r="A61" s="169">
        <v>1002</v>
      </c>
      <c r="B61" s="500" t="str">
        <f>+VLOOKUP($A61,Master!$D$27:$G$225,4,FALSE)</f>
        <v>Nedostajuća sredstva</v>
      </c>
      <c r="C61" s="501"/>
      <c r="D61" s="501"/>
      <c r="E61" s="501"/>
      <c r="F61" s="501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-0.20088415501140189</v>
      </c>
    </row>
    <row r="62" spans="1:22" ht="13.5" thickBot="1">
      <c r="A62" s="169">
        <v>1003</v>
      </c>
      <c r="B62" s="464" t="str">
        <f>+VLOOKUP($A62,Master!$D$27:$G$225,4,FALSE)</f>
        <v>Finansiranje</v>
      </c>
      <c r="C62" s="465"/>
      <c r="D62" s="465"/>
      <c r="E62" s="465"/>
      <c r="F62" s="465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0.20088415501140189</v>
      </c>
    </row>
    <row r="63" spans="1:22">
      <c r="A63" s="169">
        <v>7511</v>
      </c>
      <c r="B63" s="498" t="str">
        <f>+VLOOKUP($A63,Master!$D$27:$G$225,4,FALSE)</f>
        <v>Pozajmice i krediti od domaćih izvora</v>
      </c>
      <c r="C63" s="499"/>
      <c r="D63" s="499"/>
      <c r="E63" s="499"/>
      <c r="F63" s="499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4.638940167227712E-2</v>
      </c>
    </row>
    <row r="64" spans="1:22">
      <c r="A64" s="169">
        <v>7512</v>
      </c>
      <c r="B64" s="474" t="str">
        <f>+VLOOKUP($A64,Master!$D$27:$G$225,4,FALSE)</f>
        <v>Pozajmice i krediti od inostranih izvora</v>
      </c>
      <c r="C64" s="475"/>
      <c r="D64" s="475"/>
      <c r="E64" s="475"/>
      <c r="F64" s="475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0.19549129895971337</v>
      </c>
    </row>
    <row r="65" spans="1:20">
      <c r="A65" s="169">
        <v>72</v>
      </c>
      <c r="B65" s="474" t="str">
        <f>+VLOOKUP($A65,Master!$D$27:$G$225,4,FALSE)</f>
        <v>Primici od prodaje imovine</v>
      </c>
      <c r="C65" s="475"/>
      <c r="D65" s="475"/>
      <c r="E65" s="475"/>
      <c r="F65" s="475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3.4203674036268864E-3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-4.4416913024215451E-2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24" t="str">
        <f>+Master!G252</f>
        <v>Plan ostvarenja budžeta</v>
      </c>
      <c r="C102" s="525"/>
      <c r="D102" s="525"/>
      <c r="E102" s="525"/>
      <c r="F102" s="525"/>
      <c r="G102" s="515">
        <v>2018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7"/>
      <c r="S102" s="115" t="str">
        <f>+S7</f>
        <v>BDP</v>
      </c>
      <c r="T102" s="116">
        <f>+T7</f>
        <v>4604500000</v>
      </c>
    </row>
    <row r="103" spans="1:21" ht="15.75" customHeight="1">
      <c r="B103" s="526"/>
      <c r="C103" s="527"/>
      <c r="D103" s="527"/>
      <c r="E103" s="527"/>
      <c r="F103" s="528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15" t="str">
        <f>+Master!G246</f>
        <v>Jan - Dec</v>
      </c>
      <c r="T103" s="517">
        <f>+T8</f>
        <v>0</v>
      </c>
    </row>
    <row r="104" spans="1:21" ht="13.5" thickBot="1">
      <c r="B104" s="529"/>
      <c r="C104" s="530"/>
      <c r="D104" s="530"/>
      <c r="E104" s="530"/>
      <c r="F104" s="531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18" t="str">
        <f>+VLOOKUP(LEFT($A105,LEN(A105)-1)*1,Master!$D$27:$G$225,4,FALSE)</f>
        <v>Prihodi budžeta</v>
      </c>
      <c r="C105" s="519"/>
      <c r="D105" s="519"/>
      <c r="E105" s="519"/>
      <c r="F105" s="519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20" t="str">
        <f>+VLOOKUP(LEFT($A106,LEN(A106)-1)*1,Master!$D$27:$G$225,4,FALSE)</f>
        <v>Porezi</v>
      </c>
      <c r="C106" s="521"/>
      <c r="D106" s="521"/>
      <c r="E106" s="521"/>
      <c r="F106" s="521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32" t="str">
        <f>+VLOOKUP(LEFT($A119,LEN(A119)-1)*1,Master!$D$27:$G$225,4,FALSE)</f>
        <v>Takse</v>
      </c>
      <c r="C119" s="533"/>
      <c r="D119" s="533"/>
      <c r="E119" s="533"/>
      <c r="F119" s="533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32" t="str">
        <f>+VLOOKUP(LEFT($A120,LEN(A120)-1)*1,Master!$D$27:$G$225,4,FALSE)</f>
        <v>Naknade</v>
      </c>
      <c r="C120" s="533"/>
      <c r="D120" s="533"/>
      <c r="E120" s="533"/>
      <c r="F120" s="533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32" t="str">
        <f>+VLOOKUP(LEFT($A121,LEN(A121)-1)*1,Master!$D$27:$G$225,4,FALSE)</f>
        <v>Ostali prihodi</v>
      </c>
      <c r="C121" s="533"/>
      <c r="D121" s="533"/>
      <c r="E121" s="533"/>
      <c r="F121" s="533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32" t="str">
        <f>+VLOOKUP(LEFT($A122,LEN(A122)-1)*1,Master!$D$27:$G$225,4,FALSE)</f>
        <v>Primici od otplate kredita i sredstva prenesena iz prethodne godine</v>
      </c>
      <c r="C122" s="533"/>
      <c r="D122" s="533"/>
      <c r="E122" s="533"/>
      <c r="F122" s="533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36" t="str">
        <f>+VLOOKUP(LEFT($A123,LEN(A123)-1)*1,Master!$D$27:$G$225,4,FALSE)</f>
        <v>Donacije i transferi</v>
      </c>
      <c r="C123" s="537"/>
      <c r="D123" s="537"/>
      <c r="E123" s="537"/>
      <c r="F123" s="537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38" t="str">
        <f>+VLOOKUP(LEFT($A124,LEN(A124)-1)*1,Master!$D$27:$G$225,4,FALSE)</f>
        <v>Budžetski izdaci</v>
      </c>
      <c r="C124" s="539"/>
      <c r="D124" s="539"/>
      <c r="E124" s="539"/>
      <c r="F124" s="539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40" t="str">
        <f>+VLOOKUP(LEFT($A125,LEN(A125)-1)*1,Master!$D$27:$G$225,4,FALSE)</f>
        <v>Tekuća budžetska potrošnja</v>
      </c>
      <c r="C125" s="541"/>
      <c r="D125" s="541"/>
      <c r="E125" s="541"/>
      <c r="F125" s="541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42" t="str">
        <f>+VLOOKUP(LEFT($A126,LEN(A126)-1)*1,Master!$D$27:$G$225,4,FALSE)</f>
        <v>Tekući izdaci</v>
      </c>
      <c r="C126" s="543"/>
      <c r="D126" s="543"/>
      <c r="E126" s="543"/>
      <c r="F126" s="543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46" t="str">
        <f>+VLOOKUP(LEFT($A137,LEN(A137)-1)*1,Master!$D$27:$G$225,4,FALSE)</f>
        <v>Transferi za socijalnu zaštitu</v>
      </c>
      <c r="C137" s="547"/>
      <c r="D137" s="547"/>
      <c r="E137" s="547"/>
      <c r="F137" s="547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44" t="str">
        <f>+VLOOKUP(LEFT($A143,LEN(A143)-1)*1,Master!$D$27:$G$225,4,FALSE)</f>
        <v xml:space="preserve">Transferi institucijama, pojedincima, nevladinom i javnom sektoru </v>
      </c>
      <c r="C143" s="545"/>
      <c r="D143" s="545"/>
      <c r="E143" s="545"/>
      <c r="F143" s="545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44" t="str">
        <f>+VLOOKUP(LEFT($A144,LEN(A144)-1)*1,Master!$D$27:$G$225,4,FALSE)</f>
        <v>Kapitalni budžet</v>
      </c>
      <c r="C144" s="545"/>
      <c r="D144" s="545"/>
      <c r="E144" s="545"/>
      <c r="F144" s="545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48" t="str">
        <f>+VLOOKUP(LEFT($A145,LEN(A145)-1)*1,Master!$D$27:$G$225,4,FALSE)</f>
        <v>Pozajmice i krediti</v>
      </c>
      <c r="C145" s="549"/>
      <c r="D145" s="549"/>
      <c r="E145" s="549"/>
      <c r="F145" s="549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48" t="str">
        <f>+VLOOKUP(LEFT($A146,LEN(A146)-1)*1,Master!$D$27:$G$225,4,FALSE)</f>
        <v>Rezerve</v>
      </c>
      <c r="C146" s="549"/>
      <c r="D146" s="549"/>
      <c r="E146" s="549"/>
      <c r="F146" s="549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48" t="str">
        <f>+VLOOKUP(LEFT($A147,LEN(A147)-1)*1,Master!$D$27:$G$225,4,FALSE)</f>
        <v>Otplata garancija</v>
      </c>
      <c r="C147" s="549"/>
      <c r="D147" s="549"/>
      <c r="E147" s="549"/>
      <c r="F147" s="549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694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54" t="str">
        <f>+VLOOKUP(LEFT($A149,LEN(A149)-1)*1,Master!$D$27:$G$225,4,FALSE)</f>
        <v>Suficit / deficit</v>
      </c>
      <c r="C149" s="555"/>
      <c r="D149" s="555"/>
      <c r="E149" s="555"/>
      <c r="F149" s="555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56" t="str">
        <f>+VLOOKUP(LEFT($A150,LEN(A150)-1)*1,Master!$D$27:$G$225,4,FALSE)</f>
        <v>Primarni bilans</v>
      </c>
      <c r="C150" s="557"/>
      <c r="D150" s="557"/>
      <c r="E150" s="557"/>
      <c r="F150" s="557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46" t="str">
        <f>+VLOOKUP(LEFT($A151,LEN(A151)-1)*1,Master!$D$27:$G$225,4,FALSE)</f>
        <v>Otplata dugova</v>
      </c>
      <c r="C151" s="547"/>
      <c r="D151" s="547"/>
      <c r="E151" s="547"/>
      <c r="F151" s="547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50" t="str">
        <f>+VLOOKUP(LEFT($A152,LEN(A152)-1)*1,Master!$D$27:$G$225,4,FALSE)</f>
        <v>Otplata hartija od vrijednosti i kredita rezidentima</v>
      </c>
      <c r="C152" s="551"/>
      <c r="D152" s="551"/>
      <c r="E152" s="551"/>
      <c r="F152" s="551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48" t="str">
        <f>+VLOOKUP(LEFT($A153,LEN(A153)-1)*1,Master!$D$27:$G$225,4,FALSE)</f>
        <v>Otplata hartija od vrijednosti i kredita nerezidentima</v>
      </c>
      <c r="C153" s="549"/>
      <c r="D153" s="549"/>
      <c r="E153" s="549"/>
      <c r="F153" s="549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48" t="str">
        <f>+VLOOKUP(LEFT($A154,LEN(A154)-1)*1,Master!$D$27:$G$225,4,FALSE)</f>
        <v>Otplata obaveza iz prethodnih godina</v>
      </c>
      <c r="C154" s="549"/>
      <c r="D154" s="549"/>
      <c r="E154" s="549"/>
      <c r="F154" s="549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52" t="str">
        <f>+VLOOKUP(LEFT($A156,LEN(A156)-1)*1,Master!$D$27:$G$225,4,FALSE)</f>
        <v>Nedostajuća sredstva</v>
      </c>
      <c r="C156" s="553"/>
      <c r="D156" s="553"/>
      <c r="E156" s="553"/>
      <c r="F156" s="553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38" t="str">
        <f>+VLOOKUP(LEFT($A157,LEN(A157)-1)*1,Master!$D$27:$G$225,4,FALSE)</f>
        <v>Finansiranje</v>
      </c>
      <c r="C157" s="539"/>
      <c r="D157" s="539"/>
      <c r="E157" s="539"/>
      <c r="F157" s="539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50" t="str">
        <f>+VLOOKUP(LEFT($A158,LEN(A158)-1)*1,Master!$D$27:$G$225,4,FALSE)</f>
        <v>Pozajmice i krediti od domaćih izvora</v>
      </c>
      <c r="C158" s="551"/>
      <c r="D158" s="551"/>
      <c r="E158" s="551"/>
      <c r="F158" s="551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48" t="str">
        <f>+VLOOKUP(LEFT($A159,LEN(A159)-1)*1,Master!$D$27:$G$225,4,FALSE)</f>
        <v>Pozajmice i krediti od inostranih izvora</v>
      </c>
      <c r="C159" s="549"/>
      <c r="D159" s="549"/>
      <c r="E159" s="549"/>
      <c r="F159" s="549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48" t="str">
        <f>+VLOOKUP(LEFT($A160,LEN(A160)-1)*1,Master!$D$27:$G$225,4,FALSE)</f>
        <v>Primici od prodaje imovine</v>
      </c>
      <c r="C160" s="549"/>
      <c r="D160" s="549"/>
      <c r="E160" s="549"/>
      <c r="F160" s="549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737</v>
      </c>
      <c r="H6" s="259" t="s">
        <v>738</v>
      </c>
      <c r="I6" s="259" t="s">
        <v>739</v>
      </c>
      <c r="J6" s="259" t="s">
        <v>740</v>
      </c>
      <c r="K6" s="259" t="s">
        <v>741</v>
      </c>
      <c r="L6" s="259" t="s">
        <v>742</v>
      </c>
      <c r="M6" s="259" t="s">
        <v>743</v>
      </c>
      <c r="N6" s="259" t="s">
        <v>744</v>
      </c>
      <c r="O6" s="259" t="s">
        <v>745</v>
      </c>
      <c r="P6" s="259" t="s">
        <v>746</v>
      </c>
      <c r="Q6" s="259" t="s">
        <v>747</v>
      </c>
      <c r="R6" s="259" t="s">
        <v>748</v>
      </c>
      <c r="S6" s="258"/>
      <c r="T6" s="258"/>
    </row>
    <row r="7" spans="1:20" ht="15" customHeight="1" thickBot="1">
      <c r="A7" s="169"/>
      <c r="B7" s="504" t="str">
        <f>+[1]Master!G249</f>
        <v>Ostvarenje budžeta</v>
      </c>
      <c r="C7" s="485"/>
      <c r="D7" s="485"/>
      <c r="E7" s="485"/>
      <c r="F7" s="485"/>
      <c r="G7" s="493">
        <v>2017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+[1]Master!G246</f>
        <v>BDP</v>
      </c>
      <c r="T7" s="261">
        <v>4299000000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93" t="str">
        <f>+[1]Master!G243</f>
        <v>Jan - Dec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+[1]Master!G247</f>
        <v>% BDP</v>
      </c>
    </row>
    <row r="10" spans="1:20" ht="13.5" thickBot="1">
      <c r="A10" s="175">
        <v>7</v>
      </c>
      <c r="B10" s="452" t="str">
        <f>+VLOOKUP($A10,[1]Master!$D$25:$G$223,4,FALSE)</f>
        <v>Prihodi budžeta</v>
      </c>
      <c r="C10" s="453"/>
      <c r="D10" s="453"/>
      <c r="E10" s="453"/>
      <c r="F10" s="453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54" t="str">
        <f>+VLOOKUP($A11,[1]Master!$D$25:$G$223,4,FALSE)</f>
        <v>Porezi</v>
      </c>
      <c r="C11" s="455"/>
      <c r="D11" s="455"/>
      <c r="E11" s="455"/>
      <c r="F11" s="455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56" t="str">
        <f>+VLOOKUP($A12,[1]Master!$D$25:$G$223,4,FALSE)</f>
        <v>Porez na dohodak fizičkih lica</v>
      </c>
      <c r="C12" s="457"/>
      <c r="D12" s="457"/>
      <c r="E12" s="457"/>
      <c r="F12" s="457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56" t="str">
        <f>+VLOOKUP($A13,[1]Master!$D$25:$G$223,4,FALSE)</f>
        <v>Porez na dobit pravnih lica</v>
      </c>
      <c r="C13" s="457"/>
      <c r="D13" s="457"/>
      <c r="E13" s="457"/>
      <c r="F13" s="457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56" t="str">
        <f>+VLOOKUP($A14,[1]Master!$D$25:$G$223,4,FALSE)</f>
        <v>Porez na promet nepokretnosti</v>
      </c>
      <c r="C14" s="457"/>
      <c r="D14" s="457"/>
      <c r="E14" s="457"/>
      <c r="F14" s="457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56" t="str">
        <f>+VLOOKUP($A15,[1]Master!$D$25:$G$223,4,FALSE)</f>
        <v>Porez na dodatu vrijednost</v>
      </c>
      <c r="C15" s="457"/>
      <c r="D15" s="457"/>
      <c r="E15" s="457"/>
      <c r="F15" s="457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56" t="str">
        <f>+VLOOKUP($A16,[1]Master!$D$25:$G$223,4,FALSE)</f>
        <v>Akcize</v>
      </c>
      <c r="C16" s="457"/>
      <c r="D16" s="457"/>
      <c r="E16" s="457"/>
      <c r="F16" s="457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56" t="str">
        <f>+VLOOKUP($A17,[1]Master!$D$25:$G$223,4,FALSE)</f>
        <v>Porez na međunarodnu trgovinu i transakcije</v>
      </c>
      <c r="C17" s="457"/>
      <c r="D17" s="457"/>
      <c r="E17" s="457"/>
      <c r="F17" s="457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56" t="str">
        <f>+VLOOKUP($A18,[1]Master!$D$25:$G$223,4,FALSE)</f>
        <v>Ostali državni porezi</v>
      </c>
      <c r="C18" s="457"/>
      <c r="D18" s="457"/>
      <c r="E18" s="457"/>
      <c r="F18" s="457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60" t="str">
        <f>+VLOOKUP($A19,[1]Master!$D$25:$G$223,4,FALSE)</f>
        <v>Doprinosi</v>
      </c>
      <c r="C19" s="461"/>
      <c r="D19" s="461"/>
      <c r="E19" s="461"/>
      <c r="F19" s="461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56" t="str">
        <f>+VLOOKUP($A20,[1]Master!$D$25:$G$223,4,FALSE)</f>
        <v>Doprinosi za penzijsko i invalidsko osiguranje</v>
      </c>
      <c r="C20" s="457"/>
      <c r="D20" s="457"/>
      <c r="E20" s="457"/>
      <c r="F20" s="457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56" t="str">
        <f>+VLOOKUP($A21,[1]Master!$D$25:$G$223,4,FALSE)</f>
        <v>Doprinosi za zdravstveno osiguranje</v>
      </c>
      <c r="C21" s="457"/>
      <c r="D21" s="457"/>
      <c r="E21" s="457"/>
      <c r="F21" s="457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56" t="str">
        <f>+VLOOKUP($A22,[1]Master!$D$25:$G$223,4,FALSE)</f>
        <v>Doprinosi za osiguranje od nezaposlenosti</v>
      </c>
      <c r="C22" s="457"/>
      <c r="D22" s="457"/>
      <c r="E22" s="457"/>
      <c r="F22" s="457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56" t="str">
        <f>+VLOOKUP($A23,[1]Master!$D$25:$G$223,4,FALSE)</f>
        <v>Ostali doprinosi</v>
      </c>
      <c r="C23" s="457"/>
      <c r="D23" s="457"/>
      <c r="E23" s="457"/>
      <c r="F23" s="457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58" t="str">
        <f>+VLOOKUP($A24,[1]Master!$D$25:$G$223,4,FALSE)</f>
        <v>Takse</v>
      </c>
      <c r="C24" s="459"/>
      <c r="D24" s="459"/>
      <c r="E24" s="459"/>
      <c r="F24" s="459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58" t="str">
        <f>+VLOOKUP($A25,[1]Master!$D$25:$G$223,4,FALSE)</f>
        <v>Naknade</v>
      </c>
      <c r="C25" s="459"/>
      <c r="D25" s="459"/>
      <c r="E25" s="459"/>
      <c r="F25" s="459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58" t="str">
        <f>+VLOOKUP($A26,[1]Master!$D$25:$G$223,4,FALSE)</f>
        <v>Ostali prihodi</v>
      </c>
      <c r="C26" s="459"/>
      <c r="D26" s="459"/>
      <c r="E26" s="459"/>
      <c r="F26" s="459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58" t="str">
        <f>+VLOOKUP($A27,[1]Master!$D$25:$G$223,4,FALSE)</f>
        <v>Primici od otplate kredita i sredstva prenesena iz prethodne godine</v>
      </c>
      <c r="C27" s="459"/>
      <c r="D27" s="459"/>
      <c r="E27" s="459"/>
      <c r="F27" s="459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62" t="str">
        <f>+VLOOKUP($A28,[1]Master!$D$25:$G$223,4,FALSE)</f>
        <v>Donacije i transferi</v>
      </c>
      <c r="C28" s="463"/>
      <c r="D28" s="463"/>
      <c r="E28" s="463"/>
      <c r="F28" s="463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64" t="str">
        <f>+VLOOKUP($A29,[1]Master!$D$25:$G$223,4,FALSE)</f>
        <v>Budžetki izdaci</v>
      </c>
      <c r="C29" s="465"/>
      <c r="D29" s="465"/>
      <c r="E29" s="465"/>
      <c r="F29" s="465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66" t="str">
        <f>+VLOOKUP($A30,[1]Master!$D$25:$G$223,4,FALSE)</f>
        <v>Tekući izdaci</v>
      </c>
      <c r="C30" s="467"/>
      <c r="D30" s="467"/>
      <c r="E30" s="467"/>
      <c r="F30" s="467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68" t="str">
        <f>+VLOOKUP($A31,[1]Master!$D$25:$G$223,4,FALSE)</f>
        <v>Tekući budžetski izdaci</v>
      </c>
      <c r="C31" s="469"/>
      <c r="D31" s="469"/>
      <c r="E31" s="469"/>
      <c r="F31" s="469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56" t="str">
        <f>+VLOOKUP($A32,[1]Master!$D$25:$G$223,4,FALSE)</f>
        <v>Bruto zarade i doprinosi na teret poslodavca</v>
      </c>
      <c r="C32" s="457"/>
      <c r="D32" s="457"/>
      <c r="E32" s="457"/>
      <c r="F32" s="457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56" t="str">
        <f>+VLOOKUP($A33,[1]Master!$D$25:$G$223,4,FALSE)</f>
        <v>Ostala lična primanja</v>
      </c>
      <c r="C33" s="457"/>
      <c r="D33" s="457"/>
      <c r="E33" s="457"/>
      <c r="F33" s="457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56" t="str">
        <f>+VLOOKUP($A34,[1]Master!$D$25:$G$223,4,FALSE)</f>
        <v>Rashodi za materijal</v>
      </c>
      <c r="C34" s="457"/>
      <c r="D34" s="457"/>
      <c r="E34" s="457"/>
      <c r="F34" s="457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56" t="str">
        <f>+VLOOKUP($A35,[1]Master!$D$25:$G$223,4,FALSE)</f>
        <v>Rashodi za usluge</v>
      </c>
      <c r="C35" s="457"/>
      <c r="D35" s="457"/>
      <c r="E35" s="457"/>
      <c r="F35" s="457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56" t="str">
        <f>+VLOOKUP($A36,[1]Master!$D$25:$G$223,4,FALSE)</f>
        <v>Rashodi za tekuće održavanje</v>
      </c>
      <c r="C36" s="457"/>
      <c r="D36" s="457"/>
      <c r="E36" s="457"/>
      <c r="F36" s="457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56" t="str">
        <f>+VLOOKUP($A37,[1]Master!$D$25:$G$223,4,FALSE)</f>
        <v>Kamate</v>
      </c>
      <c r="C37" s="457"/>
      <c r="D37" s="457"/>
      <c r="E37" s="457"/>
      <c r="F37" s="457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56" t="str">
        <f>+VLOOKUP($A38,[1]Master!$D$25:$G$223,4,FALSE)</f>
        <v>Renta</v>
      </c>
      <c r="C38" s="457"/>
      <c r="D38" s="457"/>
      <c r="E38" s="457"/>
      <c r="F38" s="457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56" t="str">
        <f>+VLOOKUP($A39,[1]Master!$D$25:$G$223,4,FALSE)</f>
        <v>Subvencije</v>
      </c>
      <c r="C39" s="457"/>
      <c r="D39" s="457"/>
      <c r="E39" s="457"/>
      <c r="F39" s="457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56" t="str">
        <f>+VLOOKUP($A40,[1]Master!$D$25:$G$223,4,FALSE)</f>
        <v>Ostali izdaci</v>
      </c>
      <c r="C40" s="457"/>
      <c r="D40" s="457"/>
      <c r="E40" s="457"/>
      <c r="F40" s="457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56" t="str">
        <f>+VLOOKUP($A41,[1]Master!$D$25:$G$223,4,FALSE)</f>
        <v>Kapitalni izdaci u tekućem budžetu</v>
      </c>
      <c r="C41" s="457"/>
      <c r="D41" s="457"/>
      <c r="E41" s="457"/>
      <c r="F41" s="457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72" t="str">
        <f>+VLOOKUP($A42,[1]Master!$D$25:$G$223,4,FALSE)</f>
        <v>Transferi za socijalnu zaštitu</v>
      </c>
      <c r="C42" s="473"/>
      <c r="D42" s="473"/>
      <c r="E42" s="473"/>
      <c r="F42" s="473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56" t="str">
        <f>+VLOOKUP($A43,[1]Master!$D$25:$G$223,4,FALSE)</f>
        <v>Prava iz oblasti socijalne zaštite</v>
      </c>
      <c r="C43" s="457"/>
      <c r="D43" s="457"/>
      <c r="E43" s="457"/>
      <c r="F43" s="457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56" t="str">
        <f>+VLOOKUP($A44,[1]Master!$D$25:$G$223,4,FALSE)</f>
        <v>Sredstva za tehnološke viškove</v>
      </c>
      <c r="C44" s="457"/>
      <c r="D44" s="457"/>
      <c r="E44" s="457"/>
      <c r="F44" s="457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56" t="str">
        <f>+VLOOKUP($A45,[1]Master!$D$25:$G$223,4,FALSE)</f>
        <v>Prava iz oblasti penzijskog i invalidskog osiguranja</v>
      </c>
      <c r="C45" s="457"/>
      <c r="D45" s="457"/>
      <c r="E45" s="457"/>
      <c r="F45" s="457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56" t="str">
        <f>+VLOOKUP($A46,[1]Master!$D$25:$G$223,4,FALSE)</f>
        <v>Ostala prava iz oblasti zdravstvene zaštite</v>
      </c>
      <c r="C46" s="457"/>
      <c r="D46" s="457"/>
      <c r="E46" s="457"/>
      <c r="F46" s="457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56" t="str">
        <f>+VLOOKUP($A47,[1]Master!$D$25:$G$223,4,FALSE)</f>
        <v>Ostala prava iz zdravstvenog osiguranja</v>
      </c>
      <c r="C47" s="457"/>
      <c r="D47" s="457"/>
      <c r="E47" s="457"/>
      <c r="F47" s="457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70" t="str">
        <f>+VLOOKUP($A48,[1]Master!$D$25:$G$223,4,FALSE)</f>
        <v xml:space="preserve">Transferi institucijama, pojedincima, nevladinom i javnom sektoru </v>
      </c>
      <c r="C48" s="471"/>
      <c r="D48" s="471"/>
      <c r="E48" s="471"/>
      <c r="F48" s="471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70" t="str">
        <f>+VLOOKUP($A49,[1]Master!$D$25:$G$223,4,FALSE)</f>
        <v>Kapitalni budžet</v>
      </c>
      <c r="C49" s="471"/>
      <c r="D49" s="471"/>
      <c r="E49" s="471"/>
      <c r="F49" s="471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74" t="str">
        <f>+VLOOKUP($A50,[1]Master!$D$25:$G$223,4,FALSE)</f>
        <v>Pozajmice i krediti</v>
      </c>
      <c r="C50" s="475"/>
      <c r="D50" s="475"/>
      <c r="E50" s="475"/>
      <c r="F50" s="475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74" t="str">
        <f>+VLOOKUP($A51,[1]Master!$D$25:$G$223,4,FALSE)</f>
        <v>Rezerve</v>
      </c>
      <c r="C51" s="475"/>
      <c r="D51" s="475"/>
      <c r="E51" s="475"/>
      <c r="F51" s="475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6" t="str">
        <f>+VLOOKUP($A52,[1]Master!$D$25:$G$223,4,FALSE)</f>
        <v>Otplata garancija</v>
      </c>
      <c r="C52" s="477"/>
      <c r="D52" s="477"/>
      <c r="E52" s="477"/>
      <c r="F52" s="477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6" t="str">
        <f>+VLOOKUP($A53,[1]Master!$D$25:$G$223,4,TRUE)</f>
        <v>Otplata obaveza iz prethodnih godina</v>
      </c>
      <c r="C53" s="477"/>
      <c r="D53" s="477"/>
      <c r="E53" s="477"/>
      <c r="F53" s="477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8" t="str">
        <f>+VLOOKUP($A54,[1]Master!$D$25:$G$225,4,FALSE)</f>
        <v>Neto povećanje obaveza</v>
      </c>
      <c r="C54" s="559"/>
      <c r="D54" s="559"/>
      <c r="E54" s="559"/>
      <c r="F54" s="559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8" t="str">
        <f>+VLOOKUP($A55,[1]Master!$D$25:$G$223,4,FALSE)</f>
        <v>Suficit / deficit</v>
      </c>
      <c r="C55" s="479"/>
      <c r="D55" s="479"/>
      <c r="E55" s="479"/>
      <c r="F55" s="479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80" t="str">
        <f>+VLOOKUP($A57,[1]Master!$D$25:$G$223,4,FALSE)</f>
        <v>Primarni bilans</v>
      </c>
      <c r="C57" s="481"/>
      <c r="D57" s="481"/>
      <c r="E57" s="481"/>
      <c r="F57" s="481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72" t="str">
        <f>+VLOOKUP($A58,[1]Master!$D$25:$G$223,4,FALSE)</f>
        <v>Otplata dugova</v>
      </c>
      <c r="C58" s="473"/>
      <c r="D58" s="473"/>
      <c r="E58" s="473"/>
      <c r="F58" s="473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98" t="str">
        <f>+VLOOKUP($A59,[1]Master!$D$25:$G$223,4,FALSE)</f>
        <v>Otplata hartija od vrijednosti i kredita rezidentima</v>
      </c>
      <c r="C59" s="499"/>
      <c r="D59" s="499"/>
      <c r="E59" s="499"/>
      <c r="F59" s="499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74" t="str">
        <f>+VLOOKUP($A60,[1]Master!$D$25:$G$223,4,FALSE)</f>
        <v>Otplata hartija od vrijednosti i kredita nerezidentima</v>
      </c>
      <c r="C60" s="475"/>
      <c r="D60" s="475"/>
      <c r="E60" s="475"/>
      <c r="F60" s="475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500" t="str">
        <f>+VLOOKUP($A61,[1]Master!$D$25:$G$223,4,FALSE)</f>
        <v>Nedostajuća sredstva</v>
      </c>
      <c r="C61" s="501"/>
      <c r="D61" s="501"/>
      <c r="E61" s="501"/>
      <c r="F61" s="501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64" t="str">
        <f>+VLOOKUP($A62,[1]Master!$D$25:$G$223,4,FALSE)</f>
        <v>Finansiranje</v>
      </c>
      <c r="C62" s="465"/>
      <c r="D62" s="465"/>
      <c r="E62" s="465"/>
      <c r="F62" s="465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98" t="str">
        <f>+VLOOKUP($A63,[1]Master!$D$25:$G$223,4,FALSE)</f>
        <v>Pozajmice i krediti od domaćih izvora</v>
      </c>
      <c r="C63" s="499"/>
      <c r="D63" s="499"/>
      <c r="E63" s="499"/>
      <c r="F63" s="499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74" t="str">
        <f>+VLOOKUP($A64,[1]Master!$D$25:$G$223,4,FALSE)</f>
        <v>Pozajmice i krediti od inostranih izvora</v>
      </c>
      <c r="C64" s="475"/>
      <c r="D64" s="475"/>
      <c r="E64" s="475"/>
      <c r="F64" s="475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74" t="str">
        <f>+VLOOKUP($A65,[1]Master!$D$25:$G$223,4,FALSE)</f>
        <v>Primici od prodaje imovine</v>
      </c>
      <c r="C65" s="475"/>
      <c r="D65" s="475"/>
      <c r="E65" s="475"/>
      <c r="F65" s="475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24" t="str">
        <f>+[1]Master!G250</f>
        <v>Plan ostvarenja budžeta</v>
      </c>
      <c r="C102" s="525"/>
      <c r="D102" s="525"/>
      <c r="E102" s="525"/>
      <c r="F102" s="525"/>
      <c r="G102" s="515">
        <v>2017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7"/>
      <c r="S102" s="115" t="str">
        <f>+S7</f>
        <v>BDP</v>
      </c>
      <c r="T102" s="116">
        <f>+T7</f>
        <v>4299000000</v>
      </c>
    </row>
    <row r="103" spans="1:21" ht="15.75" customHeight="1">
      <c r="B103" s="526"/>
      <c r="C103" s="527"/>
      <c r="D103" s="527"/>
      <c r="E103" s="527"/>
      <c r="F103" s="528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15" t="str">
        <f>+[1]Master!G244</f>
        <v>Jan - Dec</v>
      </c>
      <c r="T103" s="517">
        <f>+T8</f>
        <v>0</v>
      </c>
    </row>
    <row r="104" spans="1:21" ht="13.5" thickBot="1">
      <c r="B104" s="529"/>
      <c r="C104" s="530"/>
      <c r="D104" s="530"/>
      <c r="E104" s="530"/>
      <c r="F104" s="531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18" t="str">
        <f>+VLOOKUP(LEFT($A105,LEN(A105)-1)*1,[1]Master!$D$25:$G$223,4,FALSE)</f>
        <v>Prihodi budžeta</v>
      </c>
      <c r="C105" s="519"/>
      <c r="D105" s="519"/>
      <c r="E105" s="519"/>
      <c r="F105" s="519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20" t="str">
        <f>+VLOOKUP(LEFT($A106,LEN(A106)-1)*1,[1]Master!$D$25:$G$223,4,FALSE)</f>
        <v>Porezi</v>
      </c>
      <c r="C106" s="521"/>
      <c r="D106" s="521"/>
      <c r="E106" s="521"/>
      <c r="F106" s="521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22" t="str">
        <f>+VLOOKUP(LEFT($A107,LEN(A107)-1)*1,[1]Master!$D$25:$G$223,4,FALSE)</f>
        <v>Porez na dohodak fizičkih lica</v>
      </c>
      <c r="C107" s="523"/>
      <c r="D107" s="523"/>
      <c r="E107" s="523"/>
      <c r="F107" s="523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22" t="str">
        <f>+VLOOKUP(LEFT($A108,LEN(A108)-1)*1,[1]Master!$D$25:$G$223,4,FALSE)</f>
        <v>Porez na dobit pravnih lica</v>
      </c>
      <c r="C108" s="523"/>
      <c r="D108" s="523"/>
      <c r="E108" s="523"/>
      <c r="F108" s="523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22" t="str">
        <f>+VLOOKUP(LEFT($A109,LEN(A109)-1)*1,[1]Master!$D$25:$G$223,4,FALSE)</f>
        <v>Porez na promet nepokretnosti</v>
      </c>
      <c r="C109" s="523"/>
      <c r="D109" s="523"/>
      <c r="E109" s="523"/>
      <c r="F109" s="523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22" t="str">
        <f>+VLOOKUP(LEFT($A110,LEN(A110)-1)*1,[1]Master!$D$25:$G$223,4,FALSE)</f>
        <v>Porez na dodatu vrijednost</v>
      </c>
      <c r="C110" s="523"/>
      <c r="D110" s="523"/>
      <c r="E110" s="523"/>
      <c r="F110" s="523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22" t="str">
        <f>+VLOOKUP(LEFT($A111,LEN(A111)-1)*1,[1]Master!$D$25:$G$223,4,FALSE)</f>
        <v>Akcize</v>
      </c>
      <c r="C111" s="523"/>
      <c r="D111" s="523"/>
      <c r="E111" s="523"/>
      <c r="F111" s="523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22" t="str">
        <f>+VLOOKUP(LEFT($A112,LEN(A112)-1)*1,[1]Master!$D$25:$G$223,4,FALSE)</f>
        <v>Porez na međunarodnu trgovinu i transakcije</v>
      </c>
      <c r="C112" s="523"/>
      <c r="D112" s="523"/>
      <c r="E112" s="523"/>
      <c r="F112" s="523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22" t="str">
        <f>+VLOOKUP(LEFT($A113,LEN(A113)-1)*1,[1]Master!$D$25:$G$223,4,FALSE)</f>
        <v>Ostali državni porezi</v>
      </c>
      <c r="C113" s="523"/>
      <c r="D113" s="523"/>
      <c r="E113" s="523"/>
      <c r="F113" s="523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34" t="str">
        <f>+VLOOKUP(LEFT($A114,LEN(A114)-1)*1,[1]Master!$D$25:$G$223,4,FALSE)</f>
        <v>Doprinosi</v>
      </c>
      <c r="C114" s="535"/>
      <c r="D114" s="535"/>
      <c r="E114" s="535"/>
      <c r="F114" s="535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22" t="str">
        <f>+VLOOKUP(LEFT($A115,LEN(A115)-1)*1,[1]Master!$D$25:$G$223,4,FALSE)</f>
        <v>Doprinosi za penzijsko i invalidsko osiguranje</v>
      </c>
      <c r="C115" s="523"/>
      <c r="D115" s="523"/>
      <c r="E115" s="523"/>
      <c r="F115" s="523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22" t="str">
        <f>+VLOOKUP(LEFT($A116,LEN(A116)-1)*1,[1]Master!$D$25:$G$223,4,FALSE)</f>
        <v>Doprinosi za zdravstveno osiguranje</v>
      </c>
      <c r="C116" s="523"/>
      <c r="D116" s="523"/>
      <c r="E116" s="523"/>
      <c r="F116" s="523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22" t="str">
        <f>+VLOOKUP(LEFT($A117,LEN(A117)-1)*1,[1]Master!$D$25:$G$223,4,FALSE)</f>
        <v>Doprinosi za osiguranje od nezaposlenosti</v>
      </c>
      <c r="C117" s="523"/>
      <c r="D117" s="523"/>
      <c r="E117" s="523"/>
      <c r="F117" s="523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22" t="str">
        <f>+VLOOKUP(LEFT($A118,LEN(A118)-1)*1,[1]Master!$D$25:$G$223,4,FALSE)</f>
        <v>Ostali doprinosi</v>
      </c>
      <c r="C118" s="523"/>
      <c r="D118" s="523"/>
      <c r="E118" s="523"/>
      <c r="F118" s="523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32" t="str">
        <f>+VLOOKUP(LEFT($A119,LEN(A119)-1)*1,[1]Master!$D$25:$G$223,4,FALSE)</f>
        <v>Takse</v>
      </c>
      <c r="C119" s="533"/>
      <c r="D119" s="533"/>
      <c r="E119" s="533"/>
      <c r="F119" s="533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32" t="str">
        <f>+VLOOKUP(LEFT($A120,LEN(A120)-1)*1,[1]Master!$D$25:$G$223,4,FALSE)</f>
        <v>Naknade</v>
      </c>
      <c r="C120" s="533"/>
      <c r="D120" s="533"/>
      <c r="E120" s="533"/>
      <c r="F120" s="533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32" t="str">
        <f>+VLOOKUP(LEFT($A121,LEN(A121)-1)*1,[1]Master!$D$25:$G$223,4,FALSE)</f>
        <v>Ostali prihodi</v>
      </c>
      <c r="C121" s="533"/>
      <c r="D121" s="533"/>
      <c r="E121" s="533"/>
      <c r="F121" s="533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32" t="str">
        <f>+VLOOKUP(LEFT($A122,LEN(A122)-1)*1,[1]Master!$D$25:$G$223,4,FALSE)</f>
        <v>Primici od otplate kredita i sredstva prenesena iz prethodne godine</v>
      </c>
      <c r="C122" s="533"/>
      <c r="D122" s="533"/>
      <c r="E122" s="533"/>
      <c r="F122" s="533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36" t="str">
        <f>+VLOOKUP(LEFT($A123,LEN(A123)-1)*1,[1]Master!$D$25:$G$223,4,FALSE)</f>
        <v>Donacije i transferi</v>
      </c>
      <c r="C123" s="537"/>
      <c r="D123" s="537"/>
      <c r="E123" s="537"/>
      <c r="F123" s="537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38" t="str">
        <f>+VLOOKUP(LEFT($A124,LEN(A124)-1)*1,[1]Master!$D$25:$G$223,4,FALSE)</f>
        <v>Budžetki izdaci</v>
      </c>
      <c r="C124" s="539"/>
      <c r="D124" s="539"/>
      <c r="E124" s="539"/>
      <c r="F124" s="539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40" t="str">
        <f>+VLOOKUP(LEFT($A125,LEN(A125)-1)*1,[1]Master!$D$25:$G$223,4,FALSE)</f>
        <v>Tekući izdaci</v>
      </c>
      <c r="C125" s="541"/>
      <c r="D125" s="541"/>
      <c r="E125" s="541"/>
      <c r="F125" s="541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42" t="str">
        <f>+VLOOKUP(LEFT($A126,LEN(A126)-1)*1,[1]Master!$D$25:$G$223,4,FALSE)</f>
        <v>Tekući budžetski izdaci</v>
      </c>
      <c r="C126" s="543"/>
      <c r="D126" s="543"/>
      <c r="E126" s="543"/>
      <c r="F126" s="543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22" t="str">
        <f>+VLOOKUP(LEFT($A127,LEN(A127)-1)*1,[1]Master!$D$25:$G$223,4,FALSE)</f>
        <v>Bruto zarade i doprinosi na teret poslodavca</v>
      </c>
      <c r="C127" s="523"/>
      <c r="D127" s="523"/>
      <c r="E127" s="523"/>
      <c r="F127" s="523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22" t="str">
        <f>+VLOOKUP(LEFT($A128,LEN(A128)-1)*1,[1]Master!$D$25:$G$223,4,FALSE)</f>
        <v>Ostala lična primanja</v>
      </c>
      <c r="C128" s="523"/>
      <c r="D128" s="523"/>
      <c r="E128" s="523"/>
      <c r="F128" s="523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22" t="str">
        <f>+VLOOKUP(LEFT($A129,LEN(A129)-1)*1,[1]Master!$D$25:$G$223,4,FALSE)</f>
        <v>Rashodi za materijal</v>
      </c>
      <c r="C129" s="523"/>
      <c r="D129" s="523"/>
      <c r="E129" s="523"/>
      <c r="F129" s="523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22" t="str">
        <f>+VLOOKUP(LEFT($A130,LEN(A130)-1)*1,[1]Master!$D$25:$G$223,4,FALSE)</f>
        <v>Rashodi za usluge</v>
      </c>
      <c r="C130" s="523"/>
      <c r="D130" s="523"/>
      <c r="E130" s="523"/>
      <c r="F130" s="523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22" t="str">
        <f>+VLOOKUP(LEFT($A131,LEN(A131)-1)*1,[1]Master!$D$25:$G$223,4,FALSE)</f>
        <v>Rashodi za tekuće održavanje</v>
      </c>
      <c r="C131" s="523"/>
      <c r="D131" s="523"/>
      <c r="E131" s="523"/>
      <c r="F131" s="523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22" t="str">
        <f>+VLOOKUP(LEFT($A132,LEN(A132)-1)*1,[1]Master!$D$25:$G$223,4,FALSE)</f>
        <v>Kamate</v>
      </c>
      <c r="C132" s="523"/>
      <c r="D132" s="523"/>
      <c r="E132" s="523"/>
      <c r="F132" s="523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22" t="str">
        <f>+VLOOKUP(LEFT($A133,LEN(A133)-1)*1,[1]Master!$D$25:$G$223,4,FALSE)</f>
        <v>Renta</v>
      </c>
      <c r="C133" s="523"/>
      <c r="D133" s="523"/>
      <c r="E133" s="523"/>
      <c r="F133" s="523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22" t="str">
        <f>+VLOOKUP(LEFT($A134,LEN(A134)-1)*1,[1]Master!$D$25:$G$223,4,FALSE)</f>
        <v>Subvencije</v>
      </c>
      <c r="C134" s="523"/>
      <c r="D134" s="523"/>
      <c r="E134" s="523"/>
      <c r="F134" s="523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22" t="str">
        <f>+VLOOKUP(LEFT($A135,LEN(A135)-1)*1,[1]Master!$D$25:$G$223,4,FALSE)</f>
        <v>Ostali izdaci</v>
      </c>
      <c r="C135" s="523"/>
      <c r="D135" s="523"/>
      <c r="E135" s="523"/>
      <c r="F135" s="523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22" t="str">
        <f>+VLOOKUP(LEFT($A136,LEN(A136)-1)*1,[1]Master!$D$25:$G$223,4,FALSE)</f>
        <v>Kapitalni izdaci u tekućem budžetu</v>
      </c>
      <c r="C136" s="523"/>
      <c r="D136" s="523"/>
      <c r="E136" s="523"/>
      <c r="F136" s="523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46" t="str">
        <f>+VLOOKUP(LEFT($A137,LEN(A137)-1)*1,[1]Master!$D$25:$G$223,4,FALSE)</f>
        <v>Transferi za socijalnu zaštitu</v>
      </c>
      <c r="C137" s="547"/>
      <c r="D137" s="547"/>
      <c r="E137" s="547"/>
      <c r="F137" s="547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22" t="str">
        <f>+VLOOKUP(LEFT($A138,LEN(A138)-1)*1,[1]Master!$D$25:$G$223,4,FALSE)</f>
        <v>Prava iz oblasti socijalne zaštite</v>
      </c>
      <c r="C138" s="523"/>
      <c r="D138" s="523"/>
      <c r="E138" s="523"/>
      <c r="F138" s="523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22" t="str">
        <f>+VLOOKUP(LEFT($A139,LEN(A139)-1)*1,[1]Master!$D$25:$G$223,4,FALSE)</f>
        <v>Sredstva za tehnološke viškove</v>
      </c>
      <c r="C139" s="523"/>
      <c r="D139" s="523"/>
      <c r="E139" s="523"/>
      <c r="F139" s="523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22" t="str">
        <f>+VLOOKUP(LEFT($A140,LEN(A140)-1)*1,[1]Master!$D$25:$G$223,4,FALSE)</f>
        <v>Prava iz oblasti penzijskog i invalidskog osiguranja</v>
      </c>
      <c r="C140" s="523"/>
      <c r="D140" s="523"/>
      <c r="E140" s="523"/>
      <c r="F140" s="523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22" t="str">
        <f>+VLOOKUP(LEFT($A141,LEN(A141)-1)*1,[1]Master!$D$25:$G$223,4,FALSE)</f>
        <v>Ostala prava iz oblasti zdravstvene zaštite</v>
      </c>
      <c r="C141" s="523"/>
      <c r="D141" s="523"/>
      <c r="E141" s="523"/>
      <c r="F141" s="523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22" t="str">
        <f>+VLOOKUP(LEFT($A142,LEN(A142)-1)*1,[1]Master!$D$25:$G$223,4,FALSE)</f>
        <v>Ostala prava iz zdravstvenog osiguranja</v>
      </c>
      <c r="C142" s="523"/>
      <c r="D142" s="523"/>
      <c r="E142" s="523"/>
      <c r="F142" s="523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44" t="str">
        <f>+VLOOKUP(LEFT($A143,LEN(A143)-1)*1,[1]Master!$D$25:$G$223,4,FALSE)</f>
        <v xml:space="preserve">Transferi institucijama, pojedincima, nevladinom i javnom sektoru </v>
      </c>
      <c r="C143" s="545"/>
      <c r="D143" s="545"/>
      <c r="E143" s="545"/>
      <c r="F143" s="545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44" t="str">
        <f>+VLOOKUP(LEFT($A144,LEN(A144)-1)*1,[1]Master!$D$25:$G$223,4,FALSE)</f>
        <v>Kapitalni budžet</v>
      </c>
      <c r="C144" s="545"/>
      <c r="D144" s="545"/>
      <c r="E144" s="545"/>
      <c r="F144" s="545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48" t="str">
        <f>+VLOOKUP(LEFT($A145,LEN(A145)-1)*1,[1]Master!$D$25:$G$223,4,FALSE)</f>
        <v>Pozajmice i krediti</v>
      </c>
      <c r="C145" s="549"/>
      <c r="D145" s="549"/>
      <c r="E145" s="549"/>
      <c r="F145" s="549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48" t="str">
        <f>+VLOOKUP(LEFT($A146,LEN(A146)-1)*1,[1]Master!$D$25:$G$223,4,FALSE)</f>
        <v>Rezerve</v>
      </c>
      <c r="C146" s="549"/>
      <c r="D146" s="549"/>
      <c r="E146" s="549"/>
      <c r="F146" s="549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48" t="str">
        <f>+VLOOKUP(LEFT($A147,LEN(A147)-1)*1,[1]Master!$D$25:$G$223,4,FALSE)</f>
        <v>Otplata garancija</v>
      </c>
      <c r="C147" s="549"/>
      <c r="D147" s="549"/>
      <c r="E147" s="549"/>
      <c r="F147" s="549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694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54" t="str">
        <f>+VLOOKUP(LEFT($A149,LEN(A149)-1)*1,[1]Master!$D$25:$G$223,4,FALSE)</f>
        <v>Suficit / deficit</v>
      </c>
      <c r="C149" s="555"/>
      <c r="D149" s="555"/>
      <c r="E149" s="555"/>
      <c r="F149" s="555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56" t="str">
        <f>+VLOOKUP(LEFT($A150,LEN(A150)-1)*1,[1]Master!$D$25:$G$223,4,FALSE)</f>
        <v>Primarni bilans</v>
      </c>
      <c r="C150" s="557"/>
      <c r="D150" s="557"/>
      <c r="E150" s="557"/>
      <c r="F150" s="557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46" t="str">
        <f>+VLOOKUP(LEFT($A151,LEN(A151)-1)*1,[1]Master!$D$25:$G$223,4,FALSE)</f>
        <v>Otplata dugova</v>
      </c>
      <c r="C151" s="547"/>
      <c r="D151" s="547"/>
      <c r="E151" s="547"/>
      <c r="F151" s="547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50" t="str">
        <f>+VLOOKUP(LEFT($A152,LEN(A152)-1)*1,[1]Master!$D$25:$G$223,4,FALSE)</f>
        <v>Otplata hartija od vrijednosti i kredita rezidentima</v>
      </c>
      <c r="C152" s="551"/>
      <c r="D152" s="551"/>
      <c r="E152" s="551"/>
      <c r="F152" s="551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48" t="str">
        <f>+VLOOKUP(LEFT($A153,LEN(A153)-1)*1,[1]Master!$D$25:$G$223,4,FALSE)</f>
        <v>Otplata hartija od vrijednosti i kredita nerezidentima</v>
      </c>
      <c r="C153" s="549"/>
      <c r="D153" s="549"/>
      <c r="E153" s="549"/>
      <c r="F153" s="549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8" t="str">
        <f>+VLOOKUP(LEFT($A154,LEN(A154)-1)*1,[1]Master!$D$25:$G$223,4,FALSE)</f>
        <v>Otplata obaveza iz prethodnih godina</v>
      </c>
      <c r="C154" s="559"/>
      <c r="D154" s="559"/>
      <c r="E154" s="559"/>
      <c r="F154" s="559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52" t="str">
        <f>+VLOOKUP(LEFT($A155,LEN(A155)-1)*1,[1]Master!$D$25:$G$223,4,FALSE)</f>
        <v>Nedostajuća sredstva</v>
      </c>
      <c r="C155" s="553"/>
      <c r="D155" s="553"/>
      <c r="E155" s="553"/>
      <c r="F155" s="553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38" t="str">
        <f>+VLOOKUP(LEFT($A156,LEN(A156)-1)*1,[1]Master!$D$25:$G$223,4,FALSE)</f>
        <v>Finansiranje</v>
      </c>
      <c r="C156" s="539"/>
      <c r="D156" s="539"/>
      <c r="E156" s="539"/>
      <c r="F156" s="539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50" t="str">
        <f>+VLOOKUP(LEFT($A157,LEN(A157)-1)*1,[1]Master!$D$25:$G$223,4,FALSE)</f>
        <v>Pozajmice i krediti od domaćih izvora</v>
      </c>
      <c r="C157" s="551"/>
      <c r="D157" s="551"/>
      <c r="E157" s="551"/>
      <c r="F157" s="551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48" t="str">
        <f>+VLOOKUP(LEFT($A158,LEN(A158)-1)*1,[1]Master!$D$25:$G$223,4,FALSE)</f>
        <v>Pozajmice i krediti od inostranih izvora</v>
      </c>
      <c r="C158" s="549"/>
      <c r="D158" s="549"/>
      <c r="E158" s="549"/>
      <c r="F158" s="549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48" t="str">
        <f>+VLOOKUP(LEFT($A159,LEN(A159)-1)*1,[1]Master!$D$25:$G$223,4,FALSE)</f>
        <v>Primici od prodaje imovine</v>
      </c>
      <c r="C159" s="549"/>
      <c r="D159" s="549"/>
      <c r="E159" s="549"/>
      <c r="F159" s="549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B41" sqref="B41:F41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703</v>
      </c>
      <c r="H6" s="259" t="s">
        <v>704</v>
      </c>
      <c r="I6" s="259" t="s">
        <v>705</v>
      </c>
      <c r="J6" s="259" t="s">
        <v>706</v>
      </c>
      <c r="K6" s="259" t="s">
        <v>707</v>
      </c>
      <c r="L6" s="259" t="s">
        <v>708</v>
      </c>
      <c r="M6" s="259" t="s">
        <v>709</v>
      </c>
      <c r="N6" s="259" t="s">
        <v>710</v>
      </c>
      <c r="O6" s="259" t="s">
        <v>711</v>
      </c>
      <c r="P6" s="259" t="s">
        <v>712</v>
      </c>
      <c r="Q6" s="259" t="s">
        <v>713</v>
      </c>
      <c r="R6" s="259" t="s">
        <v>714</v>
      </c>
      <c r="S6" s="258"/>
      <c r="T6" s="258"/>
    </row>
    <row r="7" spans="1:20" ht="15" customHeight="1" thickBot="1">
      <c r="A7" s="169"/>
      <c r="B7" s="504" t="str">
        <f>+Master!G251</f>
        <v>Ostvarenje budžeta</v>
      </c>
      <c r="C7" s="485"/>
      <c r="D7" s="485"/>
      <c r="E7" s="485"/>
      <c r="F7" s="485"/>
      <c r="G7" s="493">
        <v>2016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+Master!G248</f>
        <v>BDP</v>
      </c>
      <c r="T7" s="261">
        <v>3954200000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93" t="str">
        <f>+Master!G245</f>
        <v>Jan - Jun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56" t="str">
        <f>+VLOOKUP($A47,Master!$D$27:$G$225,4,FALSE)</f>
        <v>Ostala prava iz zdravstvenog osiguranja</v>
      </c>
      <c r="C47" s="457"/>
      <c r="D47" s="457"/>
      <c r="E47" s="457"/>
      <c r="F47" s="457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74" t="str">
        <f>+VLOOKUP($A50,Master!$D$27:$G$225,4,FALSE)</f>
        <v>Pozajmice i krediti</v>
      </c>
      <c r="C50" s="475"/>
      <c r="D50" s="475"/>
      <c r="E50" s="475"/>
      <c r="F50" s="475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6" t="str">
        <f>+VLOOKUP($A53,Master!$D$27:$G$225,4,TRUE)</f>
        <v>Otplata obaveza iz prethodnih godina</v>
      </c>
      <c r="C53" s="477"/>
      <c r="D53" s="477"/>
      <c r="E53" s="477"/>
      <c r="F53" s="477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72" t="str">
        <f>+VLOOKUP($A58,Master!$D$27:$G$225,4,FALSE)</f>
        <v>Otplata dugova</v>
      </c>
      <c r="C58" s="473"/>
      <c r="D58" s="473"/>
      <c r="E58" s="473"/>
      <c r="F58" s="473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98" t="str">
        <f>+VLOOKUP($A59,Master!$D$27:$G$225,4,FALSE)</f>
        <v>Otplata hartija od vrijednosti i kredita rezidentima</v>
      </c>
      <c r="C59" s="499"/>
      <c r="D59" s="499"/>
      <c r="E59" s="499"/>
      <c r="F59" s="499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74" t="str">
        <f>+VLOOKUP($A60,Master!$D$27:$G$225,4,FALSE)</f>
        <v>Otplata hartija od vrijednosti i kredita nerezidentima</v>
      </c>
      <c r="C60" s="475"/>
      <c r="D60" s="475"/>
      <c r="E60" s="475"/>
      <c r="F60" s="475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500" t="str">
        <f>+VLOOKUP($A61,Master!$D$27:$G$225,4,FALSE)</f>
        <v>Nedostajuća sredstva</v>
      </c>
      <c r="C61" s="501"/>
      <c r="D61" s="501"/>
      <c r="E61" s="501"/>
      <c r="F61" s="501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64" t="str">
        <f>+VLOOKUP($A62,Master!$D$27:$G$225,4,FALSE)</f>
        <v>Finansiranje</v>
      </c>
      <c r="C62" s="465"/>
      <c r="D62" s="465"/>
      <c r="E62" s="465"/>
      <c r="F62" s="465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98" t="str">
        <f>+VLOOKUP($A63,Master!$D$27:$G$225,4,FALSE)</f>
        <v>Pozajmice i krediti od domaćih izvora</v>
      </c>
      <c r="C63" s="499"/>
      <c r="D63" s="499"/>
      <c r="E63" s="499"/>
      <c r="F63" s="499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74" t="str">
        <f>+VLOOKUP($A64,Master!$D$27:$G$225,4,FALSE)</f>
        <v>Pozajmice i krediti od inostranih izvora</v>
      </c>
      <c r="C64" s="475"/>
      <c r="D64" s="475"/>
      <c r="E64" s="475"/>
      <c r="F64" s="475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74" t="str">
        <f>+VLOOKUP($A65,Master!$D$27:$G$225,4,FALSE)</f>
        <v>Primici od prodaje imovine</v>
      </c>
      <c r="C65" s="475"/>
      <c r="D65" s="475"/>
      <c r="E65" s="475"/>
      <c r="F65" s="475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24" t="str">
        <f>+Master!G252</f>
        <v>Plan ostvarenja budžeta</v>
      </c>
      <c r="C102" s="525"/>
      <c r="D102" s="525"/>
      <c r="E102" s="525"/>
      <c r="F102" s="525"/>
      <c r="G102" s="515">
        <v>2016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7"/>
      <c r="S102" s="115" t="str">
        <f>+S7</f>
        <v>BDP</v>
      </c>
      <c r="T102" s="116">
        <f>+T7</f>
        <v>3954200000</v>
      </c>
    </row>
    <row r="103" spans="1:21" ht="15.75" customHeight="1">
      <c r="B103" s="526"/>
      <c r="C103" s="527"/>
      <c r="D103" s="527"/>
      <c r="E103" s="527"/>
      <c r="F103" s="528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15" t="str">
        <f>+Master!G246</f>
        <v>Jan - Dec</v>
      </c>
      <c r="T103" s="517">
        <f>+T8</f>
        <v>0</v>
      </c>
    </row>
    <row r="104" spans="1:21" ht="13.5" thickBot="1">
      <c r="B104" s="529"/>
      <c r="C104" s="530"/>
      <c r="D104" s="530"/>
      <c r="E104" s="530"/>
      <c r="F104" s="531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18" t="str">
        <f>+VLOOKUP(LEFT($A105,LEN(A105)-1)*1,Master!$D$27:$G$225,4,FALSE)</f>
        <v>Prihodi budžeta</v>
      </c>
      <c r="C105" s="519"/>
      <c r="D105" s="519"/>
      <c r="E105" s="519"/>
      <c r="F105" s="519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20" t="str">
        <f>+VLOOKUP(LEFT($A106,LEN(A106)-1)*1,Master!$D$27:$G$225,4,FALSE)</f>
        <v>Porezi</v>
      </c>
      <c r="C106" s="521"/>
      <c r="D106" s="521"/>
      <c r="E106" s="521"/>
      <c r="F106" s="521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32" t="str">
        <f>+VLOOKUP(LEFT($A119,LEN(A119)-1)*1,Master!$D$27:$G$225,4,FALSE)</f>
        <v>Takse</v>
      </c>
      <c r="C119" s="533"/>
      <c r="D119" s="533"/>
      <c r="E119" s="533"/>
      <c r="F119" s="533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32" t="str">
        <f>+VLOOKUP(LEFT($A120,LEN(A120)-1)*1,Master!$D$27:$G$225,4,FALSE)</f>
        <v>Naknade</v>
      </c>
      <c r="C120" s="533"/>
      <c r="D120" s="533"/>
      <c r="E120" s="533"/>
      <c r="F120" s="533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32" t="str">
        <f>+VLOOKUP(LEFT($A121,LEN(A121)-1)*1,Master!$D$27:$G$225,4,FALSE)</f>
        <v>Ostali prihodi</v>
      </c>
      <c r="C121" s="533"/>
      <c r="D121" s="533"/>
      <c r="E121" s="533"/>
      <c r="F121" s="533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32" t="str">
        <f>+VLOOKUP(LEFT($A122,LEN(A122)-1)*1,Master!$D$27:$G$225,4,FALSE)</f>
        <v>Primici od otplate kredita i sredstva prenesena iz prethodne godine</v>
      </c>
      <c r="C122" s="533"/>
      <c r="D122" s="533"/>
      <c r="E122" s="533"/>
      <c r="F122" s="533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36" t="str">
        <f>+VLOOKUP(LEFT($A123,LEN(A123)-1)*1,Master!$D$27:$G$225,4,FALSE)</f>
        <v>Donacije i transferi</v>
      </c>
      <c r="C123" s="537"/>
      <c r="D123" s="537"/>
      <c r="E123" s="537"/>
      <c r="F123" s="537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38" t="str">
        <f>+VLOOKUP(LEFT($A124,LEN(A124)-1)*1,Master!$D$27:$G$225,4,FALSE)</f>
        <v>Budžetski izdaci</v>
      </c>
      <c r="C124" s="539"/>
      <c r="D124" s="539"/>
      <c r="E124" s="539"/>
      <c r="F124" s="539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40" t="str">
        <f>+VLOOKUP(LEFT($A125,LEN(A125)-1)*1,Master!$D$27:$G$225,4,FALSE)</f>
        <v>Tekuća budžetska potrošnja</v>
      </c>
      <c r="C125" s="541"/>
      <c r="D125" s="541"/>
      <c r="E125" s="541"/>
      <c r="F125" s="541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42" t="str">
        <f>+VLOOKUP(LEFT($A126,LEN(A126)-1)*1,Master!$D$27:$G$225,4,FALSE)</f>
        <v>Tekući izdaci</v>
      </c>
      <c r="C126" s="543"/>
      <c r="D126" s="543"/>
      <c r="E126" s="543"/>
      <c r="F126" s="543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46" t="str">
        <f>+VLOOKUP(LEFT($A137,LEN(A137)-1)*1,Master!$D$27:$G$225,4,FALSE)</f>
        <v>Transferi za socijalnu zaštitu</v>
      </c>
      <c r="C137" s="547"/>
      <c r="D137" s="547"/>
      <c r="E137" s="547"/>
      <c r="F137" s="547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44" t="str">
        <f>+VLOOKUP(LEFT($A143,LEN(A143)-1)*1,Master!$D$27:$G$225,4,FALSE)</f>
        <v xml:space="preserve">Transferi institucijama, pojedincima, nevladinom i javnom sektoru </v>
      </c>
      <c r="C143" s="545"/>
      <c r="D143" s="545"/>
      <c r="E143" s="545"/>
      <c r="F143" s="545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44" t="str">
        <f>+VLOOKUP(LEFT($A144,LEN(A144)-1)*1,Master!$D$27:$G$225,4,FALSE)</f>
        <v>Kapitalni budžet</v>
      </c>
      <c r="C144" s="545"/>
      <c r="D144" s="545"/>
      <c r="E144" s="545"/>
      <c r="F144" s="545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48" t="str">
        <f>+VLOOKUP(LEFT($A145,LEN(A145)-1)*1,Master!$D$27:$G$225,4,FALSE)</f>
        <v>Pozajmice i krediti</v>
      </c>
      <c r="C145" s="549"/>
      <c r="D145" s="549"/>
      <c r="E145" s="549"/>
      <c r="F145" s="549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48" t="str">
        <f>+VLOOKUP(LEFT($A146,LEN(A146)-1)*1,Master!$D$27:$G$225,4,FALSE)</f>
        <v>Rezerve</v>
      </c>
      <c r="C146" s="549"/>
      <c r="D146" s="549"/>
      <c r="E146" s="549"/>
      <c r="F146" s="549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48" t="str">
        <f>+VLOOKUP(LEFT($A147,LEN(A147)-1)*1,Master!$D$27:$G$225,4,FALSE)</f>
        <v>Otplata garancija</v>
      </c>
      <c r="C147" s="549"/>
      <c r="D147" s="549"/>
      <c r="E147" s="549"/>
      <c r="F147" s="549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694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54" t="str">
        <f>+VLOOKUP(LEFT($A149,LEN(A149)-1)*1,Master!$D$27:$G$225,4,FALSE)</f>
        <v>Suficit / deficit</v>
      </c>
      <c r="C149" s="555"/>
      <c r="D149" s="555"/>
      <c r="E149" s="555"/>
      <c r="F149" s="555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56" t="str">
        <f>+VLOOKUP(LEFT($A150,LEN(A150)-1)*1,Master!$D$27:$G$225,4,FALSE)</f>
        <v>Primarni bilans</v>
      </c>
      <c r="C150" s="557"/>
      <c r="D150" s="557"/>
      <c r="E150" s="557"/>
      <c r="F150" s="557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46" t="str">
        <f>+VLOOKUP(LEFT($A151,LEN(A151)-1)*1,Master!$D$27:$G$225,4,FALSE)</f>
        <v>Otplata dugova</v>
      </c>
      <c r="C151" s="547"/>
      <c r="D151" s="547"/>
      <c r="E151" s="547"/>
      <c r="F151" s="547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50" t="str">
        <f>+VLOOKUP(LEFT($A152,LEN(A152)-1)*1,Master!$D$27:$G$225,4,FALSE)</f>
        <v>Otplata hartija od vrijednosti i kredita rezidentima</v>
      </c>
      <c r="C152" s="551"/>
      <c r="D152" s="551"/>
      <c r="E152" s="551"/>
      <c r="F152" s="551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48" t="str">
        <f>+VLOOKUP(LEFT($A153,LEN(A153)-1)*1,Master!$D$27:$G$225,4,FALSE)</f>
        <v>Otplata hartija od vrijednosti i kredita nerezidentima</v>
      </c>
      <c r="C153" s="549"/>
      <c r="D153" s="549"/>
      <c r="E153" s="549"/>
      <c r="F153" s="549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8" t="str">
        <f>+VLOOKUP(LEFT($A154,LEN(A154)-1)*1,Master!$D$27:$G$225,4,FALSE)</f>
        <v>Otplata obaveza iz prethodnih godina</v>
      </c>
      <c r="C154" s="559"/>
      <c r="D154" s="559"/>
      <c r="E154" s="559"/>
      <c r="F154" s="559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52" t="str">
        <f>+VLOOKUP(LEFT($A155,LEN(A155)-1)*1,Master!$D$27:$G$225,4,FALSE)</f>
        <v>Nedostajuća sredstva</v>
      </c>
      <c r="C155" s="553"/>
      <c r="D155" s="553"/>
      <c r="E155" s="553"/>
      <c r="F155" s="553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38" t="str">
        <f>+VLOOKUP(LEFT($A156,LEN(A156)-1)*1,Master!$D$27:$G$225,4,FALSE)</f>
        <v>Finansiranje</v>
      </c>
      <c r="C156" s="539"/>
      <c r="D156" s="539"/>
      <c r="E156" s="539"/>
      <c r="F156" s="539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50" t="str">
        <f>+VLOOKUP(LEFT($A157,LEN(A157)-1)*1,Master!$D$27:$G$225,4,FALSE)</f>
        <v>Pozajmice i krediti od domaćih izvora</v>
      </c>
      <c r="C157" s="551"/>
      <c r="D157" s="551"/>
      <c r="E157" s="551"/>
      <c r="F157" s="551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48" t="str">
        <f>+VLOOKUP(LEFT($A158,LEN(A158)-1)*1,Master!$D$27:$G$225,4,FALSE)</f>
        <v>Pozajmice i krediti od inostranih izvora</v>
      </c>
      <c r="C158" s="549"/>
      <c r="D158" s="549"/>
      <c r="E158" s="549"/>
      <c r="F158" s="549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48" t="str">
        <f>+VLOOKUP(LEFT($A159,LEN(A159)-1)*1,Master!$D$27:$G$225,4,FALSE)</f>
        <v>Primici od prodaje imovine</v>
      </c>
      <c r="C159" s="549"/>
      <c r="D159" s="549"/>
      <c r="E159" s="549"/>
      <c r="F159" s="549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537</v>
      </c>
      <c r="H6" s="259" t="s">
        <v>538</v>
      </c>
      <c r="I6" s="259" t="s">
        <v>539</v>
      </c>
      <c r="J6" s="259" t="s">
        <v>540</v>
      </c>
      <c r="K6" s="259" t="s">
        <v>541</v>
      </c>
      <c r="L6" s="259" t="s">
        <v>542</v>
      </c>
      <c r="M6" s="259" t="s">
        <v>543</v>
      </c>
      <c r="N6" s="259" t="s">
        <v>544</v>
      </c>
      <c r="O6" s="259" t="s">
        <v>545</v>
      </c>
      <c r="P6" s="259" t="s">
        <v>546</v>
      </c>
      <c r="Q6" s="259" t="s">
        <v>547</v>
      </c>
      <c r="R6" s="259" t="s">
        <v>548</v>
      </c>
      <c r="S6" s="258"/>
      <c r="T6" s="258"/>
    </row>
    <row r="7" spans="1:20" ht="15" customHeight="1" thickBot="1">
      <c r="A7" s="169"/>
      <c r="B7" s="504" t="str">
        <f>+Master!G251</f>
        <v>Ostvarenje budžeta</v>
      </c>
      <c r="C7" s="485"/>
      <c r="D7" s="485"/>
      <c r="E7" s="485"/>
      <c r="F7" s="485"/>
      <c r="G7" s="493">
        <v>2015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+Master!G248</f>
        <v>BDP</v>
      </c>
      <c r="T7" s="261">
        <v>3655000000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93" t="s">
        <v>735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56" t="str">
        <f>+VLOOKUP($A47,Master!$D$27:$G$225,4,FALSE)</f>
        <v>Ostala prava iz zdravstvenog osiguranja</v>
      </c>
      <c r="C47" s="457"/>
      <c r="D47" s="457"/>
      <c r="E47" s="457"/>
      <c r="F47" s="457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74" t="str">
        <f>+VLOOKUP($A50,Master!$D$27:$G$225,4,FALSE)</f>
        <v>Pozajmice i krediti</v>
      </c>
      <c r="C50" s="475"/>
      <c r="D50" s="475"/>
      <c r="E50" s="475"/>
      <c r="F50" s="475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6" t="str">
        <f>+VLOOKUP($A53,Master!$D$27:$G$225,4,TRUE)</f>
        <v>Otplata obaveza iz prethodnih godina</v>
      </c>
      <c r="C53" s="477"/>
      <c r="D53" s="477"/>
      <c r="E53" s="477"/>
      <c r="F53" s="477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8" t="str">
        <f>+VLOOKUP($A55,Master!$D$27:$G$225,4,FALSE)</f>
        <v>Suficit / deficit</v>
      </c>
      <c r="C55" s="479"/>
      <c r="D55" s="479"/>
      <c r="E55" s="479"/>
      <c r="F55" s="479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80" t="str">
        <f>+VLOOKUP($A57,Master!$D$27:$G$225,4,FALSE)</f>
        <v>Primarni bilans</v>
      </c>
      <c r="C57" s="481"/>
      <c r="D57" s="481"/>
      <c r="E57" s="481"/>
      <c r="F57" s="481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72" t="str">
        <f>+VLOOKUP($A58,Master!$D$27:$G$225,4,FALSE)</f>
        <v>Otplata dugova</v>
      </c>
      <c r="C58" s="473"/>
      <c r="D58" s="473"/>
      <c r="E58" s="473"/>
      <c r="F58" s="473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98" t="str">
        <f>+VLOOKUP($A59,Master!$D$27:$G$225,4,FALSE)</f>
        <v>Otplata hartija od vrijednosti i kredita rezidentima</v>
      </c>
      <c r="C59" s="499"/>
      <c r="D59" s="499"/>
      <c r="E59" s="499"/>
      <c r="F59" s="499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74" t="str">
        <f>+VLOOKUP($A60,Master!$D$27:$G$225,4,FALSE)</f>
        <v>Otplata hartija od vrijednosti i kredita nerezidentima</v>
      </c>
      <c r="C60" s="475"/>
      <c r="D60" s="475"/>
      <c r="E60" s="475"/>
      <c r="F60" s="475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500" t="str">
        <f>+VLOOKUP($A61,Master!$D$27:$G$225,4,FALSE)</f>
        <v>Nedostajuća sredstva</v>
      </c>
      <c r="C61" s="501"/>
      <c r="D61" s="501"/>
      <c r="E61" s="501"/>
      <c r="F61" s="501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64" t="str">
        <f>+VLOOKUP($A62,Master!$D$27:$G$225,4,FALSE)</f>
        <v>Finansiranje</v>
      </c>
      <c r="C62" s="465"/>
      <c r="D62" s="465"/>
      <c r="E62" s="465"/>
      <c r="F62" s="465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98" t="str">
        <f>+VLOOKUP($A63,Master!$D$27:$G$225,4,FALSE)</f>
        <v>Pozajmice i krediti od domaćih izvora</v>
      </c>
      <c r="C63" s="499"/>
      <c r="D63" s="499"/>
      <c r="E63" s="499"/>
      <c r="F63" s="499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74" t="str">
        <f>+VLOOKUP($A64,Master!$D$27:$G$225,4,FALSE)</f>
        <v>Pozajmice i krediti od inostranih izvora</v>
      </c>
      <c r="C64" s="475"/>
      <c r="D64" s="475"/>
      <c r="E64" s="475"/>
      <c r="F64" s="475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74" t="str">
        <f>+VLOOKUP($A65,Master!$D$27:$G$225,4,FALSE)</f>
        <v>Primici od prodaje imovine</v>
      </c>
      <c r="C65" s="475"/>
      <c r="D65" s="475"/>
      <c r="E65" s="475"/>
      <c r="F65" s="475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24" t="str">
        <f>+Master!G252</f>
        <v>Plan ostvarenja budžeta</v>
      </c>
      <c r="C102" s="525"/>
      <c r="D102" s="525"/>
      <c r="E102" s="525"/>
      <c r="F102" s="525"/>
      <c r="G102" s="515">
        <v>2015</v>
      </c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7"/>
      <c r="S102" s="115" t="str">
        <f>+S7</f>
        <v>BDP</v>
      </c>
      <c r="T102" s="116">
        <f>+T7</f>
        <v>3655000000</v>
      </c>
    </row>
    <row r="103" spans="1:21" ht="15.75" customHeight="1">
      <c r="B103" s="526"/>
      <c r="C103" s="527"/>
      <c r="D103" s="527"/>
      <c r="E103" s="527"/>
      <c r="F103" s="528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15" t="str">
        <f>+Master!G246</f>
        <v>Jan - Dec</v>
      </c>
      <c r="T103" s="517">
        <f>+T8</f>
        <v>0</v>
      </c>
    </row>
    <row r="104" spans="1:21" ht="13.5" thickBot="1">
      <c r="B104" s="529"/>
      <c r="C104" s="530"/>
      <c r="D104" s="530"/>
      <c r="E104" s="530"/>
      <c r="F104" s="531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18" t="str">
        <f>+VLOOKUP(LEFT($A105,LEN(A105)-1)*1,Master!$D$27:$G$225,4,FALSE)</f>
        <v>Prihodi budžeta</v>
      </c>
      <c r="C105" s="519"/>
      <c r="D105" s="519"/>
      <c r="E105" s="519"/>
      <c r="F105" s="519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20" t="str">
        <f>+VLOOKUP(LEFT($A106,LEN(A106)-1)*1,Master!$D$27:$G$225,4,FALSE)</f>
        <v>Porezi</v>
      </c>
      <c r="C106" s="521"/>
      <c r="D106" s="521"/>
      <c r="E106" s="521"/>
      <c r="F106" s="521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22" t="str">
        <f>+VLOOKUP(LEFT($A107,LEN(A107)-1)*1,Master!$D$27:$G$225,4,FALSE)</f>
        <v>Porez na dohodak fizičkih lica</v>
      </c>
      <c r="C107" s="523"/>
      <c r="D107" s="523"/>
      <c r="E107" s="523"/>
      <c r="F107" s="523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22" t="str">
        <f>+VLOOKUP(LEFT($A108,LEN(A108)-1)*1,Master!$D$27:$G$225,4,FALSE)</f>
        <v>Porez na dobit pravnih lica</v>
      </c>
      <c r="C108" s="523"/>
      <c r="D108" s="523"/>
      <c r="E108" s="523"/>
      <c r="F108" s="523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22" t="str">
        <f>+VLOOKUP(LEFT($A109,LEN(A109)-1)*1,Master!$D$27:$G$225,4,FALSE)</f>
        <v>Porez na promet nepokretnosti</v>
      </c>
      <c r="C109" s="523"/>
      <c r="D109" s="523"/>
      <c r="E109" s="523"/>
      <c r="F109" s="523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22" t="str">
        <f>+VLOOKUP(LEFT($A110,LEN(A110)-1)*1,Master!$D$27:$G$225,4,FALSE)</f>
        <v>Porez na dodatu vrijednost</v>
      </c>
      <c r="C110" s="523"/>
      <c r="D110" s="523"/>
      <c r="E110" s="523"/>
      <c r="F110" s="523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22" t="str">
        <f>+VLOOKUP(LEFT($A111,LEN(A111)-1)*1,Master!$D$27:$G$225,4,FALSE)</f>
        <v>Akcize</v>
      </c>
      <c r="C111" s="523"/>
      <c r="D111" s="523"/>
      <c r="E111" s="523"/>
      <c r="F111" s="523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22" t="str">
        <f>+VLOOKUP(LEFT($A112,LEN(A112)-1)*1,Master!$D$27:$G$225,4,FALSE)</f>
        <v>Porez na međunarodnu trgovinu i transakcije</v>
      </c>
      <c r="C112" s="523"/>
      <c r="D112" s="523"/>
      <c r="E112" s="523"/>
      <c r="F112" s="523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32" t="str">
        <f>+VLOOKUP(LEFT($A119,LEN(A119)-1)*1,Master!$D$27:$G$225,4,FALSE)</f>
        <v>Takse</v>
      </c>
      <c r="C119" s="533"/>
      <c r="D119" s="533"/>
      <c r="E119" s="533"/>
      <c r="F119" s="533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32" t="str">
        <f>+VLOOKUP(LEFT($A120,LEN(A120)-1)*1,Master!$D$27:$G$225,4,FALSE)</f>
        <v>Naknade</v>
      </c>
      <c r="C120" s="533"/>
      <c r="D120" s="533"/>
      <c r="E120" s="533"/>
      <c r="F120" s="533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32" t="str">
        <f>+VLOOKUP(LEFT($A121,LEN(A121)-1)*1,Master!$D$27:$G$225,4,FALSE)</f>
        <v>Ostali prihodi</v>
      </c>
      <c r="C121" s="533"/>
      <c r="D121" s="533"/>
      <c r="E121" s="533"/>
      <c r="F121" s="533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32" t="str">
        <f>+VLOOKUP(LEFT($A122,LEN(A122)-1)*1,Master!$D$27:$G$225,4,FALSE)</f>
        <v>Primici od otplate kredita i sredstva prenesena iz prethodne godine</v>
      </c>
      <c r="C122" s="533"/>
      <c r="D122" s="533"/>
      <c r="E122" s="533"/>
      <c r="F122" s="533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36" t="str">
        <f>+VLOOKUP(LEFT($A123,LEN(A123)-1)*1,Master!$D$27:$G$225,4,FALSE)</f>
        <v>Donacije i transferi</v>
      </c>
      <c r="C123" s="537"/>
      <c r="D123" s="537"/>
      <c r="E123" s="537"/>
      <c r="F123" s="537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38" t="str">
        <f>+VLOOKUP(LEFT($A124,LEN(A124)-1)*1,Master!$D$27:$G$225,4,FALSE)</f>
        <v>Budžetski izdaci</v>
      </c>
      <c r="C124" s="539"/>
      <c r="D124" s="539"/>
      <c r="E124" s="539"/>
      <c r="F124" s="539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40" t="str">
        <f>+VLOOKUP(LEFT($A125,LEN(A125)-1)*1,Master!$D$27:$G$225,4,FALSE)</f>
        <v>Tekuća budžetska potrošnja</v>
      </c>
      <c r="C125" s="541"/>
      <c r="D125" s="541"/>
      <c r="E125" s="541"/>
      <c r="F125" s="541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42" t="str">
        <f>+VLOOKUP(LEFT($A126,LEN(A126)-1)*1,Master!$D$27:$G$225,4,FALSE)</f>
        <v>Tekući izdaci</v>
      </c>
      <c r="C126" s="543"/>
      <c r="D126" s="543"/>
      <c r="E126" s="543"/>
      <c r="F126" s="543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46" t="str">
        <f>+VLOOKUP(LEFT($A137,LEN(A137)-1)*1,Master!$D$27:$G$225,4,FALSE)</f>
        <v>Transferi za socijalnu zaštitu</v>
      </c>
      <c r="C137" s="547"/>
      <c r="D137" s="547"/>
      <c r="E137" s="547"/>
      <c r="F137" s="547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44" t="str">
        <f>+VLOOKUP(LEFT($A143,LEN(A143)-1)*1,Master!$D$27:$G$225,4,FALSE)</f>
        <v xml:space="preserve">Transferi institucijama, pojedincima, nevladinom i javnom sektoru </v>
      </c>
      <c r="C143" s="545"/>
      <c r="D143" s="545"/>
      <c r="E143" s="545"/>
      <c r="F143" s="545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44" t="str">
        <f>+VLOOKUP(LEFT($A144,LEN(A144)-1)*1,Master!$D$27:$G$225,4,FALSE)</f>
        <v>Kapitalni budžet</v>
      </c>
      <c r="C144" s="545"/>
      <c r="D144" s="545"/>
      <c r="E144" s="545"/>
      <c r="F144" s="545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48" t="str">
        <f>+VLOOKUP(LEFT($A145,LEN(A145)-1)*1,Master!$D$27:$G$225,4,FALSE)</f>
        <v>Pozajmice i krediti</v>
      </c>
      <c r="C145" s="549"/>
      <c r="D145" s="549"/>
      <c r="E145" s="549"/>
      <c r="F145" s="549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48" t="str">
        <f>+VLOOKUP(LEFT($A146,LEN(A146)-1)*1,Master!$D$27:$G$225,4,FALSE)</f>
        <v>Rezerve</v>
      </c>
      <c r="C146" s="549"/>
      <c r="D146" s="549"/>
      <c r="E146" s="549"/>
      <c r="F146" s="549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8" t="str">
        <f>+VLOOKUP(LEFT($A147,LEN(A147)-1)*1,Master!$D$27:$G$225,4,FALSE)</f>
        <v>Otplata garancija</v>
      </c>
      <c r="C147" s="559"/>
      <c r="D147" s="559"/>
      <c r="E147" s="559"/>
      <c r="F147" s="559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54" t="str">
        <f>+VLOOKUP(LEFT($A148,LEN(A148)-1)*1,Master!$D$27:$G$225,4,FALSE)</f>
        <v>Suficit / deficit</v>
      </c>
      <c r="C148" s="555"/>
      <c r="D148" s="555"/>
      <c r="E148" s="555"/>
      <c r="F148" s="555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56" t="str">
        <f>+VLOOKUP(LEFT($A149,LEN(A149)-1)*1,Master!$D$27:$G$225,4,FALSE)</f>
        <v>Primarni bilans</v>
      </c>
      <c r="C149" s="557"/>
      <c r="D149" s="557"/>
      <c r="E149" s="557"/>
      <c r="F149" s="557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46" t="str">
        <f>+VLOOKUP(LEFT($A150,LEN(A150)-1)*1,Master!$D$27:$G$225,4,FALSE)</f>
        <v>Otplata dugova</v>
      </c>
      <c r="C150" s="547"/>
      <c r="D150" s="547"/>
      <c r="E150" s="547"/>
      <c r="F150" s="547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50" t="str">
        <f>+VLOOKUP(LEFT($A151,LEN(A151)-1)*1,Master!$D$27:$G$225,4,FALSE)</f>
        <v>Otplata hartija od vrijednosti i kredita rezidentima</v>
      </c>
      <c r="C151" s="551"/>
      <c r="D151" s="551"/>
      <c r="E151" s="551"/>
      <c r="F151" s="551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48" t="str">
        <f>+VLOOKUP(LEFT($A152,LEN(A152)-1)*1,Master!$D$27:$G$225,4,FALSE)</f>
        <v>Otplata hartija od vrijednosti i kredita nerezidentima</v>
      </c>
      <c r="C152" s="549"/>
      <c r="D152" s="549"/>
      <c r="E152" s="549"/>
      <c r="F152" s="549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8" t="str">
        <f>+VLOOKUP(LEFT($A153,LEN(A153)-1)*1,Master!$D$27:$G$225,4,FALSE)</f>
        <v>Otplata obaveza iz prethodnih godina</v>
      </c>
      <c r="C153" s="559"/>
      <c r="D153" s="559"/>
      <c r="E153" s="559"/>
      <c r="F153" s="559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52" t="str">
        <f>+VLOOKUP(LEFT($A154,LEN(A154)-1)*1,Master!$D$27:$G$225,4,FALSE)</f>
        <v>Nedostajuća sredstva</v>
      </c>
      <c r="C154" s="553"/>
      <c r="D154" s="553"/>
      <c r="E154" s="553"/>
      <c r="F154" s="553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38" t="str">
        <f>+VLOOKUP(LEFT($A155,LEN(A155)-1)*1,Master!$D$27:$G$225,4,FALSE)</f>
        <v>Finansiranje</v>
      </c>
      <c r="C155" s="539"/>
      <c r="D155" s="539"/>
      <c r="E155" s="539"/>
      <c r="F155" s="539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50" t="str">
        <f>+VLOOKUP(LEFT($A156,LEN(A156)-1)*1,Master!$D$27:$G$225,4,FALSE)</f>
        <v>Pozajmice i krediti od domaćih izvora</v>
      </c>
      <c r="C156" s="551"/>
      <c r="D156" s="551"/>
      <c r="E156" s="551"/>
      <c r="F156" s="551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48" t="str">
        <f>+VLOOKUP(LEFT($A157,LEN(A157)-1)*1,Master!$D$27:$G$225,4,FALSE)</f>
        <v>Pozajmice i krediti od inostranih izvora</v>
      </c>
      <c r="C157" s="549"/>
      <c r="D157" s="549"/>
      <c r="E157" s="549"/>
      <c r="F157" s="549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48" t="str">
        <f>+VLOOKUP(LEFT($A158,LEN(A158)-1)*1,Master!$D$27:$G$225,4,FALSE)</f>
        <v>Primici od prodaje imovine</v>
      </c>
      <c r="C158" s="549"/>
      <c r="D158" s="549"/>
      <c r="E158" s="549"/>
      <c r="F158" s="549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525</v>
      </c>
      <c r="H6" s="259" t="s">
        <v>526</v>
      </c>
      <c r="I6" s="259" t="s">
        <v>527</v>
      </c>
      <c r="J6" s="259" t="s">
        <v>528</v>
      </c>
      <c r="K6" s="259" t="s">
        <v>529</v>
      </c>
      <c r="L6" s="259" t="s">
        <v>530</v>
      </c>
      <c r="M6" s="259" t="s">
        <v>531</v>
      </c>
      <c r="N6" s="259" t="s">
        <v>532</v>
      </c>
      <c r="O6" s="259" t="s">
        <v>533</v>
      </c>
      <c r="P6" s="259" t="s">
        <v>534</v>
      </c>
      <c r="Q6" s="259" t="s">
        <v>535</v>
      </c>
      <c r="R6" s="259" t="s">
        <v>536</v>
      </c>
      <c r="S6" s="258"/>
      <c r="T6" s="258"/>
    </row>
    <row r="7" spans="1:20" ht="15" customHeight="1" thickBot="1">
      <c r="A7" s="169"/>
      <c r="B7" s="504" t="str">
        <f>+Master!G251</f>
        <v>Ostvarenje budžeta</v>
      </c>
      <c r="C7" s="485"/>
      <c r="D7" s="485"/>
      <c r="E7" s="485"/>
      <c r="F7" s="485"/>
      <c r="G7" s="493">
        <v>2014</v>
      </c>
      <c r="H7" s="494"/>
      <c r="I7" s="494"/>
      <c r="J7" s="494"/>
      <c r="K7" s="494"/>
      <c r="L7" s="494"/>
      <c r="M7" s="494"/>
      <c r="N7" s="494"/>
      <c r="O7" s="494"/>
      <c r="P7" s="494"/>
      <c r="Q7" s="494"/>
      <c r="R7" s="497"/>
      <c r="S7" s="260" t="str">
        <f>+Master!G248</f>
        <v>BDP</v>
      </c>
      <c r="T7" s="261">
        <v>3457880000</v>
      </c>
    </row>
    <row r="8" spans="1:20" ht="16.5" customHeight="1">
      <c r="A8" s="169"/>
      <c r="B8" s="486"/>
      <c r="C8" s="487"/>
      <c r="D8" s="487"/>
      <c r="E8" s="487"/>
      <c r="F8" s="48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93" t="s">
        <v>700</v>
      </c>
      <c r="T8" s="497"/>
    </row>
    <row r="9" spans="1:20" ht="13.5" thickBot="1">
      <c r="A9" s="169"/>
      <c r="B9" s="489"/>
      <c r="C9" s="490"/>
      <c r="D9" s="490"/>
      <c r="E9" s="490"/>
      <c r="F9" s="49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52" t="str">
        <f>+VLOOKUP($A10,Master!$D$27:$G$225,4,FALSE)</f>
        <v>Prihodi budžeta</v>
      </c>
      <c r="C10" s="453"/>
      <c r="D10" s="453"/>
      <c r="E10" s="453"/>
      <c r="F10" s="453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54" t="str">
        <f>+VLOOKUP($A11,Master!$D$27:$G$225,4,FALSE)</f>
        <v>Porezi</v>
      </c>
      <c r="C11" s="455"/>
      <c r="D11" s="455"/>
      <c r="E11" s="455"/>
      <c r="F11" s="455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56" t="str">
        <f>+VLOOKUP($A12,Master!$D$27:$G$225,4,FALSE)</f>
        <v>Porez na dohodak fizičkih lica</v>
      </c>
      <c r="C12" s="457"/>
      <c r="D12" s="457"/>
      <c r="E12" s="457"/>
      <c r="F12" s="457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56" t="str">
        <f>+VLOOKUP($A13,Master!$D$27:$G$225,4,FALSE)</f>
        <v>Porez na dobit pravnih lica</v>
      </c>
      <c r="C13" s="457"/>
      <c r="D13" s="457"/>
      <c r="E13" s="457"/>
      <c r="F13" s="457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56" t="str">
        <f>+VLOOKUP($A14,Master!$D$27:$G$225,4,FALSE)</f>
        <v>Porez na promet nepokretnosti</v>
      </c>
      <c r="C14" s="457"/>
      <c r="D14" s="457"/>
      <c r="E14" s="457"/>
      <c r="F14" s="457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56" t="str">
        <f>+VLOOKUP($A15,Master!$D$27:$G$225,4,FALSE)</f>
        <v>Porez na dodatu vrijednost</v>
      </c>
      <c r="C15" s="457"/>
      <c r="D15" s="457"/>
      <c r="E15" s="457"/>
      <c r="F15" s="457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56" t="str">
        <f>+VLOOKUP($A16,Master!$D$27:$G$225,4,FALSE)</f>
        <v>Akcize</v>
      </c>
      <c r="C16" s="457"/>
      <c r="D16" s="457"/>
      <c r="E16" s="457"/>
      <c r="F16" s="457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56" t="str">
        <f>+VLOOKUP($A17,Master!$D$27:$G$225,4,FALSE)</f>
        <v>Porez na međunarodnu trgovinu i transakcije</v>
      </c>
      <c r="C17" s="457"/>
      <c r="D17" s="457"/>
      <c r="E17" s="457"/>
      <c r="F17" s="457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56" t="str">
        <f>+VLOOKUP($A18,Master!$D$27:$G$225,4,FALSE)</f>
        <v>Ostali državni porezi</v>
      </c>
      <c r="C18" s="457"/>
      <c r="D18" s="457"/>
      <c r="E18" s="457"/>
      <c r="F18" s="457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60" t="str">
        <f>+VLOOKUP($A19,Master!$D$27:$G$225,4,FALSE)</f>
        <v>Doprinosi</v>
      </c>
      <c r="C19" s="461"/>
      <c r="D19" s="461"/>
      <c r="E19" s="461"/>
      <c r="F19" s="461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56" t="str">
        <f>+VLOOKUP($A20,Master!$D$27:$G$225,4,FALSE)</f>
        <v>Doprinosi za penzijsko i invalidsko osiguranje</v>
      </c>
      <c r="C20" s="457"/>
      <c r="D20" s="457"/>
      <c r="E20" s="457"/>
      <c r="F20" s="457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56" t="str">
        <f>+VLOOKUP($A21,Master!$D$27:$G$225,4,FALSE)</f>
        <v>Doprinosi za zdravstveno osiguranje</v>
      </c>
      <c r="C21" s="457"/>
      <c r="D21" s="457"/>
      <c r="E21" s="457"/>
      <c r="F21" s="457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56" t="str">
        <f>+VLOOKUP($A22,Master!$D$27:$G$225,4,FALSE)</f>
        <v>Doprinosi za osiguranje od nezaposlenosti</v>
      </c>
      <c r="C22" s="457"/>
      <c r="D22" s="457"/>
      <c r="E22" s="457"/>
      <c r="F22" s="457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56" t="str">
        <f>+VLOOKUP($A23,Master!$D$27:$G$225,4,FALSE)</f>
        <v>Ostali doprinosi</v>
      </c>
      <c r="C23" s="457"/>
      <c r="D23" s="457"/>
      <c r="E23" s="457"/>
      <c r="F23" s="457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58" t="str">
        <f>+VLOOKUP($A24,Master!$D$27:$G$225,4,FALSE)</f>
        <v>Takse</v>
      </c>
      <c r="C24" s="459"/>
      <c r="D24" s="459"/>
      <c r="E24" s="459"/>
      <c r="F24" s="459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58" t="str">
        <f>+VLOOKUP($A25,Master!$D$27:$G$225,4,FALSE)</f>
        <v>Naknade</v>
      </c>
      <c r="C25" s="459"/>
      <c r="D25" s="459"/>
      <c r="E25" s="459"/>
      <c r="F25" s="459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58" t="str">
        <f>+VLOOKUP($A26,Master!$D$27:$G$225,4,FALSE)</f>
        <v>Ostali prihodi</v>
      </c>
      <c r="C26" s="459"/>
      <c r="D26" s="459"/>
      <c r="E26" s="459"/>
      <c r="F26" s="459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58" t="str">
        <f>+VLOOKUP($A27,Master!$D$27:$G$225,4,FALSE)</f>
        <v>Primici od otplate kredita i sredstva prenesena iz prethodne godine</v>
      </c>
      <c r="C27" s="459"/>
      <c r="D27" s="459"/>
      <c r="E27" s="459"/>
      <c r="F27" s="459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62" t="str">
        <f>+VLOOKUP($A28,Master!$D$27:$G$225,4,FALSE)</f>
        <v>Donacije i transferi</v>
      </c>
      <c r="C28" s="463"/>
      <c r="D28" s="463"/>
      <c r="E28" s="463"/>
      <c r="F28" s="463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64" t="str">
        <f>+VLOOKUP($A29,Master!$D$27:$G$225,4,FALSE)</f>
        <v>Budžetski izdaci</v>
      </c>
      <c r="C29" s="465"/>
      <c r="D29" s="465"/>
      <c r="E29" s="465"/>
      <c r="F29" s="465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66" t="str">
        <f>+VLOOKUP($A30,Master!$D$27:$G$225,4,FALSE)</f>
        <v>Tekuća budžetska potrošnja</v>
      </c>
      <c r="C30" s="467"/>
      <c r="D30" s="467"/>
      <c r="E30" s="467"/>
      <c r="F30" s="467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68" t="str">
        <f>+VLOOKUP($A31,Master!$D$27:$G$225,4,FALSE)</f>
        <v>Tekući izdaci</v>
      </c>
      <c r="C31" s="469"/>
      <c r="D31" s="469"/>
      <c r="E31" s="469"/>
      <c r="F31" s="469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56" t="str">
        <f>+VLOOKUP($A32,Master!$D$27:$G$225,4,FALSE)</f>
        <v>Bruto zarade i doprinosi na teret poslodavca</v>
      </c>
      <c r="C32" s="457"/>
      <c r="D32" s="457"/>
      <c r="E32" s="457"/>
      <c r="F32" s="457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56" t="str">
        <f>+VLOOKUP($A33,Master!$D$27:$G$225,4,FALSE)</f>
        <v>Ostala lična primanja</v>
      </c>
      <c r="C33" s="457"/>
      <c r="D33" s="457"/>
      <c r="E33" s="457"/>
      <c r="F33" s="457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56" t="str">
        <f>+VLOOKUP($A34,Master!$D$27:$G$225,4,FALSE)</f>
        <v>Rashodi za materijal</v>
      </c>
      <c r="C34" s="457"/>
      <c r="D34" s="457"/>
      <c r="E34" s="457"/>
      <c r="F34" s="457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56" t="str">
        <f>+VLOOKUP($A35,Master!$D$27:$G$225,4,FALSE)</f>
        <v>Rashodi za usluge</v>
      </c>
      <c r="C35" s="457"/>
      <c r="D35" s="457"/>
      <c r="E35" s="457"/>
      <c r="F35" s="457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56" t="str">
        <f>+VLOOKUP($A36,Master!$D$27:$G$225,4,FALSE)</f>
        <v>Rashodi za tekuće održavanje</v>
      </c>
      <c r="C36" s="457"/>
      <c r="D36" s="457"/>
      <c r="E36" s="457"/>
      <c r="F36" s="457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56" t="str">
        <f>+VLOOKUP($A37,Master!$D$27:$G$225,4,FALSE)</f>
        <v>Kamate</v>
      </c>
      <c r="C37" s="457"/>
      <c r="D37" s="457"/>
      <c r="E37" s="457"/>
      <c r="F37" s="457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56" t="str">
        <f>+VLOOKUP($A38,Master!$D$27:$G$225,4,FALSE)</f>
        <v>Renta</v>
      </c>
      <c r="C38" s="457"/>
      <c r="D38" s="457"/>
      <c r="E38" s="457"/>
      <c r="F38" s="457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56" t="str">
        <f>+VLOOKUP($A39,Master!$D$27:$G$225,4,FALSE)</f>
        <v>Subvencije</v>
      </c>
      <c r="C39" s="457"/>
      <c r="D39" s="457"/>
      <c r="E39" s="457"/>
      <c r="F39" s="457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56" t="str">
        <f>+VLOOKUP($A40,Master!$D$27:$G$225,4,FALSE)</f>
        <v>Ostali izdaci</v>
      </c>
      <c r="C40" s="457"/>
      <c r="D40" s="457"/>
      <c r="E40" s="457"/>
      <c r="F40" s="457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56" t="str">
        <f>+VLOOKUP($A41,Master!$D$27:$G$225,4,FALSE)</f>
        <v>Kapitalni izdaci u tekućem budžetu</v>
      </c>
      <c r="C41" s="457"/>
      <c r="D41" s="457"/>
      <c r="E41" s="457"/>
      <c r="F41" s="457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72" t="str">
        <f>+VLOOKUP($A42,Master!$D$27:$G$225,4,FALSE)</f>
        <v>Transferi za socijalnu zaštitu</v>
      </c>
      <c r="C42" s="473"/>
      <c r="D42" s="473"/>
      <c r="E42" s="473"/>
      <c r="F42" s="473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56" t="str">
        <f>+VLOOKUP($A43,Master!$D$27:$G$225,4,FALSE)</f>
        <v>Prava iz oblasti socijalne zaštite</v>
      </c>
      <c r="C43" s="457"/>
      <c r="D43" s="457"/>
      <c r="E43" s="457"/>
      <c r="F43" s="457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56" t="str">
        <f>+VLOOKUP($A44,Master!$D$27:$G$225,4,FALSE)</f>
        <v>Sredstva za tehnološke viškove</v>
      </c>
      <c r="C44" s="457"/>
      <c r="D44" s="457"/>
      <c r="E44" s="457"/>
      <c r="F44" s="457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56" t="str">
        <f>+VLOOKUP($A45,Master!$D$27:$G$225,4,FALSE)</f>
        <v>Prava iz oblasti penzijskog i invalidskog osiguranja</v>
      </c>
      <c r="C45" s="457"/>
      <c r="D45" s="457"/>
      <c r="E45" s="457"/>
      <c r="F45" s="457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56" t="str">
        <f>+VLOOKUP($A46,Master!$D$27:$G$225,4,FALSE)</f>
        <v>Ostala prava iz oblasti zdravstvene zaštite</v>
      </c>
      <c r="C46" s="457"/>
      <c r="D46" s="457"/>
      <c r="E46" s="457"/>
      <c r="F46" s="457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56" t="str">
        <f>+VLOOKUP($A47,Master!$D$27:$G$225,4,FALSE)</f>
        <v>Ostala prava iz zdravstvenog osiguranja</v>
      </c>
      <c r="C47" s="457"/>
      <c r="D47" s="457"/>
      <c r="E47" s="457"/>
      <c r="F47" s="457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70" t="str">
        <f>+VLOOKUP($A48,Master!$D$27:$G$225,4,FALSE)</f>
        <v xml:space="preserve">Transferi institucijama, pojedincima, nevladinom i javnom sektoru </v>
      </c>
      <c r="C48" s="471"/>
      <c r="D48" s="471"/>
      <c r="E48" s="471"/>
      <c r="F48" s="471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70" t="str">
        <f>+VLOOKUP($A49,Master!$D$27:$G$225,4,FALSE)</f>
        <v>Kapitalni budžet</v>
      </c>
      <c r="C49" s="471"/>
      <c r="D49" s="471"/>
      <c r="E49" s="471"/>
      <c r="F49" s="471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74" t="str">
        <f>+VLOOKUP($A50,Master!$D$27:$G$225,4,FALSE)</f>
        <v>Pozajmice i krediti</v>
      </c>
      <c r="C50" s="475"/>
      <c r="D50" s="475"/>
      <c r="E50" s="475"/>
      <c r="F50" s="475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74" t="str">
        <f>+VLOOKUP($A51,Master!$D$27:$G$225,4,FALSE)</f>
        <v>Rezerve</v>
      </c>
      <c r="C51" s="475"/>
      <c r="D51" s="475"/>
      <c r="E51" s="475"/>
      <c r="F51" s="475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6" t="str">
        <f>+VLOOKUP($A52,Master!$D$27:$G$225,4,FALSE)</f>
        <v>Otplata garancija</v>
      </c>
      <c r="C52" s="477"/>
      <c r="D52" s="477"/>
      <c r="E52" s="477"/>
      <c r="F52" s="477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6" t="str">
        <f>+VLOOKUP($A53,Master!$D$27:$G$225,4,TRUE)</f>
        <v>Otplata obaveza iz prethodnih godina</v>
      </c>
      <c r="C53" s="477"/>
      <c r="D53" s="477"/>
      <c r="E53" s="477"/>
      <c r="F53" s="477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8" t="str">
        <f>+VLOOKUP($A54,Master!$D$27:$G$227,4,FALSE)</f>
        <v>Neto povećanje obaveza</v>
      </c>
      <c r="C54" s="559"/>
      <c r="D54" s="559"/>
      <c r="E54" s="559"/>
      <c r="F54" s="559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60" t="str">
        <f>+VLOOKUP($A55,Master!$D$27:$G$225,4,FALSE)</f>
        <v>Suficit / deficit</v>
      </c>
      <c r="C55" s="561"/>
      <c r="D55" s="561"/>
      <c r="E55" s="561"/>
      <c r="F55" s="561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80" t="str">
        <f>+VLOOKUP($A56,Master!$D$27:$G$225,4,FALSE)</f>
        <v>Primarni bilans</v>
      </c>
      <c r="C56" s="481"/>
      <c r="D56" s="481"/>
      <c r="E56" s="481"/>
      <c r="F56" s="481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72" t="str">
        <f>+VLOOKUP($A57,Master!$D$27:$G$225,4,FALSE)</f>
        <v>Otplata dugova</v>
      </c>
      <c r="C57" s="473"/>
      <c r="D57" s="473"/>
      <c r="E57" s="473"/>
      <c r="F57" s="473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98" t="str">
        <f>+VLOOKUP($A58,Master!$D$27:$G$225,4,FALSE)</f>
        <v>Otplata hartija od vrijednosti i kredita rezidentima</v>
      </c>
      <c r="C58" s="499"/>
      <c r="D58" s="499"/>
      <c r="E58" s="499"/>
      <c r="F58" s="499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74" t="str">
        <f>+VLOOKUP($A59,Master!$D$27:$G$225,4,FALSE)</f>
        <v>Otplata hartija od vrijednosti i kredita nerezidentima</v>
      </c>
      <c r="C59" s="475"/>
      <c r="D59" s="475"/>
      <c r="E59" s="475"/>
      <c r="F59" s="475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500" t="str">
        <f>+VLOOKUP($A60,Master!$D$27:$G$225,4,FALSE)</f>
        <v>Nedostajuća sredstva</v>
      </c>
      <c r="C60" s="501"/>
      <c r="D60" s="501"/>
      <c r="E60" s="501"/>
      <c r="F60" s="501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64" t="str">
        <f>+VLOOKUP($A61,Master!$D$27:$G$225,4,FALSE)</f>
        <v>Finansiranje</v>
      </c>
      <c r="C61" s="465"/>
      <c r="D61" s="465"/>
      <c r="E61" s="465"/>
      <c r="F61" s="465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98" t="str">
        <f>+VLOOKUP($A62,Master!$D$27:$G$225,4,FALSE)</f>
        <v>Pozajmice i krediti od domaćih izvora</v>
      </c>
      <c r="C62" s="499"/>
      <c r="D62" s="499"/>
      <c r="E62" s="499"/>
      <c r="F62" s="499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74" t="str">
        <f>+VLOOKUP($A63,Master!$D$27:$G$225,4,FALSE)</f>
        <v>Pozajmice i krediti od inostranih izvora</v>
      </c>
      <c r="C63" s="475"/>
      <c r="D63" s="475"/>
      <c r="E63" s="475"/>
      <c r="F63" s="475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74" t="str">
        <f>+VLOOKUP($A64,Master!$D$27:$G$225,4,FALSE)</f>
        <v>Primici od prodaje imovine</v>
      </c>
      <c r="C64" s="475"/>
      <c r="D64" s="475"/>
      <c r="E64" s="475"/>
      <c r="F64" s="475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24" t="str">
        <f>+Master!G252</f>
        <v>Plan ostvarenja budžeta</v>
      </c>
      <c r="C101" s="525"/>
      <c r="D101" s="525"/>
      <c r="E101" s="525"/>
      <c r="F101" s="525"/>
      <c r="G101" s="515">
        <v>2014</v>
      </c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7"/>
      <c r="S101" s="115" t="str">
        <f>+S7</f>
        <v>BDP</v>
      </c>
      <c r="T101" s="116">
        <v>3393200615</v>
      </c>
    </row>
    <row r="102" spans="1:21" ht="15.75" customHeight="1">
      <c r="B102" s="526"/>
      <c r="C102" s="527"/>
      <c r="D102" s="527"/>
      <c r="E102" s="527"/>
      <c r="F102" s="528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15" t="str">
        <f>+Master!G246</f>
        <v>Jan - Dec</v>
      </c>
      <c r="T102" s="517">
        <f>+T8</f>
        <v>0</v>
      </c>
    </row>
    <row r="103" spans="1:21" ht="13.5" thickBot="1">
      <c r="B103" s="529"/>
      <c r="C103" s="530"/>
      <c r="D103" s="530"/>
      <c r="E103" s="530"/>
      <c r="F103" s="531"/>
      <c r="G103" s="68" t="s">
        <v>423</v>
      </c>
      <c r="H103" s="68" t="s">
        <v>423</v>
      </c>
      <c r="I103" s="68" t="s">
        <v>423</v>
      </c>
      <c r="J103" s="68" t="s">
        <v>423</v>
      </c>
      <c r="K103" s="68" t="s">
        <v>423</v>
      </c>
      <c r="L103" s="68" t="s">
        <v>423</v>
      </c>
      <c r="M103" s="68" t="s">
        <v>423</v>
      </c>
      <c r="N103" s="68" t="s">
        <v>423</v>
      </c>
      <c r="O103" s="68" t="s">
        <v>423</v>
      </c>
      <c r="P103" s="68" t="s">
        <v>423</v>
      </c>
      <c r="Q103" s="68" t="s">
        <v>423</v>
      </c>
      <c r="R103" s="68" t="s">
        <v>423</v>
      </c>
      <c r="S103" s="66" t="s">
        <v>423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18" t="str">
        <f>+VLOOKUP(LEFT($A104,LEN(A104)-1)*1,Master!$D$27:$G$225,4,FALSE)</f>
        <v>Prihodi budžeta</v>
      </c>
      <c r="C104" s="519"/>
      <c r="D104" s="519"/>
      <c r="E104" s="519"/>
      <c r="F104" s="519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20" t="str">
        <f>+VLOOKUP(LEFT($A105,LEN(A105)-1)*1,Master!$D$27:$G$225,4,FALSE)</f>
        <v>Porezi</v>
      </c>
      <c r="C105" s="521"/>
      <c r="D105" s="521"/>
      <c r="E105" s="521"/>
      <c r="F105" s="521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22" t="str">
        <f>+VLOOKUP(LEFT($A106,LEN(A106)-1)*1,Master!$D$27:$G$225,4,FALSE)</f>
        <v>Porez na dohodak fizičkih lica</v>
      </c>
      <c r="C106" s="523"/>
      <c r="D106" s="523"/>
      <c r="E106" s="523"/>
      <c r="F106" s="523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22" t="str">
        <f>+VLOOKUP(LEFT($A107,LEN(A107)-1)*1,Master!$D$27:$G$225,4,FALSE)</f>
        <v>Porez na dobit pravnih lica</v>
      </c>
      <c r="C107" s="523"/>
      <c r="D107" s="523"/>
      <c r="E107" s="523"/>
      <c r="F107" s="523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22" t="str">
        <f>+VLOOKUP(LEFT($A108,LEN(A108)-1)*1,Master!$D$27:$G$225,4,FALSE)</f>
        <v>Porez na promet nepokretnosti</v>
      </c>
      <c r="C108" s="523"/>
      <c r="D108" s="523"/>
      <c r="E108" s="523"/>
      <c r="F108" s="523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22" t="str">
        <f>+VLOOKUP(LEFT($A109,LEN(A109)-1)*1,Master!$D$27:$G$225,4,FALSE)</f>
        <v>Porez na dodatu vrijednost</v>
      </c>
      <c r="C109" s="523"/>
      <c r="D109" s="523"/>
      <c r="E109" s="523"/>
      <c r="F109" s="523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22" t="str">
        <f>+VLOOKUP(LEFT($A110,LEN(A110)-1)*1,Master!$D$27:$G$225,4,FALSE)</f>
        <v>Akcize</v>
      </c>
      <c r="C110" s="523"/>
      <c r="D110" s="523"/>
      <c r="E110" s="523"/>
      <c r="F110" s="523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22" t="str">
        <f>+VLOOKUP(LEFT($A111,LEN(A111)-1)*1,Master!$D$27:$G$225,4,FALSE)</f>
        <v>Porez na međunarodnu trgovinu i transakcije</v>
      </c>
      <c r="C111" s="523"/>
      <c r="D111" s="523"/>
      <c r="E111" s="523"/>
      <c r="F111" s="523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22" t="e">
        <f>+VLOOKUP(LEFT($A112,LEN(A112)-1)*1,Master!$D$27:$G$225,4,FALSE)</f>
        <v>#REF!</v>
      </c>
      <c r="C112" s="523"/>
      <c r="D112" s="523"/>
      <c r="E112" s="523"/>
      <c r="F112" s="523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22" t="str">
        <f>+VLOOKUP(LEFT($A113,LEN(A113)-1)*1,Master!$D$27:$G$225,4,FALSE)</f>
        <v>Ostali državni porezi</v>
      </c>
      <c r="C113" s="523"/>
      <c r="D113" s="523"/>
      <c r="E113" s="523"/>
      <c r="F113" s="523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34" t="str">
        <f>+VLOOKUP(LEFT($A114,LEN(A114)-1)*1,Master!$D$27:$G$225,4,FALSE)</f>
        <v>Doprinosi</v>
      </c>
      <c r="C114" s="535"/>
      <c r="D114" s="535"/>
      <c r="E114" s="535"/>
      <c r="F114" s="535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22" t="str">
        <f>+VLOOKUP(LEFT($A115,LEN(A115)-1)*1,Master!$D$27:$G$225,4,FALSE)</f>
        <v>Doprinosi za penzijsko i invalidsko osiguranje</v>
      </c>
      <c r="C115" s="523"/>
      <c r="D115" s="523"/>
      <c r="E115" s="523"/>
      <c r="F115" s="523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22" t="str">
        <f>+VLOOKUP(LEFT($A116,LEN(A116)-1)*1,Master!$D$27:$G$225,4,FALSE)</f>
        <v>Doprinosi za zdravstveno osiguranje</v>
      </c>
      <c r="C116" s="523"/>
      <c r="D116" s="523"/>
      <c r="E116" s="523"/>
      <c r="F116" s="523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22" t="str">
        <f>+VLOOKUP(LEFT($A117,LEN(A117)-1)*1,Master!$D$27:$G$225,4,FALSE)</f>
        <v>Doprinosi za osiguranje od nezaposlenosti</v>
      </c>
      <c r="C117" s="523"/>
      <c r="D117" s="523"/>
      <c r="E117" s="523"/>
      <c r="F117" s="523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22" t="str">
        <f>+VLOOKUP(LEFT($A118,LEN(A118)-1)*1,Master!$D$27:$G$225,4,FALSE)</f>
        <v>Ostali doprinosi</v>
      </c>
      <c r="C118" s="523"/>
      <c r="D118" s="523"/>
      <c r="E118" s="523"/>
      <c r="F118" s="523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32" t="str">
        <f>+VLOOKUP(LEFT($A119,LEN(A119)-1)*1,Master!$D$27:$G$225,4,FALSE)</f>
        <v>Takse</v>
      </c>
      <c r="C119" s="533"/>
      <c r="D119" s="533"/>
      <c r="E119" s="533"/>
      <c r="F119" s="533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32" t="str">
        <f>+VLOOKUP(LEFT($A120,LEN(A120)-1)*1,Master!$D$27:$G$225,4,FALSE)</f>
        <v>Naknade</v>
      </c>
      <c r="C120" s="533"/>
      <c r="D120" s="533"/>
      <c r="E120" s="533"/>
      <c r="F120" s="533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32" t="str">
        <f>+VLOOKUP(LEFT($A121,LEN(A121)-1)*1,Master!$D$27:$G$225,4,FALSE)</f>
        <v>Ostali prihodi</v>
      </c>
      <c r="C121" s="533"/>
      <c r="D121" s="533"/>
      <c r="E121" s="533"/>
      <c r="F121" s="533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32" t="str">
        <f>+VLOOKUP(LEFT($A122,LEN(A122)-1)*1,Master!$D$27:$G$225,4,FALSE)</f>
        <v>Primici od otplate kredita i sredstva prenesena iz prethodne godine</v>
      </c>
      <c r="C122" s="533"/>
      <c r="D122" s="533"/>
      <c r="E122" s="533"/>
      <c r="F122" s="533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36" t="str">
        <f>+VLOOKUP(LEFT($A123,LEN(A123)-1)*1,Master!$D$27:$G$225,4,FALSE)</f>
        <v>Donacije i transferi</v>
      </c>
      <c r="C123" s="537"/>
      <c r="D123" s="537"/>
      <c r="E123" s="537"/>
      <c r="F123" s="537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38" t="str">
        <f>+VLOOKUP(LEFT($A124,LEN(A124)-1)*1,Master!$D$27:$G$225,4,FALSE)</f>
        <v>Budžetski izdaci</v>
      </c>
      <c r="C124" s="539"/>
      <c r="D124" s="539"/>
      <c r="E124" s="539"/>
      <c r="F124" s="539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40" t="str">
        <f>+VLOOKUP(LEFT($A125,LEN(A125)-1)*1,Master!$D$27:$G$225,4,FALSE)</f>
        <v>Tekuća budžetska potrošnja</v>
      </c>
      <c r="C125" s="541"/>
      <c r="D125" s="541"/>
      <c r="E125" s="541"/>
      <c r="F125" s="541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42" t="str">
        <f>+VLOOKUP(LEFT($A126,LEN(A126)-1)*1,Master!$D$27:$G$225,4,FALSE)</f>
        <v>Tekući izdaci</v>
      </c>
      <c r="C126" s="543"/>
      <c r="D126" s="543"/>
      <c r="E126" s="543"/>
      <c r="F126" s="543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22" t="str">
        <f>+VLOOKUP(LEFT($A127,LEN(A127)-1)*1,Master!$D$27:$G$225,4,FALSE)</f>
        <v>Bruto zarade i doprinosi na teret poslodavca</v>
      </c>
      <c r="C127" s="523"/>
      <c r="D127" s="523"/>
      <c r="E127" s="523"/>
      <c r="F127" s="523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22" t="str">
        <f>+VLOOKUP(LEFT($A128,LEN(A128)-1)*1,Master!$D$27:$G$225,4,FALSE)</f>
        <v>Ostala lična primanja</v>
      </c>
      <c r="C128" s="523"/>
      <c r="D128" s="523"/>
      <c r="E128" s="523"/>
      <c r="F128" s="523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22" t="str">
        <f>+VLOOKUP(LEFT($A129,LEN(A129)-1)*1,Master!$D$27:$G$225,4,FALSE)</f>
        <v>Rashodi za materijal</v>
      </c>
      <c r="C129" s="523"/>
      <c r="D129" s="523"/>
      <c r="E129" s="523"/>
      <c r="F129" s="523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22" t="str">
        <f>+VLOOKUP(LEFT($A130,LEN(A130)-1)*1,Master!$D$27:$G$225,4,FALSE)</f>
        <v>Rashodi za usluge</v>
      </c>
      <c r="C130" s="523"/>
      <c r="D130" s="523"/>
      <c r="E130" s="523"/>
      <c r="F130" s="523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22" t="str">
        <f>+VLOOKUP(LEFT($A131,LEN(A131)-1)*1,Master!$D$27:$G$225,4,FALSE)</f>
        <v>Rashodi za tekuće održavanje</v>
      </c>
      <c r="C131" s="523"/>
      <c r="D131" s="523"/>
      <c r="E131" s="523"/>
      <c r="F131" s="523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22" t="str">
        <f>+VLOOKUP(LEFT($A132,LEN(A132)-1)*1,Master!$D$27:$G$225,4,FALSE)</f>
        <v>Kamate</v>
      </c>
      <c r="C132" s="523"/>
      <c r="D132" s="523"/>
      <c r="E132" s="523"/>
      <c r="F132" s="523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22" t="str">
        <f>+VLOOKUP(LEFT($A133,LEN(A133)-1)*1,Master!$D$27:$G$225,4,FALSE)</f>
        <v>Renta</v>
      </c>
      <c r="C133" s="523"/>
      <c r="D133" s="523"/>
      <c r="E133" s="523"/>
      <c r="F133" s="523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22" t="str">
        <f>+VLOOKUP(LEFT($A134,LEN(A134)-1)*1,Master!$D$27:$G$225,4,FALSE)</f>
        <v>Subvencije</v>
      </c>
      <c r="C134" s="523"/>
      <c r="D134" s="523"/>
      <c r="E134" s="523"/>
      <c r="F134" s="523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22" t="str">
        <f>+VLOOKUP(LEFT($A135,LEN(A135)-1)*1,Master!$D$27:$G$225,4,FALSE)</f>
        <v>Ostali izdaci</v>
      </c>
      <c r="C135" s="523"/>
      <c r="D135" s="523"/>
      <c r="E135" s="523"/>
      <c r="F135" s="523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22" t="str">
        <f>+VLOOKUP(LEFT($A136,LEN(A136)-1)*1,Master!$D$27:$G$225,4,FALSE)</f>
        <v>Kapitalni izdaci u tekućem budžetu</v>
      </c>
      <c r="C136" s="523"/>
      <c r="D136" s="523"/>
      <c r="E136" s="523"/>
      <c r="F136" s="523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46" t="str">
        <f>+VLOOKUP(LEFT($A137,LEN(A137)-1)*1,Master!$D$27:$G$225,4,FALSE)</f>
        <v>Transferi za socijalnu zaštitu</v>
      </c>
      <c r="C137" s="547"/>
      <c r="D137" s="547"/>
      <c r="E137" s="547"/>
      <c r="F137" s="547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22" t="str">
        <f>+VLOOKUP(LEFT($A138,LEN(A138)-1)*1,Master!$D$27:$G$225,4,FALSE)</f>
        <v>Prava iz oblasti socijalne zaštite</v>
      </c>
      <c r="C138" s="523"/>
      <c r="D138" s="523"/>
      <c r="E138" s="523"/>
      <c r="F138" s="523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22" t="str">
        <f>+VLOOKUP(LEFT($A139,LEN(A139)-1)*1,Master!$D$27:$G$225,4,FALSE)</f>
        <v>Sredstva za tehnološke viškove</v>
      </c>
      <c r="C139" s="523"/>
      <c r="D139" s="523"/>
      <c r="E139" s="523"/>
      <c r="F139" s="523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22" t="str">
        <f>+VLOOKUP(LEFT($A140,LEN(A140)-1)*1,Master!$D$27:$G$225,4,FALSE)</f>
        <v>Prava iz oblasti penzijskog i invalidskog osiguranja</v>
      </c>
      <c r="C140" s="523"/>
      <c r="D140" s="523"/>
      <c r="E140" s="523"/>
      <c r="F140" s="523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22" t="str">
        <f>+VLOOKUP(LEFT($A141,LEN(A141)-1)*1,Master!$D$27:$G$225,4,FALSE)</f>
        <v>Ostala prava iz oblasti zdravstvene zaštite</v>
      </c>
      <c r="C141" s="523"/>
      <c r="D141" s="523"/>
      <c r="E141" s="523"/>
      <c r="F141" s="523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22" t="str">
        <f>+VLOOKUP(LEFT($A142,LEN(A142)-1)*1,Master!$D$27:$G$225,4,FALSE)</f>
        <v>Ostala prava iz zdravstvenog osiguranja</v>
      </c>
      <c r="C142" s="523"/>
      <c r="D142" s="523"/>
      <c r="E142" s="523"/>
      <c r="F142" s="523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44" t="str">
        <f>+VLOOKUP(LEFT($A143,LEN(A143)-1)*1,Master!$D$27:$G$225,4,FALSE)</f>
        <v xml:space="preserve">Transferi institucijama, pojedincima, nevladinom i javnom sektoru </v>
      </c>
      <c r="C143" s="545"/>
      <c r="D143" s="545"/>
      <c r="E143" s="545"/>
      <c r="F143" s="545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44" t="str">
        <f>+VLOOKUP(LEFT($A144,LEN(A144)-1)*1,Master!$D$27:$G$225,4,FALSE)</f>
        <v>Kapitalni budžet</v>
      </c>
      <c r="C144" s="545"/>
      <c r="D144" s="545"/>
      <c r="E144" s="545"/>
      <c r="F144" s="545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48" t="str">
        <f>+VLOOKUP(LEFT($A145,LEN(A145)-1)*1,Master!$D$27:$G$225,4,FALSE)</f>
        <v>Pozajmice i krediti</v>
      </c>
      <c r="C145" s="549"/>
      <c r="D145" s="549"/>
      <c r="E145" s="549"/>
      <c r="F145" s="549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48" t="str">
        <f>+VLOOKUP(LEFT($A146,LEN(A146)-1)*1,Master!$D$27:$G$225,4,FALSE)</f>
        <v>Rezerve</v>
      </c>
      <c r="C146" s="549"/>
      <c r="D146" s="549"/>
      <c r="E146" s="549"/>
      <c r="F146" s="549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8" t="str">
        <f>+VLOOKUP(LEFT($A147,LEN(A147)-1)*1,Master!$D$27:$G$225,4,FALSE)</f>
        <v>Otplata garancija</v>
      </c>
      <c r="C147" s="559"/>
      <c r="D147" s="559"/>
      <c r="E147" s="559"/>
      <c r="F147" s="559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54" t="str">
        <f>+VLOOKUP(LEFT($A148,LEN(A148)-1)*1,Master!$D$27:$G$225,4,FALSE)</f>
        <v>Suficit / deficit</v>
      </c>
      <c r="C148" s="555"/>
      <c r="D148" s="555"/>
      <c r="E148" s="555"/>
      <c r="F148" s="555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56" t="str">
        <f>+VLOOKUP(LEFT($A149,LEN(A149)-1)*1,Master!$D$27:$G$225,4,FALSE)</f>
        <v>Primarni bilans</v>
      </c>
      <c r="C149" s="557"/>
      <c r="D149" s="557"/>
      <c r="E149" s="557"/>
      <c r="F149" s="557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46" t="str">
        <f>+VLOOKUP(LEFT($A150,LEN(A150)-1)*1,Master!$D$27:$G$225,4,FALSE)</f>
        <v>Otplata dugova</v>
      </c>
      <c r="C150" s="547"/>
      <c r="D150" s="547"/>
      <c r="E150" s="547"/>
      <c r="F150" s="547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50" t="str">
        <f>+VLOOKUP(LEFT($A151,LEN(A151)-1)*1,Master!$D$27:$G$225,4,FALSE)</f>
        <v>Otplata hartija od vrijednosti i kredita rezidentima</v>
      </c>
      <c r="C151" s="551"/>
      <c r="D151" s="551"/>
      <c r="E151" s="551"/>
      <c r="F151" s="551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48" t="str">
        <f>+VLOOKUP(LEFT($A152,LEN(A152)-1)*1,Master!$D$27:$G$225,4,FALSE)</f>
        <v>Otplata hartija od vrijednosti i kredita nerezidentima</v>
      </c>
      <c r="C152" s="549"/>
      <c r="D152" s="549"/>
      <c r="E152" s="549"/>
      <c r="F152" s="549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8" t="str">
        <f>+VLOOKUP(LEFT($A153,LEN(A153)-1)*1,Master!$D$27:$G$225,4,FALSE)</f>
        <v>Otplata obaveza iz prethodnih godina</v>
      </c>
      <c r="C153" s="559"/>
      <c r="D153" s="559"/>
      <c r="E153" s="559"/>
      <c r="F153" s="559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52" t="str">
        <f>+VLOOKUP(LEFT($A154,LEN(A154)-1)*1,Master!$D$27:$G$225,4,FALSE)</f>
        <v>Nedostajuća sredstva</v>
      </c>
      <c r="C154" s="553"/>
      <c r="D154" s="553"/>
      <c r="E154" s="553"/>
      <c r="F154" s="553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38" t="str">
        <f>+VLOOKUP(LEFT($A155,LEN(A155)-1)*1,Master!$D$27:$G$225,4,FALSE)</f>
        <v>Finansiranje</v>
      </c>
      <c r="C155" s="539"/>
      <c r="D155" s="539"/>
      <c r="E155" s="539"/>
      <c r="F155" s="539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50" t="str">
        <f>+VLOOKUP(LEFT($A156,LEN(A156)-1)*1,Master!$D$27:$G$225,4,FALSE)</f>
        <v>Pozajmice i krediti od domaćih izvora</v>
      </c>
      <c r="C156" s="551"/>
      <c r="D156" s="551"/>
      <c r="E156" s="551"/>
      <c r="F156" s="551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48" t="str">
        <f>+VLOOKUP(LEFT($A157,LEN(A157)-1)*1,Master!$D$27:$G$225,4,FALSE)</f>
        <v>Pozajmice i krediti od inostranih izvora</v>
      </c>
      <c r="C157" s="549"/>
      <c r="D157" s="549"/>
      <c r="E157" s="549"/>
      <c r="F157" s="549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48" t="str">
        <f>+VLOOKUP(LEFT($A158,LEN(A158)-1)*1,Master!$D$27:$G$225,4,FALSE)</f>
        <v>Primici od prodaje imovine</v>
      </c>
      <c r="C158" s="549"/>
      <c r="D158" s="549"/>
      <c r="E158" s="549"/>
      <c r="F158" s="549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2019-07-29T06:32:45Z</dcterms:modified>
</cp:coreProperties>
</file>