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updateLinks="always" codeName="ThisWorkbook" defaultThemeVersion="124226"/>
  <mc:AlternateContent xmlns:mc="http://schemas.openxmlformats.org/markup-compatibility/2006">
    <mc:Choice Requires="x15">
      <x15ac:absPath xmlns:x15ac="http://schemas.microsoft.com/office/spreadsheetml/2010/11/ac" url="C:\Users\milena.milovic\Desktop\Analiza konsolidovane javne 2023\objavljeno\"/>
    </mc:Choice>
  </mc:AlternateContent>
  <xr:revisionPtr revIDLastSave="0" documentId="13_ncr:1_{2A6FC9B7-73CE-46BB-9C48-B18888DF4E0D}" xr6:coauthVersionLast="36" xr6:coauthVersionMax="36" xr10:uidLastSave="{00000000-0000-0000-0000-000000000000}"/>
  <workbookProtection workbookAlgorithmName="SHA-512" workbookHashValue="U0Zt6j3MJMiX083PeojI5Oir6JWHxlEDlMR+Z+pmAn5B5Y9btdZxnk4nGoLRhk2v/MuU3/84UU5jeSV30ev7fw==" workbookSaltValue="7mTQf/fELNkj/k3gvkzHUQ==" workbookSpinCount="100000" lockStructure="1"/>
  <bookViews>
    <workbookView xWindow="0" yWindow="0" windowWidth="28800" windowHeight="12225" xr2:uid="{00000000-000D-0000-FFFF-FFFF000000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91029"/>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J24" i="43" l="1"/>
  <c r="K24" i="43"/>
  <c r="L24" i="43"/>
  <c r="F24" i="43" l="1"/>
  <c r="D22" i="43"/>
  <c r="D23" i="43"/>
  <c r="D25" i="43"/>
  <c r="E12" i="43"/>
  <c r="C12" i="43"/>
  <c r="I67" i="10" l="1"/>
  <c r="I55" i="44" l="1"/>
  <c r="J55" i="44" s="1"/>
  <c r="E55" i="44"/>
  <c r="C55" i="44"/>
  <c r="L65" i="43"/>
  <c r="K65" i="43"/>
  <c r="H65" i="43"/>
  <c r="G65" i="43"/>
  <c r="J71" i="10"/>
  <c r="K71" i="10"/>
  <c r="L71" i="10"/>
  <c r="F71" i="10"/>
  <c r="G71" i="10"/>
  <c r="H71" i="10"/>
  <c r="D71" i="10"/>
  <c r="L55" i="44" l="1"/>
  <c r="G55" i="44"/>
  <c r="K55" i="44"/>
  <c r="H55" i="44"/>
  <c r="L71" i="43"/>
  <c r="K71" i="43"/>
  <c r="H71" i="43"/>
  <c r="G71" i="43"/>
  <c r="I61" i="44"/>
  <c r="J61" i="44" s="1"/>
  <c r="E61" i="44"/>
  <c r="C61" i="44"/>
  <c r="I2" i="43"/>
  <c r="E2" i="43"/>
  <c r="C2" i="43"/>
  <c r="J71" i="43" l="1"/>
  <c r="J65" i="43"/>
  <c r="F71" i="43"/>
  <c r="F65" i="43"/>
  <c r="D71" i="43"/>
  <c r="D65" i="43"/>
  <c r="K61" i="44"/>
  <c r="H61" i="44"/>
  <c r="L61" i="44"/>
  <c r="G61" i="44"/>
  <c r="L77" i="10" l="1"/>
  <c r="K77" i="10"/>
  <c r="J77" i="10"/>
  <c r="H77" i="10"/>
  <c r="G77" i="10"/>
  <c r="F77" i="10"/>
  <c r="D77" i="10"/>
  <c r="H59" i="10" l="1"/>
  <c r="E67" i="10"/>
  <c r="H60" i="10" l="1"/>
  <c r="J58" i="10" l="1"/>
  <c r="C67" i="10" l="1"/>
  <c r="D68" i="10" l="1"/>
  <c r="F68" i="10"/>
  <c r="I43" i="44" l="1"/>
  <c r="I38" i="43" l="1"/>
  <c r="I37" i="43" s="1"/>
  <c r="C38" i="43"/>
  <c r="C37" i="43" s="1"/>
  <c r="E38" i="43"/>
  <c r="E37" i="43" s="1"/>
  <c r="J74" i="10" l="1"/>
  <c r="J75" i="10"/>
  <c r="J76" i="10"/>
  <c r="I53" i="44" l="1"/>
  <c r="I60" i="43"/>
  <c r="E60" i="43" l="1"/>
  <c r="C60" i="43"/>
  <c r="C51" i="44"/>
  <c r="E43" i="44"/>
  <c r="C43" i="44"/>
  <c r="F56" i="43" l="1"/>
  <c r="I12" i="43"/>
  <c r="K68" i="10" l="1"/>
  <c r="K69" i="10"/>
  <c r="C8" i="44" l="1"/>
  <c r="I54" i="44" l="1"/>
  <c r="E54" i="44"/>
  <c r="C54" i="44"/>
  <c r="C7" i="10" l="1"/>
  <c r="C15" i="10"/>
  <c r="E2" i="44" l="1"/>
  <c r="C2" i="44"/>
  <c r="J63" i="43"/>
  <c r="D56" i="43"/>
  <c r="F61" i="44" l="1"/>
  <c r="F55" i="44"/>
  <c r="D61" i="44"/>
  <c r="D55" i="44"/>
  <c r="F17" i="46"/>
  <c r="I17" i="46" s="1"/>
  <c r="G15" i="46"/>
  <c r="G19" i="46" s="1"/>
  <c r="F15" i="46"/>
  <c r="F19" i="46" s="1"/>
  <c r="I19" i="46" s="1"/>
  <c r="D15" i="46"/>
  <c r="D19" i="46" s="1"/>
  <c r="C15" i="46"/>
  <c r="C19" i="46" s="1"/>
  <c r="F13" i="46"/>
  <c r="I13" i="46" s="1"/>
  <c r="J11" i="46"/>
  <c r="G11" i="46"/>
  <c r="J15" i="46" s="1"/>
  <c r="J19" i="46" s="1"/>
  <c r="F11" i="46"/>
  <c r="I15" i="46" s="1"/>
  <c r="F9" i="46"/>
  <c r="I9" i="46" s="1"/>
  <c r="I11" i="46" l="1"/>
  <c r="I62" i="44"/>
  <c r="J62" i="44" s="1"/>
  <c r="E62" i="44"/>
  <c r="F62" i="44" s="1"/>
  <c r="C62" i="44"/>
  <c r="D62" i="44" s="1"/>
  <c r="I60" i="44"/>
  <c r="E60" i="44"/>
  <c r="F60" i="44" s="1"/>
  <c r="C60" i="44"/>
  <c r="I59" i="44"/>
  <c r="J59" i="44" s="1"/>
  <c r="I58" i="44"/>
  <c r="J58" i="44" s="1"/>
  <c r="E59" i="44"/>
  <c r="E58" i="44"/>
  <c r="F58" i="44" s="1"/>
  <c r="C59" i="44"/>
  <c r="C58" i="44"/>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58" i="44" l="1"/>
  <c r="D20" i="44"/>
  <c r="H37" i="44"/>
  <c r="H33" i="44"/>
  <c r="L13" i="44"/>
  <c r="G20" i="44"/>
  <c r="L20" i="44"/>
  <c r="G14" i="44"/>
  <c r="K35" i="44"/>
  <c r="G39" i="44"/>
  <c r="G10" i="44"/>
  <c r="L15" i="44"/>
  <c r="K60" i="44"/>
  <c r="L36" i="44"/>
  <c r="K32" i="44"/>
  <c r="L31" i="44"/>
  <c r="D15" i="44"/>
  <c r="G51" i="44"/>
  <c r="K15" i="44"/>
  <c r="K43" i="44"/>
  <c r="K31" i="44"/>
  <c r="D35" i="44"/>
  <c r="J20" i="44"/>
  <c r="K20" i="44"/>
  <c r="J13" i="44"/>
  <c r="H19" i="44"/>
  <c r="F20" i="44"/>
  <c r="H12" i="44"/>
  <c r="L8" i="44"/>
  <c r="L12" i="44"/>
  <c r="G13" i="44"/>
  <c r="K13" i="44"/>
  <c r="L59" i="44"/>
  <c r="K51" i="44"/>
  <c r="L51" i="44"/>
  <c r="K26" i="44"/>
  <c r="K62" i="44"/>
  <c r="L62" i="44"/>
  <c r="H59" i="44"/>
  <c r="D39" i="44"/>
  <c r="K21" i="44"/>
  <c r="J8" i="44"/>
  <c r="J12" i="44"/>
  <c r="G60" i="44"/>
  <c r="H18" i="44"/>
  <c r="G9" i="44"/>
  <c r="L35" i="44"/>
  <c r="G12" i="44"/>
  <c r="G8" i="44"/>
  <c r="H13" i="44"/>
  <c r="H10" i="44"/>
  <c r="G36" i="44"/>
  <c r="G62" i="44"/>
  <c r="L60" i="44"/>
  <c r="H8" i="44"/>
  <c r="K9" i="44"/>
  <c r="G32" i="44"/>
  <c r="H36" i="44"/>
  <c r="H51" i="44"/>
  <c r="D60" i="44"/>
  <c r="K29" i="44"/>
  <c r="J32" i="44"/>
  <c r="J15" i="44"/>
  <c r="F51" i="44"/>
  <c r="G31" i="44"/>
  <c r="F10" i="44"/>
  <c r="K59" i="44"/>
  <c r="H62" i="44"/>
  <c r="D59" i="44"/>
  <c r="L53" i="44"/>
  <c r="H32" i="44"/>
  <c r="H39" i="44"/>
  <c r="L40" i="44"/>
  <c r="K10" i="44"/>
  <c r="D10" i="44"/>
  <c r="L10" i="44"/>
  <c r="J60"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8" i="44"/>
  <c r="G59" i="44"/>
  <c r="H60" i="44"/>
  <c r="K46" i="44"/>
  <c r="K34" i="44"/>
  <c r="G29" i="44"/>
  <c r="K30" i="44"/>
  <c r="H35" i="44"/>
  <c r="D26" i="44"/>
  <c r="H26" i="44"/>
  <c r="D19" i="44"/>
  <c r="H14" i="44"/>
  <c r="D14" i="44"/>
  <c r="H16" i="44"/>
  <c r="H11" i="44"/>
  <c r="G11" i="44"/>
  <c r="D11" i="44"/>
  <c r="C7" i="44"/>
  <c r="D7" i="44" s="1"/>
  <c r="D9" i="44"/>
  <c r="L9" i="44"/>
  <c r="F59" i="44"/>
  <c r="H58" i="44"/>
  <c r="G58" i="44"/>
  <c r="L58"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2" i="43" l="1"/>
  <c r="K72" i="43"/>
  <c r="L72" i="43"/>
  <c r="F72" i="43"/>
  <c r="G72" i="43"/>
  <c r="H72" i="43"/>
  <c r="D72" i="43"/>
  <c r="J25" i="43"/>
  <c r="K25" i="43"/>
  <c r="L25" i="43"/>
  <c r="J26" i="43"/>
  <c r="K26" i="43"/>
  <c r="L26" i="43"/>
  <c r="J27" i="43"/>
  <c r="K27" i="43"/>
  <c r="L27" i="43"/>
  <c r="G25" i="43"/>
  <c r="H25" i="43"/>
  <c r="G26" i="43"/>
  <c r="H26" i="43"/>
  <c r="G27" i="43"/>
  <c r="H27" i="43"/>
  <c r="F25" i="43"/>
  <c r="F26" i="43"/>
  <c r="F27" i="43"/>
  <c r="F28" i="43"/>
  <c r="F29"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70" i="43"/>
  <c r="K70" i="43"/>
  <c r="J70" i="43"/>
  <c r="H70" i="43"/>
  <c r="G70" i="43"/>
  <c r="F70" i="43"/>
  <c r="D70" i="43"/>
  <c r="L69" i="43"/>
  <c r="K69" i="43"/>
  <c r="J69" i="43"/>
  <c r="H69" i="43"/>
  <c r="G69" i="43"/>
  <c r="F69" i="43"/>
  <c r="D69" i="43"/>
  <c r="L68" i="43"/>
  <c r="K68" i="43"/>
  <c r="J68" i="43"/>
  <c r="H68" i="43"/>
  <c r="G68" i="43"/>
  <c r="F68" i="43"/>
  <c r="D68"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L22" i="43"/>
  <c r="K22" i="43"/>
  <c r="J22" i="43"/>
  <c r="H22" i="43"/>
  <c r="G22" i="43"/>
  <c r="F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4" i="10"/>
  <c r="L74" i="10"/>
  <c r="K75" i="10"/>
  <c r="L75" i="10"/>
  <c r="K76" i="10"/>
  <c r="L76" i="10"/>
  <c r="G74" i="10"/>
  <c r="G75" i="10"/>
  <c r="G76" i="10"/>
  <c r="H74" i="10"/>
  <c r="H75" i="10"/>
  <c r="H76" i="10"/>
  <c r="F74" i="10"/>
  <c r="F75" i="10"/>
  <c r="F76" i="10"/>
  <c r="D74" i="10"/>
  <c r="D75" i="10"/>
  <c r="D76"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9" i="10"/>
  <c r="J60" i="10"/>
  <c r="J61" i="10"/>
  <c r="I50" i="10"/>
  <c r="I40" i="10"/>
  <c r="H41" i="10"/>
  <c r="H42" i="10"/>
  <c r="H43" i="10"/>
  <c r="H44" i="10"/>
  <c r="H45" i="10"/>
  <c r="H46" i="10"/>
  <c r="H47" i="10"/>
  <c r="H48" i="10"/>
  <c r="H49" i="10"/>
  <c r="H51" i="10"/>
  <c r="H52" i="10"/>
  <c r="H53" i="10"/>
  <c r="H54" i="10"/>
  <c r="H55" i="10"/>
  <c r="H56" i="10"/>
  <c r="H57" i="10"/>
  <c r="H58"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E66" i="43" s="1"/>
  <c r="F55" i="43"/>
  <c r="L59" i="43"/>
  <c r="H59" i="43"/>
  <c r="D59" i="43"/>
  <c r="K59" i="43"/>
  <c r="G59" i="43"/>
  <c r="I57" i="43"/>
  <c r="I66" i="43" s="1"/>
  <c r="J55" i="43"/>
  <c r="K55" i="43"/>
  <c r="G55" i="43"/>
  <c r="C57" i="43"/>
  <c r="C66" i="43" s="1"/>
  <c r="C73" i="43" s="1"/>
  <c r="C67" i="43" s="1"/>
  <c r="L55" i="43"/>
  <c r="D55" i="43"/>
  <c r="G18" i="46" s="1"/>
  <c r="H55" i="43"/>
  <c r="L50" i="10"/>
  <c r="K40" i="10"/>
  <c r="D67" i="10"/>
  <c r="K50" i="10"/>
  <c r="G40" i="10"/>
  <c r="G67" i="10"/>
  <c r="L67" i="10"/>
  <c r="K67" i="10"/>
  <c r="G50" i="10"/>
  <c r="D40" i="10"/>
  <c r="D50" i="10"/>
  <c r="H50" i="10"/>
  <c r="I39" i="10"/>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C66" i="10" l="1"/>
  <c r="J39" i="10"/>
  <c r="I66" i="10"/>
  <c r="J66" i="10" s="1"/>
  <c r="F6" i="10"/>
  <c r="E66" i="10"/>
  <c r="F66" i="10" s="1"/>
  <c r="H22" i="44"/>
  <c r="C6" i="44"/>
  <c r="C10" i="46"/>
  <c r="C62" i="10"/>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K57" i="43"/>
  <c r="H57" i="43"/>
  <c r="G57" i="43"/>
  <c r="L57" i="43"/>
  <c r="D57" i="43"/>
  <c r="I73" i="43"/>
  <c r="I67" i="43" s="1"/>
  <c r="J57" i="43"/>
  <c r="I58" i="43"/>
  <c r="J58" i="43" s="1"/>
  <c r="E73" i="43"/>
  <c r="E67" i="43" s="1"/>
  <c r="F57" i="43"/>
  <c r="E58" i="43"/>
  <c r="F58" i="43" s="1"/>
  <c r="E62" i="10"/>
  <c r="K39" i="10"/>
  <c r="H39" i="10"/>
  <c r="D39" i="10"/>
  <c r="D14" i="46" s="1"/>
  <c r="G39" i="10"/>
  <c r="L39" i="10"/>
  <c r="J6" i="10"/>
  <c r="I62" i="10"/>
  <c r="L6" i="10"/>
  <c r="K6" i="10"/>
  <c r="H6" i="10"/>
  <c r="D6" i="10"/>
  <c r="D10" i="46" s="1"/>
  <c r="G6" i="10"/>
  <c r="C64" i="10" l="1"/>
  <c r="C72" i="10" s="1"/>
  <c r="C78" i="10" s="1"/>
  <c r="D6" i="44"/>
  <c r="J10" i="46" s="1"/>
  <c r="E49" i="44"/>
  <c r="F49" i="44" s="1"/>
  <c r="K66" i="10"/>
  <c r="I49" i="44"/>
  <c r="J49" i="44" s="1"/>
  <c r="G66" i="10"/>
  <c r="G6" i="44"/>
  <c r="C49" i="44"/>
  <c r="D49" i="44" s="1"/>
  <c r="I10" i="46"/>
  <c r="C45" i="44"/>
  <c r="K6" i="44"/>
  <c r="G27" i="44"/>
  <c r="C18" i="46"/>
  <c r="H6" i="44"/>
  <c r="L6" i="44"/>
  <c r="K27" i="44"/>
  <c r="L27" i="44"/>
  <c r="J6" i="44"/>
  <c r="I45" i="44"/>
  <c r="H27" i="44"/>
  <c r="F6" i="44"/>
  <c r="E45" i="44"/>
  <c r="J66" i="43"/>
  <c r="F66" i="43"/>
  <c r="L66" i="43"/>
  <c r="H66" i="43"/>
  <c r="D66" i="43"/>
  <c r="K66" i="43"/>
  <c r="G66" i="43"/>
  <c r="L58" i="43"/>
  <c r="H58" i="43"/>
  <c r="D58" i="43"/>
  <c r="K58" i="43"/>
  <c r="G58" i="43"/>
  <c r="E64" i="10"/>
  <c r="E72" i="10" s="1"/>
  <c r="E78" i="10" s="1"/>
  <c r="E73" i="10" s="1"/>
  <c r="F62" i="10"/>
  <c r="L62" i="10"/>
  <c r="H62" i="10"/>
  <c r="D62" i="10"/>
  <c r="D18" i="46" s="1"/>
  <c r="K62" i="10"/>
  <c r="G62" i="10"/>
  <c r="J62" i="10"/>
  <c r="I64" i="10"/>
  <c r="H66" i="10"/>
  <c r="L66" i="10"/>
  <c r="D66" i="10"/>
  <c r="I72" i="10" l="1"/>
  <c r="I78" i="10" s="1"/>
  <c r="I73" i="10" s="1"/>
  <c r="C73" i="10"/>
  <c r="C65" i="10"/>
  <c r="D45" i="44"/>
  <c r="J18" i="46" s="1"/>
  <c r="G45" i="44"/>
  <c r="I18" i="46"/>
  <c r="C47" i="44"/>
  <c r="L45" i="44"/>
  <c r="K45" i="44"/>
  <c r="K49" i="44"/>
  <c r="H49" i="44"/>
  <c r="L49" i="44"/>
  <c r="J45" i="44"/>
  <c r="I47" i="44"/>
  <c r="I56" i="44" s="1"/>
  <c r="H45" i="44"/>
  <c r="G49" i="44"/>
  <c r="E47" i="44"/>
  <c r="E56" i="44" s="1"/>
  <c r="F45" i="44"/>
  <c r="F73" i="43"/>
  <c r="F67" i="43"/>
  <c r="J73" i="43"/>
  <c r="J67" i="43"/>
  <c r="L72" i="10"/>
  <c r="J64" i="10"/>
  <c r="I65" i="10"/>
  <c r="J65" i="10" s="1"/>
  <c r="H64" i="10"/>
  <c r="D64" i="10"/>
  <c r="G64" i="10"/>
  <c r="K64" i="10"/>
  <c r="L64" i="10"/>
  <c r="F64" i="10"/>
  <c r="E65" i="10"/>
  <c r="J72" i="10" l="1"/>
  <c r="I63" i="44"/>
  <c r="I57" i="44" s="1"/>
  <c r="C48" i="44"/>
  <c r="D48" i="44" s="1"/>
  <c r="C56" i="44"/>
  <c r="C63" i="44" s="1"/>
  <c r="C57" i="44" s="1"/>
  <c r="K72" i="10"/>
  <c r="D72" i="10"/>
  <c r="H47" i="44"/>
  <c r="D47" i="44"/>
  <c r="L47" i="44"/>
  <c r="K47" i="44"/>
  <c r="J47" i="44"/>
  <c r="I48" i="44"/>
  <c r="J48" i="44" s="1"/>
  <c r="G47" i="44"/>
  <c r="E48" i="44"/>
  <c r="F48" i="44" s="1"/>
  <c r="F47" i="44"/>
  <c r="D78" i="10"/>
  <c r="L78" i="10"/>
  <c r="J73" i="10"/>
  <c r="J78" i="10"/>
  <c r="D65" i="10"/>
  <c r="H65" i="10"/>
  <c r="L65" i="10"/>
  <c r="K65" i="10"/>
  <c r="G65" i="10"/>
  <c r="F65" i="10"/>
  <c r="D56" i="44" l="1"/>
  <c r="K78" i="10"/>
  <c r="G48" i="44"/>
  <c r="D63" i="44"/>
  <c r="G56" i="44"/>
  <c r="E63" i="44"/>
  <c r="E57" i="44" s="1"/>
  <c r="K56" i="44"/>
  <c r="L48" i="44"/>
  <c r="H48" i="44"/>
  <c r="K48" i="44"/>
  <c r="J56" i="44"/>
  <c r="L56" i="44"/>
  <c r="H56" i="44"/>
  <c r="F56" i="44"/>
  <c r="K73" i="10"/>
  <c r="D73" i="10"/>
  <c r="L73" i="10"/>
  <c r="L63" i="44" l="1"/>
  <c r="D57" i="44"/>
  <c r="H63" i="44"/>
  <c r="K63" i="44"/>
  <c r="J63" i="44"/>
  <c r="J57" i="44"/>
  <c r="F63" i="44"/>
  <c r="F57" i="44"/>
  <c r="G63" i="44"/>
  <c r="L57" i="44" l="1"/>
  <c r="K57" i="44"/>
  <c r="G57" i="44"/>
  <c r="H57" i="44"/>
  <c r="K73" i="43"/>
  <c r="L73" i="43"/>
  <c r="H73" i="43"/>
  <c r="D73" i="43"/>
  <c r="K67" i="43"/>
  <c r="G73" i="43"/>
  <c r="D67" i="43" l="1"/>
  <c r="L67" i="43"/>
  <c r="G67" i="43"/>
  <c r="H67" i="43"/>
  <c r="G72" i="10"/>
  <c r="F72" i="10"/>
  <c r="H72" i="10"/>
  <c r="G73" i="10" l="1"/>
  <c r="H73" i="10"/>
  <c r="F73" i="10"/>
  <c r="G78" i="10"/>
  <c r="H78" i="10"/>
  <c r="F78" i="10"/>
</calcChain>
</file>

<file path=xl/sharedStrings.xml><?xml version="1.0" encoding="utf-8"?>
<sst xmlns="http://schemas.openxmlformats.org/spreadsheetml/2006/main" count="472" uniqueCount="194">
  <si>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</si>
  <si>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</si>
  <si>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</si>
  <si>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</si>
  <si>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</si>
  <si>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</si>
  <si>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</si>
  <si>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</si>
  <si>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</si>
  <si>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</si>
  <si>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</si>
  <si>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</si>
  <si>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</si>
  <si>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</si>
  <si>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</si>
  <si>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</si>
  <si>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</si>
  <si>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</si>
  <si>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</si>
  <si>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</si>
  <si>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</si>
  <si>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</si>
  <si>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</si>
  <si>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</si>
  <si>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</si>
  <si>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</si>
  <si>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</si>
  <si>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</si>
  <si>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</si>
  <si>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</si>
  <si>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</si>
  <si>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</si>
  <si>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</si>
  <si>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</si>
  <si>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</si>
  <si>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</si>
  <si>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</si>
  <si>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</si>
  <si>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</si>
  <si>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</si>
  <si>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</si>
  <si>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</si>
  <si>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</si>
  <si>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</si>
  <si>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</si>
  <si>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</si>
  <si>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</si>
  <si>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</si>
  <si>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</si>
  <si>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</si>
  <si>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</si>
  <si>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</si>
  <si>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</si>
  <si>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</si>
  <si>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</si>
  <si>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</si>
  <si>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</si>
  <si>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</si>
  <si>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</si>
  <si>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</si>
  <si>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</si>
  <si>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</si>
  <si>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</si>
  <si>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</si>
  <si>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</si>
  <si>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</si>
  <si>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</si>
  <si>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</si>
  <si>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</si>
  <si>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</si>
  <si>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</si>
  <si>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</si>
  <si>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</si>
  <si>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</si>
  <si>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</si>
  <si>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</si>
  <si>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</si>
  <si>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</si>
  <si>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</si>
  <si>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</si>
  <si>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</si>
  <si>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</si>
  <si>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</si>
  <si>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</si>
  <si>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</si>
  <si>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</si>
  <si>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</si>
  <si>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</si>
  <si>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</si>
  <si>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</si>
  <si>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</si>
  <si>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</si>
  <si>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</si>
  <si>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</si>
  <si>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</si>
  <si>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</si>
  <si>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</si>
  <si>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</si>
  <si>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</si>
  <si>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</si>
  <si>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</si>
  <si>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</si>
  <si>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</si>
  <si>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</si>
  <si>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</si>
  <si>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</si>
  <si>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</si>
  <si>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</si>
  <si>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</si>
  <si>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</si>
  <si>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</si>
  <si>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</si>
  <si>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</si>
  <si>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</si>
  <si>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</si>
  <si>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</si>
  <si>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</si>
  <si>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</si>
  <si>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</si>
  <si>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</si>
  <si>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</si>
  <si>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</si>
  <si>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</si>
  <si>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</si>
  <si>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</si>
  <si>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</si>
  <si>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</si>
  <si>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</si>
  <si>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</si>
  <si>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</si>
  <si>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</si>
  <si>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</si>
  <si>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</si>
  <si>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</si>
  <si>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</si>
  <si>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</si>
  <si>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</si>
  <si>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</si>
  <si>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</si>
  <si>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</si>
  <si>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</si>
  <si>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</si>
  <si>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</si>
  <si>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</si>
  <si>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</si>
  <si>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</si>
  <si>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</si>
  <si>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</si>
  <si>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</si>
  <si>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</si>
  <si>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</si>
  <si>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</si>
  <si>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</si>
  <si>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</si>
  <si>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</si>
  <si>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</si>
  <si>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</si>
  <si>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</si>
  <si>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</si>
  <si>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</si>
  <si>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</si>
  <si>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</si>
  <si>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</si>
  <si>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</si>
  <si>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</si>
  <si>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</si>
  <si>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</si>
  <si>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</si>
  <si>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</si>
  <si>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</si>
  <si>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</si>
  <si>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</si>
  <si>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</si>
  <si>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</si>
  <si>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</si>
  <si>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</si>
  <si>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</si>
  <si>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</si>
  <si>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</si>
  <si>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</si>
  <si>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</si>
  <si>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 xml:space="preserve">Ministarstvo finansija/ Ministry of finance </t>
  </si>
  <si>
    <t>Neto promjena obaveza</t>
  </si>
  <si>
    <t>Q 1 2023</t>
  </si>
  <si>
    <t>Plan Q 1 2023</t>
  </si>
  <si>
    <t>Q1  2022</t>
  </si>
  <si>
    <t>Q 1  2022</t>
  </si>
  <si>
    <t>Q 1 2022</t>
  </si>
  <si>
    <t>Donacije i transferi</t>
  </si>
  <si>
    <t>Naknada za komunalno opremanje građevinskog zemljišta</t>
  </si>
  <si>
    <t>Fee for communal equipment of construction land</t>
  </si>
  <si>
    <t>Primarni  suficit/deficit</t>
  </si>
  <si>
    <t xml:space="preserve">Primici od otplate kredita </t>
  </si>
  <si>
    <t>Primici od otplate kredita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</si>
</sst>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 numFmtId="179" formatCode="0.000000000000000000"/>
  </numFmts>
  <fonts count="32">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
      <b/>
      <sz val="10"/>
      <name val="Century Gothic"/>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26">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164" fontId="3" fillId="0" borderId="0" xfId="27" applyNumberFormat="1" applyFont="1"/>
    <xf numFmtId="165" fontId="0" fillId="0" borderId="0" xfId="0" applyNumberFormat="1"/>
    <xf numFmtId="174" fontId="17" fillId="0" borderId="1" xfId="0" applyNumberFormat="1" applyFont="1" applyBorder="1" applyAlignment="1">
      <alignment horizontal="right"/>
    </xf>
    <xf numFmtId="0" fontId="17" fillId="0" borderId="31" xfId="0" applyFont="1" applyBorder="1"/>
    <xf numFmtId="0" fontId="17" fillId="2" borderId="1" xfId="0" applyFont="1" applyFill="1" applyBorder="1"/>
    <xf numFmtId="0" fontId="31" fillId="0" borderId="1" xfId="0" applyFont="1" applyBorder="1"/>
    <xf numFmtId="174" fontId="17" fillId="5" borderId="1" xfId="0" applyNumberFormat="1" applyFont="1" applyFill="1" applyBorder="1" applyAlignment="1">
      <alignment horizontal="right"/>
    </xf>
    <xf numFmtId="174" fontId="16" fillId="0" borderId="1" xfId="0" applyNumberFormat="1" applyFont="1" applyBorder="1" applyAlignment="1">
      <alignment horizontal="right"/>
    </xf>
    <xf numFmtId="174" fontId="17" fillId="0" borderId="8" xfId="0" applyNumberFormat="1" applyFont="1" applyBorder="1" applyAlignment="1">
      <alignment horizontal="right"/>
    </xf>
    <xf numFmtId="0" fontId="16" fillId="0" borderId="0" xfId="27" applyFont="1" applyAlignment="1">
      <alignment horizontal="right"/>
    </xf>
    <xf numFmtId="0" fontId="17" fillId="0" borderId="0" xfId="27" applyFont="1" applyAlignment="1">
      <alignment horizontal="right"/>
    </xf>
    <xf numFmtId="0" fontId="17" fillId="0" borderId="1" xfId="0" applyFont="1" applyBorder="1" applyAlignment="1">
      <alignment horizontal="right"/>
    </xf>
    <xf numFmtId="174" fontId="17" fillId="3" borderId="1" xfId="0" applyNumberFormat="1" applyFont="1" applyFill="1" applyBorder="1" applyAlignment="1">
      <alignment horizontal="right"/>
    </xf>
    <xf numFmtId="0" fontId="17" fillId="0" borderId="1" xfId="27" applyFont="1" applyBorder="1" applyAlignment="1">
      <alignment horizontal="right"/>
    </xf>
    <xf numFmtId="174" fontId="17" fillId="4" borderId="1" xfId="0" applyNumberFormat="1" applyFont="1" applyFill="1" applyBorder="1" applyAlignment="1">
      <alignment horizontal="right"/>
    </xf>
    <xf numFmtId="0" fontId="17" fillId="0" borderId="1" xfId="0" applyFont="1" applyFill="1" applyBorder="1"/>
    <xf numFmtId="179" fontId="3" fillId="0" borderId="0" xfId="27" applyNumberFormat="1" applyFont="1"/>
    <xf numFmtId="178" fontId="17" fillId="0" borderId="1" xfId="0" applyNumberFormat="1" applyFont="1" applyBorder="1" applyAlignment="1">
      <alignment horizontal="right"/>
    </xf>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9" xfId="28" applyFont="1" applyBorder="1" applyAlignment="1">
      <alignment horizontal="center"/>
    </xf>
    <xf numFmtId="0" fontId="17" fillId="0" borderId="10" xfId="28"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xr:uid="{00000000-0005-0000-0000-000000000000}"/>
    <cellStyle name="1 indent 2" xfId="41" xr:uid="{00000000-0005-0000-0000-000001000000}"/>
    <cellStyle name="2 indents" xfId="2" xr:uid="{00000000-0005-0000-0000-000002000000}"/>
    <cellStyle name="2 indents 2" xfId="42" xr:uid="{00000000-0005-0000-0000-000003000000}"/>
    <cellStyle name="3 indents" xfId="3" xr:uid="{00000000-0005-0000-0000-000004000000}"/>
    <cellStyle name="3 indents 2" xfId="43" xr:uid="{00000000-0005-0000-0000-000005000000}"/>
    <cellStyle name="4 indents" xfId="4" xr:uid="{00000000-0005-0000-0000-000006000000}"/>
    <cellStyle name="4 indents 2" xfId="44" xr:uid="{00000000-0005-0000-0000-000007000000}"/>
    <cellStyle name="Currency 2" xfId="60" xr:uid="{00000000-0005-0000-0000-000008000000}"/>
    <cellStyle name="Date" xfId="5" xr:uid="{00000000-0005-0000-0000-000009000000}"/>
    <cellStyle name="Excel Built-in Normal" xfId="61" xr:uid="{00000000-0005-0000-0000-00000A000000}"/>
    <cellStyle name="F2" xfId="6" xr:uid="{00000000-0005-0000-0000-00000B000000}"/>
    <cellStyle name="F3" xfId="7" xr:uid="{00000000-0005-0000-0000-00000C000000}"/>
    <cellStyle name="F4" xfId="8" xr:uid="{00000000-0005-0000-0000-00000D000000}"/>
    <cellStyle name="F5" xfId="9" xr:uid="{00000000-0005-0000-0000-00000E000000}"/>
    <cellStyle name="F6" xfId="10" xr:uid="{00000000-0005-0000-0000-00000F000000}"/>
    <cellStyle name="F7" xfId="11" xr:uid="{00000000-0005-0000-0000-000010000000}"/>
    <cellStyle name="F8" xfId="12" xr:uid="{00000000-0005-0000-0000-000011000000}"/>
    <cellStyle name="Fixed" xfId="13" xr:uid="{00000000-0005-0000-0000-000012000000}"/>
    <cellStyle name="HEADING1" xfId="14" xr:uid="{00000000-0005-0000-0000-000013000000}"/>
    <cellStyle name="HEADING2" xfId="15" xr:uid="{00000000-0005-0000-0000-000014000000}"/>
    <cellStyle name="imf-one decimal" xfId="16" xr:uid="{00000000-0005-0000-0000-000015000000}"/>
    <cellStyle name="imf-one decimal 2" xfId="45" xr:uid="{00000000-0005-0000-0000-000016000000}"/>
    <cellStyle name="imf-zero decimal" xfId="17" xr:uid="{00000000-0005-0000-0000-000017000000}"/>
    <cellStyle name="imf-zero decimal 2" xfId="46" xr:uid="{00000000-0005-0000-0000-000018000000}"/>
    <cellStyle name="Label" xfId="18" xr:uid="{00000000-0005-0000-0000-000019000000}"/>
    <cellStyle name="Normal" xfId="0" builtinId="0"/>
    <cellStyle name="Normal - Style1" xfId="19" xr:uid="{00000000-0005-0000-0000-00001B000000}"/>
    <cellStyle name="Normal - Style2" xfId="20" xr:uid="{00000000-0005-0000-0000-00001C000000}"/>
    <cellStyle name="Normal - Style3" xfId="21" xr:uid="{00000000-0005-0000-0000-00001D000000}"/>
    <cellStyle name="Normal 10" xfId="22" xr:uid="{00000000-0005-0000-0000-00001E000000}"/>
    <cellStyle name="Normal 10 2" xfId="54" xr:uid="{00000000-0005-0000-0000-00001F000000}"/>
    <cellStyle name="Normal 11" xfId="23" xr:uid="{00000000-0005-0000-0000-000020000000}"/>
    <cellStyle name="Normal 11 2" xfId="55" xr:uid="{00000000-0005-0000-0000-000021000000}"/>
    <cellStyle name="Normal 12" xfId="24" xr:uid="{00000000-0005-0000-0000-000022000000}"/>
    <cellStyle name="Normal 12 2" xfId="56" xr:uid="{00000000-0005-0000-0000-000023000000}"/>
    <cellStyle name="Normal 13" xfId="40" xr:uid="{00000000-0005-0000-0000-000024000000}"/>
    <cellStyle name="Normal 15" xfId="25" xr:uid="{00000000-0005-0000-0000-000025000000}"/>
    <cellStyle name="Normal 16" xfId="26" xr:uid="{00000000-0005-0000-0000-000026000000}"/>
    <cellStyle name="Normal 2" xfId="27" xr:uid="{00000000-0005-0000-0000-000027000000}"/>
    <cellStyle name="Normal 2 2" xfId="28" xr:uid="{00000000-0005-0000-0000-000028000000}"/>
    <cellStyle name="Normal 2 2 2" xfId="59" xr:uid="{00000000-0005-0000-0000-000029000000}"/>
    <cellStyle name="Normal 3" xfId="29" xr:uid="{00000000-0005-0000-0000-00002A000000}"/>
    <cellStyle name="Normal 4" xfId="30" xr:uid="{00000000-0005-0000-0000-00002B000000}"/>
    <cellStyle name="Normal 4 2" xfId="57" xr:uid="{00000000-0005-0000-0000-00002C000000}"/>
    <cellStyle name="Normal 4 3" xfId="48" xr:uid="{00000000-0005-0000-0000-00002D000000}"/>
    <cellStyle name="Normal 48" xfId="31" xr:uid="{00000000-0005-0000-0000-00002E000000}"/>
    <cellStyle name="Normal 5" xfId="32" xr:uid="{00000000-0005-0000-0000-00002F000000}"/>
    <cellStyle name="Normal 5 2" xfId="49" xr:uid="{00000000-0005-0000-0000-000030000000}"/>
    <cellStyle name="Normal 6" xfId="33" xr:uid="{00000000-0005-0000-0000-000031000000}"/>
    <cellStyle name="Normal 6 2" xfId="50" xr:uid="{00000000-0005-0000-0000-000032000000}"/>
    <cellStyle name="Normal 7" xfId="34" xr:uid="{00000000-0005-0000-0000-000033000000}"/>
    <cellStyle name="Normal 7 2" xfId="51" xr:uid="{00000000-0005-0000-0000-000034000000}"/>
    <cellStyle name="Normal 8" xfId="35" xr:uid="{00000000-0005-0000-0000-000035000000}"/>
    <cellStyle name="Normal 8 2" xfId="52" xr:uid="{00000000-0005-0000-0000-000036000000}"/>
    <cellStyle name="Normal 9" xfId="36" xr:uid="{00000000-0005-0000-0000-000037000000}"/>
    <cellStyle name="Normal 9 2" xfId="53" xr:uid="{00000000-0005-0000-0000-000038000000}"/>
    <cellStyle name="Obično_KnjigaZIKS i Min pomorstva i saobracaja" xfId="37" xr:uid="{00000000-0005-0000-0000-000039000000}"/>
    <cellStyle name="Percent 2" xfId="58" xr:uid="{00000000-0005-0000-0000-00003A000000}"/>
    <cellStyle name="percentage difference" xfId="38" xr:uid="{00000000-0005-0000-0000-00003B000000}"/>
    <cellStyle name="percentage difference 2" xfId="47" xr:uid="{00000000-0005-0000-0000-00003C000000}"/>
    <cellStyle name="Publication" xfId="39"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2022.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2022.</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2"/>
  <sheetViews>
    <sheetView tabSelected="1" workbookViewId="0">
      <selection activeCell="G18" sqref="G18"/>
    </sheetView>
  </sheetViews>
  <sheetFormatPr defaultRowHeight="12.75"/>
  <cols>
    <col min="4" max="4" width="25.28515625" customWidth="1"/>
    <col min="7" max="7" width="24.28515625" customWidth="1"/>
    <col min="10" max="10" width="26.42578125" customWidth="1"/>
  </cols>
  <sheetData>
    <row r="2" spans="2:11">
      <c r="D2" s="67" t="s">
        <v>169</v>
      </c>
    </row>
    <row r="3" spans="2:11">
      <c r="D3" s="67" t="s">
        <v>181</v>
      </c>
    </row>
    <row r="4" spans="2:11">
      <c r="D4" s="67" t="s">
        <v>170</v>
      </c>
    </row>
    <row r="5" spans="2:11" ht="13.5" thickBot="1"/>
    <row r="6" spans="2:11">
      <c r="B6" s="45"/>
      <c r="C6" s="46"/>
      <c r="D6" s="46"/>
      <c r="E6" s="46"/>
      <c r="F6" s="46"/>
      <c r="G6" s="46"/>
      <c r="H6" s="46"/>
      <c r="I6" s="46"/>
      <c r="J6" s="46"/>
      <c r="K6" s="47"/>
    </row>
    <row r="7" spans="2:11">
      <c r="B7" s="48"/>
      <c r="C7" s="109" t="s">
        <v>163</v>
      </c>
      <c r="D7" s="109"/>
      <c r="E7" s="49"/>
      <c r="F7" s="109" t="s">
        <v>164</v>
      </c>
      <c r="G7" s="109"/>
      <c r="H7" s="49"/>
      <c r="I7" s="109" t="s">
        <v>165</v>
      </c>
      <c r="J7" s="109"/>
      <c r="K7" s="50"/>
    </row>
    <row r="8" spans="2:11">
      <c r="B8" s="48"/>
      <c r="C8" s="51"/>
      <c r="D8" s="49"/>
      <c r="E8" s="49"/>
      <c r="F8" s="49"/>
      <c r="G8" s="49"/>
      <c r="H8" s="49"/>
      <c r="I8" s="49"/>
      <c r="J8" s="49"/>
      <c r="K8" s="50"/>
    </row>
    <row r="9" spans="2:11" ht="15">
      <c r="B9" s="48"/>
      <c r="C9" s="52" t="s">
        <v>166</v>
      </c>
      <c r="D9" s="53"/>
      <c r="E9" s="53"/>
      <c r="F9" s="52" t="str">
        <f>+C9</f>
        <v>Prihodi/Revenues</v>
      </c>
      <c r="G9" s="54"/>
      <c r="H9" s="55"/>
      <c r="I9" s="52" t="str">
        <f>+F9</f>
        <v>Prihodi/Revenues</v>
      </c>
      <c r="J9" s="54"/>
      <c r="K9" s="50"/>
    </row>
    <row r="10" spans="2:11">
      <c r="B10" s="48"/>
      <c r="C10" s="56">
        <f>+'Centralna država-ek klas'!C6</f>
        <v>542437846.37999988</v>
      </c>
      <c r="D10" s="57">
        <f>+'Centralna država-ek klas'!D6</f>
        <v>8.7849876328830998</v>
      </c>
      <c r="E10" s="49"/>
      <c r="F10" s="58">
        <f>+'Lokalna država-ek klas '!C6</f>
        <v>64427629.090000004</v>
      </c>
      <c r="G10" s="57">
        <f>+'Lokalna država-ek klas '!D6</f>
        <v>1.0434300050205683</v>
      </c>
      <c r="H10" s="55"/>
      <c r="I10" s="58">
        <f>+'Opšta država-ek klas'!C6</f>
        <v>606865475.47000003</v>
      </c>
      <c r="J10" s="57">
        <f>+'Opšta država-ek klas'!D6</f>
        <v>9.8284176379036712</v>
      </c>
      <c r="K10" s="50"/>
    </row>
    <row r="11" spans="2:11">
      <c r="B11" s="48"/>
      <c r="C11" s="59" t="s">
        <v>161</v>
      </c>
      <c r="D11" s="59" t="s">
        <v>162</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167</v>
      </c>
      <c r="D13" s="55"/>
      <c r="E13" s="49"/>
      <c r="F13" s="52" t="str">
        <f>+C13</f>
        <v>Rashodi/Expenditures</v>
      </c>
      <c r="G13" s="54"/>
      <c r="H13" s="55"/>
      <c r="I13" s="52" t="str">
        <f>+F13</f>
        <v>Rashodi/Expenditures</v>
      </c>
      <c r="J13" s="54"/>
      <c r="K13" s="50"/>
    </row>
    <row r="14" spans="2:11">
      <c r="B14" s="48"/>
      <c r="C14" s="56">
        <f>+'Centralna država-ek klas'!C39</f>
        <v>478799480.85000008</v>
      </c>
      <c r="D14" s="57">
        <f>+'Centralna država-ek klas'!D39</f>
        <v>7.7543400519871746</v>
      </c>
      <c r="E14" s="49"/>
      <c r="F14" s="58">
        <f>+'Lokalna država-ek klas '!C37</f>
        <v>65290052.140000008</v>
      </c>
      <c r="G14" s="57">
        <f>+'Lokalna država-ek klas '!D37</f>
        <v>1.0573972749651799</v>
      </c>
      <c r="H14" s="55"/>
      <c r="I14" s="58">
        <f>+'Opšta država-ek klas'!C27</f>
        <v>544089532.99000001</v>
      </c>
      <c r="J14" s="57">
        <f>+'Opšta država-ek klas'!D27</f>
        <v>8.8117373269523522</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168</v>
      </c>
      <c r="D17" s="49"/>
      <c r="E17" s="49"/>
      <c r="F17" s="52" t="str">
        <f>+C17</f>
        <v>Budžetski bilans/ Budget balance</v>
      </c>
      <c r="G17" s="54"/>
      <c r="H17" s="55"/>
      <c r="I17" s="52" t="str">
        <f>+F17</f>
        <v>Budžetski bilans/ Budget balance</v>
      </c>
      <c r="J17" s="54"/>
      <c r="K17" s="50"/>
    </row>
    <row r="18" spans="2:11">
      <c r="B18" s="48"/>
      <c r="C18" s="56">
        <f>+'Centralna država-ek klas'!C62</f>
        <v>63638365.529999793</v>
      </c>
      <c r="D18" s="57">
        <f>+'Centralna država-ek klas'!D62</f>
        <v>1.030647580895925</v>
      </c>
      <c r="E18" s="49"/>
      <c r="F18" s="58">
        <f>+'Lokalna država-ek klas '!C55</f>
        <v>-862423.05000000447</v>
      </c>
      <c r="G18" s="57">
        <f>+'Lokalna država-ek klas '!D55</f>
        <v>-1.3967269944611871E-2</v>
      </c>
      <c r="H18" s="55"/>
      <c r="I18" s="58">
        <f>+'Opšta država-ek klas'!C45</f>
        <v>62775942.480000019</v>
      </c>
      <c r="J18" s="57">
        <f>+'Opšta država-ek klas'!D45</f>
        <v>1.0166803109513169</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2"/>
    </row>
    <row r="24" spans="2:11">
      <c r="D24" s="92"/>
    </row>
    <row r="25" spans="2:11">
      <c r="D25" s="92"/>
    </row>
    <row r="41" spans="19:19" ht="15">
      <c r="S41" s="68"/>
    </row>
    <row r="42" spans="19:19" ht="15">
      <c r="S42" s="68"/>
    </row>
  </sheetData>
  <sheetProtection algorithmName="SHA-512" hashValue="ZsNcrU6LVTpv+GqEECVmUkZ3Yr8sALOMJSMtAlO1ZDOnRvO5bsQEY/wzIfD5MgmeGuGcM0Q3L8BWO3TT8vq2ag==" saltValue="+Xxrbgs2FpGJr7vnSddos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A82"/>
  <sheetViews>
    <sheetView zoomScale="90" zoomScaleNormal="90" zoomScaleSheetLayoutView="90" workbookViewId="0">
      <pane ySplit="5" topLeftCell="A6" activePane="bottomLeft" state="frozen"/>
      <selection activeCell="G14" sqref="G14"/>
      <selection pane="bottomLeft" activeCell="C68" sqref="C68:C69"/>
    </sheetView>
  </sheetViews>
  <sheetFormatPr defaultColWidth="9.140625" defaultRowHeight="13.5"/>
  <cols>
    <col min="1" max="1" width="13.28515625" style="4" customWidth="1"/>
    <col min="2" max="2" width="65.7109375" style="4" bestFit="1" customWidth="1"/>
    <col min="3" max="3" width="12.28515625" style="6" customWidth="1"/>
    <col min="4" max="4" width="9.7109375" style="4" customWidth="1"/>
    <col min="5" max="5" width="10.5703125" style="6" customWidth="1"/>
    <col min="6" max="6" width="10.140625" style="7" customWidth="1"/>
    <col min="7" max="7" width="11.140625" style="6" customWidth="1"/>
    <col min="8" max="8" width="11" style="100" customWidth="1"/>
    <col min="9" max="9" width="11.140625" style="6" customWidth="1"/>
    <col min="10" max="10" width="10.28515625" style="7" customWidth="1"/>
    <col min="11" max="11" width="10.7109375" style="6" customWidth="1"/>
    <col min="12" max="12" width="11.140625" style="100" customWidth="1"/>
    <col min="13" max="13" width="54.42578125" style="4" customWidth="1"/>
    <col min="14" max="14" width="9.140625" style="1"/>
    <col min="15" max="16" width="13.85546875" style="1" bestFit="1" customWidth="1"/>
    <col min="17" max="16384" width="9.140625" style="1"/>
  </cols>
  <sheetData>
    <row r="1" spans="1:13" ht="18.75" customHeight="1" thickBot="1">
      <c r="B1" s="5"/>
      <c r="M1" s="5"/>
    </row>
    <row r="2" spans="1:13" ht="15.75" customHeight="1" thickBot="1">
      <c r="A2" s="8" t="s">
        <v>58</v>
      </c>
      <c r="B2" s="8"/>
      <c r="C2" s="118">
        <v>6174600000</v>
      </c>
      <c r="D2" s="119"/>
      <c r="E2" s="118">
        <v>6174600000</v>
      </c>
      <c r="F2" s="119"/>
      <c r="G2" s="9"/>
      <c r="H2" s="101"/>
      <c r="I2" s="118">
        <v>5796761000</v>
      </c>
      <c r="J2" s="119"/>
      <c r="K2" s="85"/>
      <c r="L2" s="101"/>
      <c r="M2" s="8" t="s">
        <v>78</v>
      </c>
    </row>
    <row r="3" spans="1:13" ht="15" customHeight="1" thickBot="1">
      <c r="A3" s="8"/>
      <c r="B3" s="8"/>
      <c r="C3" s="11"/>
      <c r="D3" s="8"/>
      <c r="E3" s="11"/>
      <c r="F3" s="10"/>
      <c r="G3" s="11"/>
      <c r="H3" s="101"/>
      <c r="I3" s="11"/>
      <c r="J3" s="10"/>
      <c r="K3" s="11"/>
      <c r="L3" s="101"/>
      <c r="M3" s="8"/>
    </row>
    <row r="4" spans="1:13" ht="15" customHeight="1">
      <c r="A4" s="110" t="s">
        <v>70</v>
      </c>
      <c r="B4" s="122" t="s">
        <v>71</v>
      </c>
      <c r="C4" s="114" t="s">
        <v>183</v>
      </c>
      <c r="D4" s="115"/>
      <c r="E4" s="116" t="s">
        <v>184</v>
      </c>
      <c r="F4" s="117"/>
      <c r="G4" s="112" t="s">
        <v>171</v>
      </c>
      <c r="H4" s="113"/>
      <c r="I4" s="112" t="s">
        <v>185</v>
      </c>
      <c r="J4" s="113"/>
      <c r="K4" s="112" t="s">
        <v>171</v>
      </c>
      <c r="L4" s="113"/>
      <c r="M4" s="120" t="s">
        <v>148</v>
      </c>
    </row>
    <row r="5" spans="1:13" ht="27" customHeight="1">
      <c r="A5" s="111"/>
      <c r="B5" s="123"/>
      <c r="C5" s="12" t="s">
        <v>61</v>
      </c>
      <c r="D5" s="13" t="s">
        <v>56</v>
      </c>
      <c r="E5" s="12" t="s">
        <v>61</v>
      </c>
      <c r="F5" s="13" t="s">
        <v>56</v>
      </c>
      <c r="G5" s="12" t="s">
        <v>64</v>
      </c>
      <c r="H5" s="102" t="s">
        <v>62</v>
      </c>
      <c r="I5" s="12" t="s">
        <v>61</v>
      </c>
      <c r="J5" s="14" t="s">
        <v>56</v>
      </c>
      <c r="K5" s="12" t="s">
        <v>61</v>
      </c>
      <c r="L5" s="104" t="s">
        <v>62</v>
      </c>
      <c r="M5" s="121"/>
    </row>
    <row r="6" spans="1:13" ht="15" customHeight="1">
      <c r="A6" s="15"/>
      <c r="B6" s="16" t="s">
        <v>51</v>
      </c>
      <c r="C6" s="17">
        <f>+C7+C15+C20+C25+C32+C37+C38</f>
        <v>542437846.37999988</v>
      </c>
      <c r="D6" s="39">
        <f>+C6/$C$2*100</f>
        <v>8.7849876328830998</v>
      </c>
      <c r="E6" s="17">
        <f>+E7+E15+E20+E25+E32+E37+E38</f>
        <v>482685720.63814229</v>
      </c>
      <c r="F6" s="39">
        <f>+E6/$E$2*100</f>
        <v>7.8172791863139688</v>
      </c>
      <c r="G6" s="17">
        <f>+C6-E6</f>
        <v>59752125.741857588</v>
      </c>
      <c r="H6" s="97">
        <f>+C6/E6*100-100</f>
        <v>12.379095379672989</v>
      </c>
      <c r="I6" s="17">
        <f>+I7+I15+I20+I25+I32+I37+I38</f>
        <v>415371429.71999997</v>
      </c>
      <c r="J6" s="39">
        <f>+I6/$I$2*100</f>
        <v>7.1655779791507692</v>
      </c>
      <c r="K6" s="17">
        <f>+C6-I6</f>
        <v>127066416.65999991</v>
      </c>
      <c r="L6" s="97">
        <f>+C6/I6*100-100</f>
        <v>30.591034329360298</v>
      </c>
      <c r="M6" s="82" t="s">
        <v>149</v>
      </c>
    </row>
    <row r="7" spans="1:13" ht="15" customHeight="1">
      <c r="A7" s="18">
        <v>711</v>
      </c>
      <c r="B7" s="19" t="s">
        <v>1</v>
      </c>
      <c r="C7" s="20">
        <f>+SUM(C8:C14)</f>
        <v>346379169.55999994</v>
      </c>
      <c r="D7" s="40">
        <f t="shared" ref="D7:D72" si="0">+C7/$C$2*100</f>
        <v>5.6097426482687123</v>
      </c>
      <c r="E7" s="20">
        <f>+SUM(E8:E14)</f>
        <v>326798154.78946209</v>
      </c>
      <c r="F7" s="40">
        <f t="shared" ref="F7:F38" si="1">+E7/$E$2*100</f>
        <v>5.2926206521792842</v>
      </c>
      <c r="G7" s="20">
        <f t="shared" ref="G7:G62" si="2">+C7-E7</f>
        <v>19581014.770537853</v>
      </c>
      <c r="H7" s="93">
        <f t="shared" ref="H7:H62" si="3">+C7/E7*100-100</f>
        <v>5.9917764172055428</v>
      </c>
      <c r="I7" s="20">
        <f>+SUM(I8:I14)</f>
        <v>300138813.94999999</v>
      </c>
      <c r="J7" s="40">
        <f t="shared" ref="J7:J72" si="4">+I7/$I$2*100</f>
        <v>5.1776986139328498</v>
      </c>
      <c r="K7" s="20">
        <f t="shared" ref="K7:K38" si="5">+C7-I7</f>
        <v>46240355.609999955</v>
      </c>
      <c r="L7" s="93">
        <f t="shared" ref="L7:L38" si="6">+C7/I7*100-100</f>
        <v>15.406323161423273</v>
      </c>
      <c r="M7" s="73" t="s">
        <v>79</v>
      </c>
    </row>
    <row r="8" spans="1:13" ht="15" customHeight="1">
      <c r="A8" s="21">
        <v>7111</v>
      </c>
      <c r="B8" s="22" t="s">
        <v>2</v>
      </c>
      <c r="C8" s="23">
        <v>9585491.3500000015</v>
      </c>
      <c r="D8" s="41">
        <f t="shared" si="0"/>
        <v>0.15524068522657339</v>
      </c>
      <c r="E8" s="23">
        <v>11059136.501156611</v>
      </c>
      <c r="F8" s="41">
        <f t="shared" si="1"/>
        <v>0.17910693002229475</v>
      </c>
      <c r="G8" s="23">
        <f t="shared" si="2"/>
        <v>-1473645.1511566099</v>
      </c>
      <c r="H8" s="98">
        <f t="shared" si="3"/>
        <v>-13.325137554839756</v>
      </c>
      <c r="I8" s="23">
        <v>20476917.02</v>
      </c>
      <c r="J8" s="41">
        <f t="shared" si="4"/>
        <v>0.35324756394131135</v>
      </c>
      <c r="K8" s="23">
        <f t="shared" si="5"/>
        <v>-10891425.669999998</v>
      </c>
      <c r="L8" s="98">
        <f t="shared" si="6"/>
        <v>-53.188796239991788</v>
      </c>
      <c r="M8" s="74" t="s">
        <v>80</v>
      </c>
    </row>
    <row r="9" spans="1:13" ht="15" customHeight="1">
      <c r="A9" s="21">
        <v>7112</v>
      </c>
      <c r="B9" s="22" t="s">
        <v>3</v>
      </c>
      <c r="C9" s="23">
        <v>42686712.359999999</v>
      </c>
      <c r="D9" s="41">
        <f t="shared" si="0"/>
        <v>0.69132757360800701</v>
      </c>
      <c r="E9" s="23">
        <v>55648606.200422123</v>
      </c>
      <c r="F9" s="41">
        <f t="shared" si="1"/>
        <v>0.90125038383736789</v>
      </c>
      <c r="G9" s="23">
        <f t="shared" si="2"/>
        <v>-12961893.840422124</v>
      </c>
      <c r="H9" s="98">
        <f t="shared" si="3"/>
        <v>-23.292396207982293</v>
      </c>
      <c r="I9" s="23">
        <v>41248279.109999999</v>
      </c>
      <c r="J9" s="41">
        <f t="shared" si="4"/>
        <v>0.71157460364503555</v>
      </c>
      <c r="K9" s="23">
        <f t="shared" si="5"/>
        <v>1438433.25</v>
      </c>
      <c r="L9" s="98">
        <f t="shared" si="6"/>
        <v>3.4872563923552349</v>
      </c>
      <c r="M9" s="74" t="s">
        <v>81</v>
      </c>
    </row>
    <row r="10" spans="1:13" ht="15" customHeight="1">
      <c r="A10" s="21">
        <v>7113</v>
      </c>
      <c r="B10" s="22" t="s">
        <v>4</v>
      </c>
      <c r="C10" s="23">
        <v>0</v>
      </c>
      <c r="D10" s="41">
        <f t="shared" si="0"/>
        <v>0</v>
      </c>
      <c r="E10" s="23">
        <v>0</v>
      </c>
      <c r="F10" s="41">
        <f t="shared" si="1"/>
        <v>0</v>
      </c>
      <c r="G10" s="23">
        <f t="shared" si="2"/>
        <v>0</v>
      </c>
      <c r="H10" s="98" t="e">
        <f t="shared" si="3"/>
        <v>#DIV/0!</v>
      </c>
      <c r="I10" s="23">
        <v>547993.65</v>
      </c>
      <c r="J10" s="41">
        <f t="shared" si="4"/>
        <v>9.4534456397288077E-3</v>
      </c>
      <c r="K10" s="23">
        <f t="shared" si="5"/>
        <v>-547993.65</v>
      </c>
      <c r="L10" s="98">
        <f t="shared" si="6"/>
        <v>-100</v>
      </c>
      <c r="M10" s="74" t="s">
        <v>82</v>
      </c>
    </row>
    <row r="11" spans="1:13" ht="15" customHeight="1">
      <c r="A11" s="21">
        <v>7114</v>
      </c>
      <c r="B11" s="22" t="s">
        <v>5</v>
      </c>
      <c r="C11" s="23">
        <v>221766123.17000002</v>
      </c>
      <c r="D11" s="41">
        <f t="shared" si="0"/>
        <v>3.5915868747773141</v>
      </c>
      <c r="E11" s="23">
        <v>194936321.93692654</v>
      </c>
      <c r="F11" s="41">
        <f t="shared" si="1"/>
        <v>3.1570680195790262</v>
      </c>
      <c r="G11" s="23">
        <f t="shared" si="2"/>
        <v>26829801.233073473</v>
      </c>
      <c r="H11" s="98">
        <f t="shared" si="3"/>
        <v>13.76336691207014</v>
      </c>
      <c r="I11" s="23">
        <v>171411208.22999999</v>
      </c>
      <c r="J11" s="41">
        <f t="shared" si="4"/>
        <v>2.9570170001833778</v>
      </c>
      <c r="K11" s="23">
        <f t="shared" si="5"/>
        <v>50354914.940000027</v>
      </c>
      <c r="L11" s="98">
        <f t="shared" si="6"/>
        <v>29.376675807823318</v>
      </c>
      <c r="M11" s="74" t="s">
        <v>83</v>
      </c>
    </row>
    <row r="12" spans="1:13" ht="15" customHeight="1">
      <c r="A12" s="21">
        <v>7115</v>
      </c>
      <c r="B12" s="22" t="s">
        <v>6</v>
      </c>
      <c r="C12" s="23">
        <v>58304564.960000001</v>
      </c>
      <c r="D12" s="41">
        <f t="shared" si="0"/>
        <v>0.94426464807436916</v>
      </c>
      <c r="E12" s="23">
        <v>55427131.607301913</v>
      </c>
      <c r="F12" s="41">
        <f t="shared" si="1"/>
        <v>0.89766351840284242</v>
      </c>
      <c r="G12" s="23">
        <f t="shared" si="2"/>
        <v>2877433.3526980877</v>
      </c>
      <c r="H12" s="98">
        <f t="shared" si="3"/>
        <v>5.1913805915206694</v>
      </c>
      <c r="I12" s="23">
        <v>56688234.68</v>
      </c>
      <c r="J12" s="41">
        <f t="shared" si="4"/>
        <v>0.97792947958351228</v>
      </c>
      <c r="K12" s="23">
        <f t="shared" si="5"/>
        <v>1616330.2800000012</v>
      </c>
      <c r="L12" s="98">
        <f t="shared" si="6"/>
        <v>2.8512623282838803</v>
      </c>
      <c r="M12" s="74" t="s">
        <v>84</v>
      </c>
    </row>
    <row r="13" spans="1:13" ht="15" customHeight="1">
      <c r="A13" s="21">
        <v>7116</v>
      </c>
      <c r="B13" s="22" t="s">
        <v>7</v>
      </c>
      <c r="C13" s="23">
        <v>11131991.879999999</v>
      </c>
      <c r="D13" s="41">
        <f t="shared" si="0"/>
        <v>0.18028685064619568</v>
      </c>
      <c r="E13" s="23">
        <v>7125244.4699986428</v>
      </c>
      <c r="F13" s="41">
        <f t="shared" si="1"/>
        <v>0.11539604946067183</v>
      </c>
      <c r="G13" s="23">
        <f t="shared" si="2"/>
        <v>4006747.4100013562</v>
      </c>
      <c r="H13" s="98">
        <f t="shared" si="3"/>
        <v>56.233121921248539</v>
      </c>
      <c r="I13" s="23">
        <v>7122968.6799999997</v>
      </c>
      <c r="J13" s="41">
        <f t="shared" si="4"/>
        <v>0.12287842607276718</v>
      </c>
      <c r="K13" s="23">
        <f t="shared" si="5"/>
        <v>4009023.1999999993</v>
      </c>
      <c r="L13" s="98">
        <f t="shared" si="6"/>
        <v>56.283038436721029</v>
      </c>
      <c r="M13" s="74" t="s">
        <v>85</v>
      </c>
    </row>
    <row r="14" spans="1:13" ht="15" customHeight="1">
      <c r="A14" s="21">
        <v>7118</v>
      </c>
      <c r="B14" s="22" t="s">
        <v>60</v>
      </c>
      <c r="C14" s="23">
        <v>2904285.84</v>
      </c>
      <c r="D14" s="41">
        <f t="shared" si="0"/>
        <v>4.7036015936254977E-2</v>
      </c>
      <c r="E14" s="23">
        <v>2601714.0736562368</v>
      </c>
      <c r="F14" s="41">
        <f t="shared" si="1"/>
        <v>4.2135750877080894E-2</v>
      </c>
      <c r="G14" s="23">
        <f t="shared" si="2"/>
        <v>302571.7663437631</v>
      </c>
      <c r="H14" s="98">
        <f t="shared" si="3"/>
        <v>11.629708637373554</v>
      </c>
      <c r="I14" s="23">
        <v>2643212.58</v>
      </c>
      <c r="J14" s="41">
        <f t="shared" si="4"/>
        <v>4.5598094867116308E-2</v>
      </c>
      <c r="K14" s="23">
        <f t="shared" si="5"/>
        <v>261073.25999999978</v>
      </c>
      <c r="L14" s="98">
        <f t="shared" si="6"/>
        <v>9.877119304569888</v>
      </c>
      <c r="M14" s="74" t="s">
        <v>86</v>
      </c>
    </row>
    <row r="15" spans="1:13" ht="15" customHeight="1">
      <c r="A15" s="18">
        <v>712</v>
      </c>
      <c r="B15" s="19" t="s">
        <v>8</v>
      </c>
      <c r="C15" s="20">
        <f>+SUM(C16:C19)</f>
        <v>99782844.020000011</v>
      </c>
      <c r="D15" s="40">
        <f t="shared" si="0"/>
        <v>1.616021183882357</v>
      </c>
      <c r="E15" s="20">
        <f>+SUM(E16:E19)</f>
        <v>84270133.819291562</v>
      </c>
      <c r="F15" s="40">
        <f t="shared" si="1"/>
        <v>1.3647869306399047</v>
      </c>
      <c r="G15" s="20">
        <f t="shared" si="2"/>
        <v>15512710.200708449</v>
      </c>
      <c r="H15" s="93">
        <f t="shared" si="3"/>
        <v>18.408313239390168</v>
      </c>
      <c r="I15" s="20">
        <f>+SUM(I16:I19)</f>
        <v>83772855.75</v>
      </c>
      <c r="J15" s="40">
        <f t="shared" si="4"/>
        <v>1.4451666327109225</v>
      </c>
      <c r="K15" s="20">
        <f t="shared" si="5"/>
        <v>16009988.270000011</v>
      </c>
      <c r="L15" s="93">
        <f t="shared" si="6"/>
        <v>19.111188375597436</v>
      </c>
      <c r="M15" s="73" t="s">
        <v>87</v>
      </c>
    </row>
    <row r="16" spans="1:13" ht="15" customHeight="1">
      <c r="A16" s="21">
        <v>7121</v>
      </c>
      <c r="B16" s="22" t="s">
        <v>9</v>
      </c>
      <c r="C16" s="23">
        <v>91227855.520000011</v>
      </c>
      <c r="D16" s="41">
        <f t="shared" si="0"/>
        <v>1.4774698850127945</v>
      </c>
      <c r="E16" s="23">
        <v>77585379.191223815</v>
      </c>
      <c r="F16" s="41">
        <f t="shared" si="1"/>
        <v>1.2565247820299907</v>
      </c>
      <c r="G16" s="23">
        <f t="shared" si="2"/>
        <v>13642476.328776196</v>
      </c>
      <c r="H16" s="98">
        <f t="shared" si="3"/>
        <v>17.583823744873044</v>
      </c>
      <c r="I16" s="23">
        <v>63808537.519999996</v>
      </c>
      <c r="J16" s="41">
        <f t="shared" si="4"/>
        <v>1.1007619172154932</v>
      </c>
      <c r="K16" s="23">
        <f t="shared" si="5"/>
        <v>27419318.000000015</v>
      </c>
      <c r="L16" s="98">
        <f t="shared" si="6"/>
        <v>42.971237181867338</v>
      </c>
      <c r="M16" s="74" t="s">
        <v>88</v>
      </c>
    </row>
    <row r="17" spans="1:13" ht="15" customHeight="1">
      <c r="A17" s="21">
        <v>7122</v>
      </c>
      <c r="B17" s="22" t="s">
        <v>10</v>
      </c>
      <c r="C17" s="23">
        <v>1370337.46</v>
      </c>
      <c r="D17" s="41">
        <f t="shared" si="0"/>
        <v>2.2193137369222297E-2</v>
      </c>
      <c r="E17" s="23">
        <v>300071.60608232487</v>
      </c>
      <c r="F17" s="41">
        <f t="shared" si="1"/>
        <v>4.8597740109857304E-3</v>
      </c>
      <c r="G17" s="23">
        <f t="shared" si="2"/>
        <v>1070265.8539176751</v>
      </c>
      <c r="H17" s="98">
        <f t="shared" si="3"/>
        <v>356.67015213163717</v>
      </c>
      <c r="I17" s="23">
        <v>15016477.529999999</v>
      </c>
      <c r="J17" s="41">
        <f t="shared" si="4"/>
        <v>0.25904945071911711</v>
      </c>
      <c r="K17" s="23">
        <f t="shared" si="5"/>
        <v>-13646140.07</v>
      </c>
      <c r="L17" s="98">
        <f t="shared" si="6"/>
        <v>-90.874441377731017</v>
      </c>
      <c r="M17" s="74" t="s">
        <v>89</v>
      </c>
    </row>
    <row r="18" spans="1:13" ht="15" customHeight="1">
      <c r="A18" s="21">
        <v>7123</v>
      </c>
      <c r="B18" s="22" t="s">
        <v>11</v>
      </c>
      <c r="C18" s="23">
        <v>4160698.2199999997</v>
      </c>
      <c r="D18" s="41">
        <f t="shared" si="0"/>
        <v>6.7384093220613478E-2</v>
      </c>
      <c r="E18" s="23">
        <v>3710712.829370901</v>
      </c>
      <c r="F18" s="41">
        <f t="shared" si="1"/>
        <v>6.0096408340149982E-2</v>
      </c>
      <c r="G18" s="23">
        <f t="shared" si="2"/>
        <v>449985.39062909875</v>
      </c>
      <c r="H18" s="98">
        <f t="shared" si="3"/>
        <v>12.126656287368576</v>
      </c>
      <c r="I18" s="23">
        <v>2901152.4699999997</v>
      </c>
      <c r="J18" s="41">
        <f t="shared" si="4"/>
        <v>5.0047819290807399E-2</v>
      </c>
      <c r="K18" s="23">
        <f t="shared" si="5"/>
        <v>1259545.75</v>
      </c>
      <c r="L18" s="98">
        <f t="shared" si="6"/>
        <v>43.415358655727601</v>
      </c>
      <c r="M18" s="74" t="s">
        <v>90</v>
      </c>
    </row>
    <row r="19" spans="1:13" ht="15" customHeight="1">
      <c r="A19" s="21">
        <v>7124</v>
      </c>
      <c r="B19" s="22" t="s">
        <v>12</v>
      </c>
      <c r="C19" s="23">
        <v>3023952.8200000003</v>
      </c>
      <c r="D19" s="41">
        <f t="shared" si="0"/>
        <v>4.8974068279726619E-2</v>
      </c>
      <c r="E19" s="23">
        <v>2673970.19261452</v>
      </c>
      <c r="F19" s="41">
        <f t="shared" si="1"/>
        <v>4.3305966258778215E-2</v>
      </c>
      <c r="G19" s="23">
        <f t="shared" si="2"/>
        <v>349982.62738548033</v>
      </c>
      <c r="H19" s="98">
        <f t="shared" si="3"/>
        <v>13.088501448225912</v>
      </c>
      <c r="I19" s="23">
        <v>2046688.23</v>
      </c>
      <c r="J19" s="41">
        <f t="shared" si="4"/>
        <v>3.5307445485504747E-2</v>
      </c>
      <c r="K19" s="23">
        <f t="shared" si="5"/>
        <v>977264.59000000032</v>
      </c>
      <c r="L19" s="98">
        <f t="shared" si="6"/>
        <v>47.748581130991312</v>
      </c>
      <c r="M19" s="74" t="s">
        <v>91</v>
      </c>
    </row>
    <row r="20" spans="1:13" ht="15" customHeight="1">
      <c r="A20" s="18">
        <v>713</v>
      </c>
      <c r="B20" s="19" t="s">
        <v>13</v>
      </c>
      <c r="C20" s="20">
        <f>+SUM(C21:C24)</f>
        <v>2748674.6799999997</v>
      </c>
      <c r="D20" s="40">
        <f t="shared" si="0"/>
        <v>4.4515833900171664E-2</v>
      </c>
      <c r="E20" s="20">
        <f>+SUM(E21:E24)</f>
        <v>2390971.0724276402</v>
      </c>
      <c r="F20" s="40">
        <f t="shared" si="1"/>
        <v>3.8722687662806336E-2</v>
      </c>
      <c r="G20" s="20">
        <f t="shared" si="2"/>
        <v>357703.6075723595</v>
      </c>
      <c r="H20" s="93">
        <f t="shared" si="3"/>
        <v>14.960599552932692</v>
      </c>
      <c r="I20" s="20">
        <f>+SUM(I21:I24)</f>
        <v>2420825.79</v>
      </c>
      <c r="J20" s="40">
        <f t="shared" si="4"/>
        <v>4.1761697437586266E-2</v>
      </c>
      <c r="K20" s="20">
        <f t="shared" si="5"/>
        <v>327848.88999999966</v>
      </c>
      <c r="L20" s="93">
        <f t="shared" si="6"/>
        <v>13.542853490502509</v>
      </c>
      <c r="M20" s="73" t="s">
        <v>92</v>
      </c>
    </row>
    <row r="21" spans="1:13" ht="15" customHeight="1">
      <c r="A21" s="21">
        <v>7131</v>
      </c>
      <c r="B21" s="22" t="s">
        <v>14</v>
      </c>
      <c r="C21" s="23">
        <v>2097716.7400000002</v>
      </c>
      <c r="D21" s="41">
        <f t="shared" si="0"/>
        <v>3.3973321996566587E-2</v>
      </c>
      <c r="E21" s="23">
        <v>1957198.7395784608</v>
      </c>
      <c r="F21" s="41">
        <f t="shared" si="1"/>
        <v>3.1697579431517194E-2</v>
      </c>
      <c r="G21" s="23">
        <f t="shared" si="2"/>
        <v>140518.00042153941</v>
      </c>
      <c r="H21" s="98">
        <f t="shared" si="3"/>
        <v>7.1795468482574307</v>
      </c>
      <c r="I21" s="23">
        <v>1937462.6</v>
      </c>
      <c r="J21" s="41">
        <f t="shared" si="4"/>
        <v>3.3423192710549908E-2</v>
      </c>
      <c r="K21" s="23">
        <f t="shared" si="5"/>
        <v>160254.14000000013</v>
      </c>
      <c r="L21" s="98">
        <f t="shared" si="6"/>
        <v>8.2713410829194913</v>
      </c>
      <c r="M21" s="74" t="s">
        <v>93</v>
      </c>
    </row>
    <row r="22" spans="1:13" ht="15" customHeight="1">
      <c r="A22" s="21">
        <v>7132</v>
      </c>
      <c r="B22" s="22" t="s">
        <v>15</v>
      </c>
      <c r="C22" s="23">
        <v>249498.57</v>
      </c>
      <c r="D22" s="41">
        <f t="shared" si="0"/>
        <v>4.0407244193955884E-3</v>
      </c>
      <c r="E22" s="23">
        <v>200237.62170818815</v>
      </c>
      <c r="F22" s="41">
        <f t="shared" si="1"/>
        <v>3.2429245895797001E-3</v>
      </c>
      <c r="G22" s="23">
        <f t="shared" si="2"/>
        <v>49260.948291811859</v>
      </c>
      <c r="H22" s="98">
        <f t="shared" si="3"/>
        <v>24.601245196370343</v>
      </c>
      <c r="I22" s="23">
        <v>225668.71</v>
      </c>
      <c r="J22" s="41">
        <f t="shared" si="4"/>
        <v>3.893013874472313E-3</v>
      </c>
      <c r="K22" s="23">
        <f t="shared" si="5"/>
        <v>23829.860000000015</v>
      </c>
      <c r="L22" s="98">
        <f t="shared" si="6"/>
        <v>10.559665094908382</v>
      </c>
      <c r="M22" s="74" t="s">
        <v>94</v>
      </c>
    </row>
    <row r="23" spans="1:13" ht="15" customHeight="1">
      <c r="A23" s="21">
        <v>7133</v>
      </c>
      <c r="B23" s="22" t="s">
        <v>16</v>
      </c>
      <c r="C23" s="23">
        <v>223866.03</v>
      </c>
      <c r="D23" s="41">
        <f t="shared" si="0"/>
        <v>3.625595666116024E-3</v>
      </c>
      <c r="E23" s="23">
        <v>100074.63708073704</v>
      </c>
      <c r="F23" s="41">
        <f t="shared" si="1"/>
        <v>1.6207468836967099E-3</v>
      </c>
      <c r="G23" s="23">
        <f t="shared" si="2"/>
        <v>123791.39291926296</v>
      </c>
      <c r="H23" s="98">
        <f t="shared" si="3"/>
        <v>123.69906754634741</v>
      </c>
      <c r="I23" s="23">
        <v>95647.6</v>
      </c>
      <c r="J23" s="41">
        <f t="shared" si="4"/>
        <v>1.6500180014321793E-3</v>
      </c>
      <c r="K23" s="23">
        <f t="shared" si="5"/>
        <v>128218.43</v>
      </c>
      <c r="L23" s="98">
        <f t="shared" si="6"/>
        <v>134.0529506229116</v>
      </c>
      <c r="M23" s="74" t="s">
        <v>95</v>
      </c>
    </row>
    <row r="24" spans="1:13" ht="15" customHeight="1">
      <c r="A24" s="21">
        <v>7136</v>
      </c>
      <c r="B24" s="22" t="s">
        <v>18</v>
      </c>
      <c r="C24" s="23">
        <v>177593.34</v>
      </c>
      <c r="D24" s="41">
        <f t="shared" si="0"/>
        <v>2.8761918180934798E-3</v>
      </c>
      <c r="E24" s="23">
        <v>133460.07406025447</v>
      </c>
      <c r="F24" s="41">
        <f t="shared" si="1"/>
        <v>2.1614367580127369E-3</v>
      </c>
      <c r="G24" s="23">
        <f t="shared" si="2"/>
        <v>44133.265939745528</v>
      </c>
      <c r="H24" s="98">
        <f t="shared" si="3"/>
        <v>33.06851599664202</v>
      </c>
      <c r="I24" s="23">
        <v>162046.88</v>
      </c>
      <c r="J24" s="41">
        <f t="shared" si="4"/>
        <v>2.7954728511318649E-3</v>
      </c>
      <c r="K24" s="23">
        <f t="shared" si="5"/>
        <v>15546.459999999992</v>
      </c>
      <c r="L24" s="98">
        <f t="shared" si="6"/>
        <v>9.5938039658646943</v>
      </c>
      <c r="M24" s="74" t="s">
        <v>96</v>
      </c>
    </row>
    <row r="25" spans="1:13" ht="15" customHeight="1">
      <c r="A25" s="18">
        <v>714</v>
      </c>
      <c r="B25" s="19" t="s">
        <v>19</v>
      </c>
      <c r="C25" s="20">
        <f>+SUM(C26:C31)</f>
        <v>18868186.140000001</v>
      </c>
      <c r="D25" s="40">
        <f t="shared" si="0"/>
        <v>0.30557746477504616</v>
      </c>
      <c r="E25" s="20">
        <f>+SUM(E26:E31)</f>
        <v>16454262.449208468</v>
      </c>
      <c r="F25" s="40">
        <f t="shared" si="1"/>
        <v>0.26648305071111439</v>
      </c>
      <c r="G25" s="20">
        <f t="shared" si="2"/>
        <v>2413923.6907915324</v>
      </c>
      <c r="H25" s="93">
        <f t="shared" si="3"/>
        <v>14.670506795688397</v>
      </c>
      <c r="I25" s="20">
        <f>+SUM(I26:I31)</f>
        <v>17330641.84</v>
      </c>
      <c r="J25" s="40">
        <f t="shared" si="4"/>
        <v>0.29897112956701166</v>
      </c>
      <c r="K25" s="20">
        <f t="shared" si="5"/>
        <v>1537544.3000000007</v>
      </c>
      <c r="L25" s="93">
        <f t="shared" si="6"/>
        <v>8.8718254880282075</v>
      </c>
      <c r="M25" s="73" t="s">
        <v>97</v>
      </c>
    </row>
    <row r="26" spans="1:13" ht="15" customHeight="1">
      <c r="A26" s="21">
        <v>7141</v>
      </c>
      <c r="B26" s="22" t="s">
        <v>20</v>
      </c>
      <c r="C26" s="23">
        <v>730065.7</v>
      </c>
      <c r="D26" s="41">
        <f t="shared" si="0"/>
        <v>1.1823692222978006E-2</v>
      </c>
      <c r="E26" s="23">
        <v>515001.47652942699</v>
      </c>
      <c r="F26" s="41">
        <f t="shared" si="1"/>
        <v>8.3406451677748676E-3</v>
      </c>
      <c r="G26" s="23">
        <f t="shared" si="2"/>
        <v>215064.22347057296</v>
      </c>
      <c r="H26" s="98">
        <f t="shared" si="3"/>
        <v>41.759923664662381</v>
      </c>
      <c r="I26" s="23">
        <v>647855.06999999995</v>
      </c>
      <c r="J26" s="41">
        <f t="shared" si="4"/>
        <v>1.1176156305219414E-2</v>
      </c>
      <c r="K26" s="23">
        <f t="shared" si="5"/>
        <v>82210.63</v>
      </c>
      <c r="L26" s="98">
        <f t="shared" si="6"/>
        <v>12.689663754580181</v>
      </c>
      <c r="M26" s="74" t="s">
        <v>98</v>
      </c>
    </row>
    <row r="27" spans="1:13" ht="15" customHeight="1">
      <c r="A27" s="21">
        <v>7142</v>
      </c>
      <c r="B27" s="22" t="s">
        <v>21</v>
      </c>
      <c r="C27" s="23">
        <v>946972.86</v>
      </c>
      <c r="D27" s="41">
        <f t="shared" si="0"/>
        <v>1.5336586337576523E-2</v>
      </c>
      <c r="E27" s="23">
        <v>475619.64142270503</v>
      </c>
      <c r="F27" s="41">
        <f t="shared" si="1"/>
        <v>7.702841340697454E-3</v>
      </c>
      <c r="G27" s="23">
        <f t="shared" si="2"/>
        <v>471353.21857729496</v>
      </c>
      <c r="H27" s="98">
        <f t="shared" si="3"/>
        <v>99.102975892112426</v>
      </c>
      <c r="I27" s="23">
        <v>442002.25</v>
      </c>
      <c r="J27" s="41">
        <f t="shared" si="4"/>
        <v>7.6249866089010739E-3</v>
      </c>
      <c r="K27" s="23">
        <f t="shared" si="5"/>
        <v>504970.61</v>
      </c>
      <c r="L27" s="98">
        <f t="shared" si="6"/>
        <v>114.24616277405826</v>
      </c>
      <c r="M27" s="74" t="s">
        <v>99</v>
      </c>
    </row>
    <row r="28" spans="1:13" ht="15" hidden="1" customHeight="1">
      <c r="A28" s="21">
        <v>7143</v>
      </c>
      <c r="B28" s="22" t="s">
        <v>22</v>
      </c>
      <c r="C28" s="23">
        <v>0</v>
      </c>
      <c r="D28" s="41">
        <f t="shared" si="0"/>
        <v>0</v>
      </c>
      <c r="E28" s="23">
        <v>0</v>
      </c>
      <c r="F28" s="41">
        <f t="shared" si="1"/>
        <v>0</v>
      </c>
      <c r="G28" s="23">
        <f t="shared" si="2"/>
        <v>0</v>
      </c>
      <c r="H28" s="98" t="e">
        <f t="shared" si="3"/>
        <v>#DIV/0!</v>
      </c>
      <c r="I28" s="23">
        <v>0</v>
      </c>
      <c r="J28" s="41">
        <f t="shared" si="4"/>
        <v>0</v>
      </c>
      <c r="K28" s="23">
        <f t="shared" si="5"/>
        <v>0</v>
      </c>
      <c r="L28" s="98" t="e">
        <f t="shared" si="6"/>
        <v>#DIV/0!</v>
      </c>
      <c r="M28" s="74" t="s">
        <v>100</v>
      </c>
    </row>
    <row r="29" spans="1:13" ht="15" customHeight="1">
      <c r="A29" s="21">
        <v>7144</v>
      </c>
      <c r="B29" s="22" t="s">
        <v>23</v>
      </c>
      <c r="C29" s="23">
        <v>2498257.0099999998</v>
      </c>
      <c r="D29" s="41">
        <f t="shared" si="0"/>
        <v>4.0460224306027914E-2</v>
      </c>
      <c r="E29" s="23">
        <v>2343341.6411395934</v>
      </c>
      <c r="F29" s="41">
        <f t="shared" si="1"/>
        <v>3.7951310872600549E-2</v>
      </c>
      <c r="G29" s="23">
        <f t="shared" si="2"/>
        <v>154915.36886040634</v>
      </c>
      <c r="H29" s="98">
        <f t="shared" si="3"/>
        <v>6.6108742379139045</v>
      </c>
      <c r="I29" s="23">
        <v>2148258.4700000002</v>
      </c>
      <c r="J29" s="41">
        <f t="shared" si="4"/>
        <v>3.705963502721607E-2</v>
      </c>
      <c r="K29" s="23">
        <f t="shared" si="5"/>
        <v>349998.53999999957</v>
      </c>
      <c r="L29" s="98">
        <f t="shared" si="6"/>
        <v>16.29219876880083</v>
      </c>
      <c r="M29" s="74" t="s">
        <v>101</v>
      </c>
    </row>
    <row r="30" spans="1:13" ht="15" customHeight="1">
      <c r="A30" s="21">
        <v>7148</v>
      </c>
      <c r="B30" s="22" t="s">
        <v>24</v>
      </c>
      <c r="C30" s="78">
        <v>647968.26</v>
      </c>
      <c r="D30" s="41">
        <f t="shared" si="0"/>
        <v>1.0494092896705861E-2</v>
      </c>
      <c r="E30" s="78">
        <v>530916.34667727095</v>
      </c>
      <c r="F30" s="41">
        <f t="shared" si="1"/>
        <v>8.598392554615213E-3</v>
      </c>
      <c r="G30" s="78">
        <f t="shared" si="2"/>
        <v>117051.91332272906</v>
      </c>
      <c r="H30" s="98">
        <f t="shared" si="3"/>
        <v>22.047148115761743</v>
      </c>
      <c r="I30" s="78">
        <v>521764.82</v>
      </c>
      <c r="J30" s="41">
        <f t="shared" si="4"/>
        <v>9.0009717495684229E-3</v>
      </c>
      <c r="K30" s="78">
        <f t="shared" si="5"/>
        <v>126203.44</v>
      </c>
      <c r="L30" s="98">
        <f t="shared" si="6"/>
        <v>24.187801699623975</v>
      </c>
      <c r="M30" s="74" t="s">
        <v>102</v>
      </c>
    </row>
    <row r="31" spans="1:13" ht="15" customHeight="1">
      <c r="A31" s="21">
        <v>7149</v>
      </c>
      <c r="B31" s="22" t="s">
        <v>25</v>
      </c>
      <c r="C31" s="78">
        <v>14044922.310000001</v>
      </c>
      <c r="D31" s="41">
        <f t="shared" si="0"/>
        <v>0.22746286901175783</v>
      </c>
      <c r="E31" s="78">
        <v>12589383.343439471</v>
      </c>
      <c r="F31" s="41">
        <f t="shared" si="1"/>
        <v>0.20388986077542626</v>
      </c>
      <c r="G31" s="78">
        <f t="shared" si="2"/>
        <v>1455538.9665605295</v>
      </c>
      <c r="H31" s="98">
        <f t="shared" si="3"/>
        <v>11.561638301522009</v>
      </c>
      <c r="I31" s="78">
        <v>13570761.23</v>
      </c>
      <c r="J31" s="41">
        <f t="shared" si="4"/>
        <v>0.23410937987610667</v>
      </c>
      <c r="K31" s="78">
        <f t="shared" si="5"/>
        <v>474161.08000000007</v>
      </c>
      <c r="L31" s="98">
        <f t="shared" si="6"/>
        <v>3.4939902925401327</v>
      </c>
      <c r="M31" s="74" t="s">
        <v>103</v>
      </c>
    </row>
    <row r="32" spans="1:13" ht="15" customHeight="1">
      <c r="A32" s="18">
        <v>715</v>
      </c>
      <c r="B32" s="19" t="s">
        <v>26</v>
      </c>
      <c r="C32" s="20">
        <f>+SUM(C33:C36)</f>
        <v>39918354.109999999</v>
      </c>
      <c r="D32" s="40">
        <f t="shared" si="0"/>
        <v>0.64649295679072327</v>
      </c>
      <c r="E32" s="20">
        <f>+SUM(E33:E36)</f>
        <v>38941555.54882095</v>
      </c>
      <c r="F32" s="40">
        <f t="shared" si="1"/>
        <v>0.63067333185665386</v>
      </c>
      <c r="G32" s="20">
        <f t="shared" si="2"/>
        <v>976798.56117904931</v>
      </c>
      <c r="H32" s="93">
        <f t="shared" si="3"/>
        <v>2.5083706786043365</v>
      </c>
      <c r="I32" s="20">
        <f>+SUM(I33:I36)</f>
        <v>4702279.24</v>
      </c>
      <c r="J32" s="40">
        <f t="shared" si="4"/>
        <v>8.1119080810818311E-2</v>
      </c>
      <c r="K32" s="20">
        <f t="shared" si="5"/>
        <v>35216074.869999997</v>
      </c>
      <c r="L32" s="93">
        <f t="shared" si="6"/>
        <v>748.91500637465322</v>
      </c>
      <c r="M32" s="73" t="s">
        <v>104</v>
      </c>
    </row>
    <row r="33" spans="1:105" ht="15" customHeight="1">
      <c r="A33" s="21">
        <v>7151</v>
      </c>
      <c r="B33" s="22" t="s">
        <v>27</v>
      </c>
      <c r="C33" s="78">
        <v>691171.2</v>
      </c>
      <c r="D33" s="41">
        <f t="shared" si="0"/>
        <v>1.1193780973666309E-2</v>
      </c>
      <c r="E33" s="78">
        <v>593079.02869384713</v>
      </c>
      <c r="F33" s="41">
        <f t="shared" si="1"/>
        <v>9.6051408786617283E-3</v>
      </c>
      <c r="G33" s="78">
        <f t="shared" si="2"/>
        <v>98092.171306152828</v>
      </c>
      <c r="H33" s="98">
        <f t="shared" si="3"/>
        <v>16.539477297348327</v>
      </c>
      <c r="I33" s="78">
        <v>344288.82</v>
      </c>
      <c r="J33" s="41">
        <f t="shared" si="4"/>
        <v>5.9393309470581936E-3</v>
      </c>
      <c r="K33" s="78">
        <f t="shared" si="5"/>
        <v>346882.37999999995</v>
      </c>
      <c r="L33" s="98">
        <f t="shared" si="6"/>
        <v>100.75330938715928</v>
      </c>
      <c r="M33" s="74" t="s">
        <v>105</v>
      </c>
    </row>
    <row r="34" spans="1:105" ht="15" customHeight="1">
      <c r="A34" s="21">
        <v>7152</v>
      </c>
      <c r="B34" s="22" t="s">
        <v>28</v>
      </c>
      <c r="C34" s="78">
        <v>3322168.49</v>
      </c>
      <c r="D34" s="41">
        <f t="shared" si="0"/>
        <v>5.380378469860396E-2</v>
      </c>
      <c r="E34" s="78">
        <v>2348328.5239799651</v>
      </c>
      <c r="F34" s="41">
        <f t="shared" si="1"/>
        <v>3.8032075340588299E-2</v>
      </c>
      <c r="G34" s="78">
        <f t="shared" si="2"/>
        <v>973839.96602003509</v>
      </c>
      <c r="H34" s="98">
        <f t="shared" si="3"/>
        <v>41.469494411691755</v>
      </c>
      <c r="I34" s="78">
        <v>2499880.46</v>
      </c>
      <c r="J34" s="41">
        <f t="shared" si="4"/>
        <v>4.3125470586073841E-2</v>
      </c>
      <c r="K34" s="78">
        <f t="shared" si="5"/>
        <v>822288.03000000026</v>
      </c>
      <c r="L34" s="98">
        <f t="shared" si="6"/>
        <v>32.893094016183511</v>
      </c>
      <c r="M34" s="74" t="s">
        <v>106</v>
      </c>
    </row>
    <row r="35" spans="1:105">
      <c r="A35" s="21">
        <v>7153</v>
      </c>
      <c r="B35" s="22" t="s">
        <v>29</v>
      </c>
      <c r="C35" s="78">
        <v>389598.14</v>
      </c>
      <c r="D35" s="41">
        <f t="shared" si="0"/>
        <v>6.3096903443138012E-3</v>
      </c>
      <c r="E35" s="78">
        <v>435449.0843231699</v>
      </c>
      <c r="F35" s="41">
        <f t="shared" si="1"/>
        <v>7.0522638603823708E-3</v>
      </c>
      <c r="G35" s="78">
        <f t="shared" si="2"/>
        <v>-45850.944323169882</v>
      </c>
      <c r="H35" s="98">
        <f t="shared" si="3"/>
        <v>-10.529576470332273</v>
      </c>
      <c r="I35" s="78">
        <v>356136.38</v>
      </c>
      <c r="J35" s="41">
        <f t="shared" si="4"/>
        <v>6.1437133599263451E-3</v>
      </c>
      <c r="K35" s="78">
        <f t="shared" si="5"/>
        <v>33461.760000000009</v>
      </c>
      <c r="L35" s="98">
        <f t="shared" si="6"/>
        <v>9.3957713615216818</v>
      </c>
      <c r="M35" s="74" t="s">
        <v>107</v>
      </c>
    </row>
    <row r="36" spans="1:105" s="3" customFormat="1" ht="15" customHeight="1">
      <c r="A36" s="21">
        <v>7155</v>
      </c>
      <c r="B36" s="22" t="s">
        <v>26</v>
      </c>
      <c r="C36" s="78">
        <v>35515416.280000001</v>
      </c>
      <c r="D36" s="41">
        <f t="shared" si="0"/>
        <v>0.57518570077413922</v>
      </c>
      <c r="E36" s="78">
        <v>35564698.911823966</v>
      </c>
      <c r="F36" s="41">
        <f t="shared" si="1"/>
        <v>0.57598385177702149</v>
      </c>
      <c r="G36" s="78">
        <f t="shared" si="2"/>
        <v>-49282.631823964417</v>
      </c>
      <c r="H36" s="98">
        <f t="shared" si="3"/>
        <v>-0.13857176731947618</v>
      </c>
      <c r="I36" s="78">
        <v>1501973.58</v>
      </c>
      <c r="J36" s="41">
        <f t="shared" si="4"/>
        <v>2.5910565917759937E-2</v>
      </c>
      <c r="K36" s="78">
        <f t="shared" si="5"/>
        <v>34013442.700000003</v>
      </c>
      <c r="L36" s="98">
        <f t="shared" si="6"/>
        <v>2264.5832891414775</v>
      </c>
      <c r="M36" s="74" t="s">
        <v>104</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row>
    <row r="37" spans="1:105" ht="15" customHeight="1">
      <c r="A37" s="18">
        <v>73</v>
      </c>
      <c r="B37" s="96" t="s">
        <v>192</v>
      </c>
      <c r="C37" s="20">
        <v>0</v>
      </c>
      <c r="D37" s="40">
        <f t="shared" si="0"/>
        <v>0</v>
      </c>
      <c r="E37" s="20">
        <v>830642.9589314796</v>
      </c>
      <c r="F37" s="40">
        <f t="shared" si="1"/>
        <v>1.3452579259085279E-2</v>
      </c>
      <c r="G37" s="20">
        <f t="shared" si="2"/>
        <v>-830642.9589314796</v>
      </c>
      <c r="H37" s="93">
        <f t="shared" si="3"/>
        <v>-100</v>
      </c>
      <c r="I37" s="20">
        <v>0</v>
      </c>
      <c r="J37" s="40">
        <f t="shared" si="4"/>
        <v>0</v>
      </c>
      <c r="K37" s="20">
        <f t="shared" si="5"/>
        <v>0</v>
      </c>
      <c r="L37" s="93" t="e">
        <f t="shared" si="6"/>
        <v>#DIV/0!</v>
      </c>
      <c r="M37" s="73" t="s">
        <v>108</v>
      </c>
    </row>
    <row r="38" spans="1:105" ht="15" customHeight="1">
      <c r="A38" s="18">
        <v>74</v>
      </c>
      <c r="B38" s="19" t="s">
        <v>188</v>
      </c>
      <c r="C38" s="20">
        <v>34740617.86999999</v>
      </c>
      <c r="D38" s="40">
        <f t="shared" si="0"/>
        <v>0.56263754526609</v>
      </c>
      <c r="E38" s="20">
        <v>13000000</v>
      </c>
      <c r="F38" s="40">
        <f t="shared" si="1"/>
        <v>0.21053995400511774</v>
      </c>
      <c r="G38" s="20">
        <f t="shared" si="2"/>
        <v>21740617.86999999</v>
      </c>
      <c r="H38" s="93">
        <f t="shared" si="3"/>
        <v>167.23552207692302</v>
      </c>
      <c r="I38" s="20">
        <v>7006013.1500000004</v>
      </c>
      <c r="J38" s="40">
        <f t="shared" si="4"/>
        <v>0.12086082469158207</v>
      </c>
      <c r="K38" s="20">
        <f t="shared" si="5"/>
        <v>27734604.719999991</v>
      </c>
      <c r="L38" s="93">
        <f t="shared" si="6"/>
        <v>395.86857926465626</v>
      </c>
      <c r="M38" s="73" t="s">
        <v>109</v>
      </c>
    </row>
    <row r="39" spans="1:105" ht="15" customHeight="1">
      <c r="A39" s="15"/>
      <c r="B39" s="16" t="s">
        <v>72</v>
      </c>
      <c r="C39" s="17">
        <f>+C40+C50+C56+C57+C58+C59+C60+C61</f>
        <v>478799480.85000008</v>
      </c>
      <c r="D39" s="39">
        <f t="shared" si="0"/>
        <v>7.7543400519871746</v>
      </c>
      <c r="E39" s="17">
        <f>+E40+E50+E56+E57+E58+E59+E60+E61</f>
        <v>574470493.05000007</v>
      </c>
      <c r="F39" s="39">
        <f t="shared" ref="F39:F78" si="7">+E39/$E$2*100</f>
        <v>9.303768552618795</v>
      </c>
      <c r="G39" s="17">
        <f t="shared" si="2"/>
        <v>-95671012.199999988</v>
      </c>
      <c r="H39" s="97">
        <f t="shared" si="3"/>
        <v>-16.653773058396766</v>
      </c>
      <c r="I39" s="17">
        <f>+I40+I50+I56+I57+I58+I59+I60+I61</f>
        <v>438564134.48999995</v>
      </c>
      <c r="J39" s="39">
        <f t="shared" si="4"/>
        <v>7.5656756331682464</v>
      </c>
      <c r="K39" s="17">
        <f t="shared" ref="K39:K61" si="8">+C39-I39</f>
        <v>40235346.360000134</v>
      </c>
      <c r="L39" s="97">
        <f t="shared" ref="L39:L61" si="9">+C39/I39*100-100</f>
        <v>9.1743357916828359</v>
      </c>
      <c r="M39" s="82" t="s">
        <v>110</v>
      </c>
    </row>
    <row r="40" spans="1:105" ht="15" customHeight="1">
      <c r="A40" s="18">
        <v>41</v>
      </c>
      <c r="B40" s="19" t="s">
        <v>69</v>
      </c>
      <c r="C40" s="20">
        <f>+SUM(C41:C49)</f>
        <v>208233480.48000002</v>
      </c>
      <c r="D40" s="40">
        <f t="shared" si="0"/>
        <v>3.372420569429599</v>
      </c>
      <c r="E40" s="20">
        <f>+SUM(E41:E49)</f>
        <v>233942582.84999996</v>
      </c>
      <c r="F40" s="40">
        <f t="shared" si="7"/>
        <v>3.7887892794674949</v>
      </c>
      <c r="G40" s="20">
        <f t="shared" si="2"/>
        <v>-25709102.369999945</v>
      </c>
      <c r="H40" s="93">
        <f t="shared" si="3"/>
        <v>-10.989492403135586</v>
      </c>
      <c r="I40" s="20">
        <f>+SUM(I41:I49)</f>
        <v>172072934.52999997</v>
      </c>
      <c r="J40" s="40">
        <f t="shared" si="4"/>
        <v>2.9684324492591632</v>
      </c>
      <c r="K40" s="20">
        <f t="shared" si="8"/>
        <v>36160545.950000048</v>
      </c>
      <c r="L40" s="93">
        <f t="shared" si="9"/>
        <v>21.01466221214217</v>
      </c>
      <c r="M40" s="73" t="s">
        <v>111</v>
      </c>
    </row>
    <row r="41" spans="1:105" ht="15" customHeight="1">
      <c r="A41" s="21">
        <v>411</v>
      </c>
      <c r="B41" s="22" t="s">
        <v>30</v>
      </c>
      <c r="C41" s="23">
        <v>152786714.53</v>
      </c>
      <c r="D41" s="41">
        <f t="shared" si="0"/>
        <v>2.474439065364558</v>
      </c>
      <c r="E41" s="23">
        <v>148322804.65999997</v>
      </c>
      <c r="F41" s="41">
        <f t="shared" si="7"/>
        <v>2.4021443439251122</v>
      </c>
      <c r="G41" s="23">
        <f t="shared" si="2"/>
        <v>4463909.8700000346</v>
      </c>
      <c r="H41" s="98">
        <f t="shared" si="3"/>
        <v>3.009591060681899</v>
      </c>
      <c r="I41" s="23">
        <v>129165744.60999998</v>
      </c>
      <c r="J41" s="41">
        <f t="shared" si="4"/>
        <v>2.2282399534843682</v>
      </c>
      <c r="K41" s="23">
        <f t="shared" si="8"/>
        <v>23620969.920000017</v>
      </c>
      <c r="L41" s="98">
        <f t="shared" si="9"/>
        <v>18.287333062895755</v>
      </c>
      <c r="M41" s="74" t="s">
        <v>112</v>
      </c>
    </row>
    <row r="42" spans="1:105" ht="15" customHeight="1">
      <c r="A42" s="21">
        <v>412</v>
      </c>
      <c r="B42" s="22" t="s">
        <v>31</v>
      </c>
      <c r="C42" s="23">
        <v>3401388.59</v>
      </c>
      <c r="D42" s="41">
        <f t="shared" si="0"/>
        <v>5.5086784407087093E-2</v>
      </c>
      <c r="E42" s="23">
        <v>4430760.53</v>
      </c>
      <c r="F42" s="41">
        <f t="shared" si="7"/>
        <v>7.1757855245683941E-2</v>
      </c>
      <c r="G42" s="23">
        <f t="shared" si="2"/>
        <v>-1029371.9400000004</v>
      </c>
      <c r="H42" s="98">
        <f t="shared" si="3"/>
        <v>-23.232398434315755</v>
      </c>
      <c r="I42" s="23">
        <v>2295546.14</v>
      </c>
      <c r="J42" s="41">
        <f t="shared" si="4"/>
        <v>3.9600496553161328E-2</v>
      </c>
      <c r="K42" s="23">
        <f t="shared" si="8"/>
        <v>1105842.4499999997</v>
      </c>
      <c r="L42" s="98">
        <f t="shared" si="9"/>
        <v>48.17339241109741</v>
      </c>
      <c r="M42" s="74" t="s">
        <v>113</v>
      </c>
    </row>
    <row r="43" spans="1:105" ht="15" customHeight="1">
      <c r="A43" s="21">
        <v>413</v>
      </c>
      <c r="B43" s="22" t="s">
        <v>73</v>
      </c>
      <c r="C43" s="23">
        <v>8011927.3300000001</v>
      </c>
      <c r="D43" s="41">
        <f t="shared" si="0"/>
        <v>0.12975621627311892</v>
      </c>
      <c r="E43" s="23">
        <v>12596181.370000001</v>
      </c>
      <c r="F43" s="41">
        <f t="shared" si="7"/>
        <v>0.20399995740614779</v>
      </c>
      <c r="G43" s="23">
        <f t="shared" si="2"/>
        <v>-4584254.040000001</v>
      </c>
      <c r="H43" s="98">
        <f t="shared" si="3"/>
        <v>-36.393998350311151</v>
      </c>
      <c r="I43" s="23">
        <v>6243831.7200000007</v>
      </c>
      <c r="J43" s="41">
        <f t="shared" si="4"/>
        <v>0.10771242285131301</v>
      </c>
      <c r="K43" s="23">
        <f t="shared" si="8"/>
        <v>1768095.6099999994</v>
      </c>
      <c r="L43" s="98">
        <f t="shared" si="9"/>
        <v>28.317476980305287</v>
      </c>
      <c r="M43" s="74" t="s">
        <v>114</v>
      </c>
    </row>
    <row r="44" spans="1:105" ht="15" customHeight="1">
      <c r="A44" s="21">
        <v>414</v>
      </c>
      <c r="B44" s="22" t="s">
        <v>74</v>
      </c>
      <c r="C44" s="23">
        <v>11633914.16</v>
      </c>
      <c r="D44" s="41">
        <f t="shared" si="0"/>
        <v>0.18841567324199138</v>
      </c>
      <c r="E44" s="23">
        <v>15656442.909999989</v>
      </c>
      <c r="F44" s="41">
        <f t="shared" si="7"/>
        <v>0.25356205924270381</v>
      </c>
      <c r="G44" s="23">
        <f t="shared" si="2"/>
        <v>-4022528.7499999888</v>
      </c>
      <c r="H44" s="98">
        <f t="shared" si="3"/>
        <v>-25.692481830791479</v>
      </c>
      <c r="I44" s="23">
        <v>8438931.1999999993</v>
      </c>
      <c r="J44" s="41">
        <f t="shared" si="4"/>
        <v>0.14558011275607188</v>
      </c>
      <c r="K44" s="23">
        <f t="shared" si="8"/>
        <v>3194982.9600000009</v>
      </c>
      <c r="L44" s="98">
        <f t="shared" si="9"/>
        <v>37.86004275043743</v>
      </c>
      <c r="M44" s="74" t="s">
        <v>115</v>
      </c>
    </row>
    <row r="45" spans="1:105" ht="15.75" customHeight="1">
      <c r="A45" s="21">
        <v>415</v>
      </c>
      <c r="B45" s="22" t="s">
        <v>32</v>
      </c>
      <c r="C45" s="23">
        <v>3897439.7500000009</v>
      </c>
      <c r="D45" s="41">
        <f t="shared" si="0"/>
        <v>6.3120521977132138E-2</v>
      </c>
      <c r="E45" s="23">
        <v>7616851.7600000016</v>
      </c>
      <c r="F45" s="41">
        <f t="shared" si="7"/>
        <v>0.1233578168626308</v>
      </c>
      <c r="G45" s="23">
        <f t="shared" si="2"/>
        <v>-3719412.0100000007</v>
      </c>
      <c r="H45" s="98">
        <f t="shared" si="3"/>
        <v>-48.831356145494944</v>
      </c>
      <c r="I45" s="23">
        <v>3645836.35</v>
      </c>
      <c r="J45" s="41">
        <f t="shared" si="4"/>
        <v>6.2894370666653335E-2</v>
      </c>
      <c r="K45" s="23">
        <f t="shared" si="8"/>
        <v>251603.40000000084</v>
      </c>
      <c r="L45" s="98">
        <f t="shared" si="9"/>
        <v>6.9011161183907888</v>
      </c>
      <c r="M45" s="74" t="s">
        <v>116</v>
      </c>
    </row>
    <row r="46" spans="1:105" ht="15" customHeight="1">
      <c r="A46" s="21">
        <v>416</v>
      </c>
      <c r="B46" s="22" t="s">
        <v>33</v>
      </c>
      <c r="C46" s="23">
        <v>8133595.3600000003</v>
      </c>
      <c r="D46" s="41">
        <f t="shared" si="0"/>
        <v>0.13172667638389532</v>
      </c>
      <c r="E46" s="23">
        <v>9885259.5199999996</v>
      </c>
      <c r="F46" s="41">
        <f t="shared" si="7"/>
        <v>0.16009554497457323</v>
      </c>
      <c r="G46" s="23">
        <f t="shared" si="2"/>
        <v>-1751664.1599999992</v>
      </c>
      <c r="H46" s="98">
        <f t="shared" si="3"/>
        <v>-17.719961286357801</v>
      </c>
      <c r="I46" s="23">
        <v>6074189</v>
      </c>
      <c r="J46" s="41">
        <f t="shared" si="4"/>
        <v>0.10478591406476824</v>
      </c>
      <c r="K46" s="23">
        <f t="shared" si="8"/>
        <v>2059406.3600000003</v>
      </c>
      <c r="L46" s="98">
        <f t="shared" si="9"/>
        <v>33.904219312240713</v>
      </c>
      <c r="M46" s="74" t="s">
        <v>117</v>
      </c>
    </row>
    <row r="47" spans="1:105" ht="15" customHeight="1">
      <c r="A47" s="21">
        <v>417</v>
      </c>
      <c r="B47" s="22" t="s">
        <v>34</v>
      </c>
      <c r="C47" s="23">
        <v>1794783.3199999998</v>
      </c>
      <c r="D47" s="41">
        <f t="shared" si="0"/>
        <v>2.9067199818611732E-2</v>
      </c>
      <c r="E47" s="23">
        <v>2845116.1799999992</v>
      </c>
      <c r="F47" s="41">
        <f t="shared" si="7"/>
        <v>4.60777407443397E-2</v>
      </c>
      <c r="G47" s="23">
        <f t="shared" si="2"/>
        <v>-1050332.8599999994</v>
      </c>
      <c r="H47" s="98">
        <f t="shared" si="3"/>
        <v>-36.91704638929717</v>
      </c>
      <c r="I47" s="23">
        <v>1562563.38</v>
      </c>
      <c r="J47" s="41">
        <f t="shared" si="4"/>
        <v>2.6955801351823887E-2</v>
      </c>
      <c r="K47" s="23">
        <f t="shared" si="8"/>
        <v>232219.93999999994</v>
      </c>
      <c r="L47" s="98">
        <f t="shared" si="9"/>
        <v>14.86147333108498</v>
      </c>
      <c r="M47" s="74" t="s">
        <v>118</v>
      </c>
    </row>
    <row r="48" spans="1:105" ht="15" customHeight="1">
      <c r="A48" s="21">
        <v>418</v>
      </c>
      <c r="B48" s="22" t="s">
        <v>35</v>
      </c>
      <c r="C48" s="23">
        <v>9637612.6499999985</v>
      </c>
      <c r="D48" s="41">
        <f t="shared" si="0"/>
        <v>0.15608480954231851</v>
      </c>
      <c r="E48" s="23">
        <v>16454153.910000002</v>
      </c>
      <c r="F48" s="41">
        <f t="shared" si="7"/>
        <v>0.26648129287727146</v>
      </c>
      <c r="G48" s="23">
        <f t="shared" si="2"/>
        <v>-6816541.2600000035</v>
      </c>
      <c r="H48" s="98">
        <f t="shared" si="3"/>
        <v>-41.427479633925479</v>
      </c>
      <c r="I48" s="23">
        <v>7927885.1399999997</v>
      </c>
      <c r="J48" s="41">
        <f t="shared" si="4"/>
        <v>0.13676405047577431</v>
      </c>
      <c r="K48" s="23">
        <f t="shared" si="8"/>
        <v>1709727.5099999988</v>
      </c>
      <c r="L48" s="98">
        <f t="shared" si="9"/>
        <v>21.565997486184557</v>
      </c>
      <c r="M48" s="74" t="s">
        <v>119</v>
      </c>
    </row>
    <row r="49" spans="1:15" ht="15" customHeight="1">
      <c r="A49" s="21">
        <v>419</v>
      </c>
      <c r="B49" s="22" t="s">
        <v>36</v>
      </c>
      <c r="C49" s="23">
        <v>8936104.7899999991</v>
      </c>
      <c r="D49" s="41">
        <f t="shared" si="0"/>
        <v>0.14472362242088554</v>
      </c>
      <c r="E49" s="23">
        <v>16135012.010000002</v>
      </c>
      <c r="F49" s="41">
        <f t="shared" si="7"/>
        <v>0.26131266818903254</v>
      </c>
      <c r="G49" s="23">
        <f t="shared" si="2"/>
        <v>-7198907.2200000025</v>
      </c>
      <c r="H49" s="98">
        <f t="shared" si="3"/>
        <v>-44.616683368678835</v>
      </c>
      <c r="I49" s="23">
        <v>6718406.9900000002</v>
      </c>
      <c r="J49" s="41">
        <f t="shared" si="4"/>
        <v>0.11589932705522964</v>
      </c>
      <c r="K49" s="23">
        <f t="shared" si="8"/>
        <v>2217697.7999999989</v>
      </c>
      <c r="L49" s="98">
        <f t="shared" si="9"/>
        <v>33.009280374066776</v>
      </c>
      <c r="M49" s="74" t="s">
        <v>120</v>
      </c>
    </row>
    <row r="50" spans="1:15" ht="15" customHeight="1">
      <c r="A50" s="18">
        <v>42</v>
      </c>
      <c r="B50" s="19" t="s">
        <v>37</v>
      </c>
      <c r="C50" s="20">
        <f>+SUM(C51:C55)</f>
        <v>192948664.26999998</v>
      </c>
      <c r="D50" s="40">
        <f t="shared" si="0"/>
        <v>3.1248771462119</v>
      </c>
      <c r="E50" s="20">
        <f>+SUM(E51:E55)</f>
        <v>193817713.71000001</v>
      </c>
      <c r="F50" s="40">
        <f t="shared" si="7"/>
        <v>3.1389517330677288</v>
      </c>
      <c r="G50" s="20">
        <f t="shared" si="2"/>
        <v>-869049.44000002742</v>
      </c>
      <c r="H50" s="93">
        <f t="shared" si="3"/>
        <v>-0.44838494034675591</v>
      </c>
      <c r="I50" s="20">
        <f>+SUM(I51:I55)</f>
        <v>142775723.26999998</v>
      </c>
      <c r="J50" s="40">
        <f t="shared" si="4"/>
        <v>2.4630258737595008</v>
      </c>
      <c r="K50" s="20">
        <f t="shared" si="8"/>
        <v>50172941</v>
      </c>
      <c r="L50" s="93">
        <f t="shared" si="9"/>
        <v>35.141086909515479</v>
      </c>
      <c r="M50" s="73" t="s">
        <v>121</v>
      </c>
    </row>
    <row r="51" spans="1:15" ht="15" customHeight="1">
      <c r="A51" s="21">
        <v>421</v>
      </c>
      <c r="B51" s="22" t="s">
        <v>38</v>
      </c>
      <c r="C51" s="23">
        <v>52452756.899999999</v>
      </c>
      <c r="D51" s="41">
        <f t="shared" si="0"/>
        <v>0.84949238655135551</v>
      </c>
      <c r="E51" s="23">
        <v>47534245.5</v>
      </c>
      <c r="F51" s="41">
        <f t="shared" si="7"/>
        <v>0.76983522009522876</v>
      </c>
      <c r="G51" s="23">
        <f t="shared" si="2"/>
        <v>4918511.3999999985</v>
      </c>
      <c r="H51" s="98">
        <f t="shared" si="3"/>
        <v>10.347300873851054</v>
      </c>
      <c r="I51" s="23">
        <v>24977494.689999998</v>
      </c>
      <c r="J51" s="41">
        <f t="shared" si="4"/>
        <v>0.43088708832397948</v>
      </c>
      <c r="K51" s="23">
        <f t="shared" si="8"/>
        <v>27475262.210000001</v>
      </c>
      <c r="L51" s="98">
        <f t="shared" si="9"/>
        <v>110.00007226905751</v>
      </c>
      <c r="M51" s="74" t="s">
        <v>122</v>
      </c>
    </row>
    <row r="52" spans="1:15" ht="15" customHeight="1">
      <c r="A52" s="21">
        <v>422</v>
      </c>
      <c r="B52" s="22" t="s">
        <v>39</v>
      </c>
      <c r="C52" s="23">
        <v>4297370.43</v>
      </c>
      <c r="D52" s="41">
        <f t="shared" si="0"/>
        <v>6.9597551744242536E-2</v>
      </c>
      <c r="E52" s="23">
        <v>5727452.0100000007</v>
      </c>
      <c r="F52" s="41">
        <f t="shared" si="7"/>
        <v>9.2758267903993788E-2</v>
      </c>
      <c r="G52" s="23">
        <f t="shared" si="2"/>
        <v>-1430081.580000001</v>
      </c>
      <c r="H52" s="98">
        <f t="shared" si="3"/>
        <v>-24.968896771253796</v>
      </c>
      <c r="I52" s="23">
        <v>4939208.09</v>
      </c>
      <c r="J52" s="41">
        <f t="shared" si="4"/>
        <v>8.5206343508038365E-2</v>
      </c>
      <c r="K52" s="23">
        <f t="shared" si="8"/>
        <v>-641837.66000000015</v>
      </c>
      <c r="L52" s="98">
        <f t="shared" si="9"/>
        <v>-12.994748313995416</v>
      </c>
      <c r="M52" s="74" t="s">
        <v>123</v>
      </c>
    </row>
    <row r="53" spans="1:15">
      <c r="A53" s="21">
        <v>423</v>
      </c>
      <c r="B53" s="22" t="s">
        <v>40</v>
      </c>
      <c r="C53" s="23">
        <v>129293534.31999999</v>
      </c>
      <c r="D53" s="41">
        <f t="shared" si="0"/>
        <v>2.0939580591455313</v>
      </c>
      <c r="E53" s="23">
        <v>132541016.20000002</v>
      </c>
      <c r="F53" s="41">
        <f t="shared" si="7"/>
        <v>2.146552265733813</v>
      </c>
      <c r="G53" s="23">
        <f t="shared" si="2"/>
        <v>-3247481.880000025</v>
      </c>
      <c r="H53" s="98">
        <f t="shared" si="3"/>
        <v>-2.4501712549869694</v>
      </c>
      <c r="I53" s="23">
        <v>107573776.69999999</v>
      </c>
      <c r="J53" s="41">
        <f t="shared" si="4"/>
        <v>1.8557566320226069</v>
      </c>
      <c r="K53" s="23">
        <f t="shared" si="8"/>
        <v>21719757.620000005</v>
      </c>
      <c r="L53" s="98">
        <f t="shared" si="9"/>
        <v>20.190569008813114</v>
      </c>
      <c r="M53" s="74" t="s">
        <v>124</v>
      </c>
    </row>
    <row r="54" spans="1:15" ht="15" customHeight="1">
      <c r="A54" s="21">
        <v>424</v>
      </c>
      <c r="B54" s="22" t="s">
        <v>41</v>
      </c>
      <c r="C54" s="23">
        <v>4682418.76</v>
      </c>
      <c r="D54" s="41">
        <f t="shared" si="0"/>
        <v>7.5833556181776951E-2</v>
      </c>
      <c r="E54" s="23">
        <v>5265000</v>
      </c>
      <c r="F54" s="41">
        <f t="shared" si="7"/>
        <v>8.5268681372072677E-2</v>
      </c>
      <c r="G54" s="23">
        <f t="shared" si="2"/>
        <v>-582581.24000000022</v>
      </c>
      <c r="H54" s="98">
        <f t="shared" si="3"/>
        <v>-11.065170750237414</v>
      </c>
      <c r="I54" s="23">
        <v>2782473.65</v>
      </c>
      <c r="J54" s="41">
        <f t="shared" si="4"/>
        <v>4.8000489411241895E-2</v>
      </c>
      <c r="K54" s="23">
        <f t="shared" si="8"/>
        <v>1899945.1099999999</v>
      </c>
      <c r="L54" s="98">
        <f t="shared" si="9"/>
        <v>68.282591283479007</v>
      </c>
      <c r="M54" s="74" t="s">
        <v>125</v>
      </c>
    </row>
    <row r="55" spans="1:15" ht="15" customHeight="1">
      <c r="A55" s="21">
        <v>425</v>
      </c>
      <c r="B55" s="22" t="s">
        <v>42</v>
      </c>
      <c r="C55" s="23">
        <v>2222583.86</v>
      </c>
      <c r="D55" s="41">
        <f t="shared" si="0"/>
        <v>3.5995592588993618E-2</v>
      </c>
      <c r="E55" s="23">
        <v>2750000</v>
      </c>
      <c r="F55" s="41">
        <f t="shared" si="7"/>
        <v>4.4537297962621056E-2</v>
      </c>
      <c r="G55" s="23">
        <f t="shared" si="2"/>
        <v>-527416.14000000013</v>
      </c>
      <c r="H55" s="98">
        <f t="shared" si="3"/>
        <v>-19.17876872727274</v>
      </c>
      <c r="I55" s="23">
        <v>2502770.14</v>
      </c>
      <c r="J55" s="41">
        <f t="shared" si="4"/>
        <v>4.3175320493634289E-2</v>
      </c>
      <c r="K55" s="23">
        <f t="shared" si="8"/>
        <v>-280186.28000000026</v>
      </c>
      <c r="L55" s="98">
        <f t="shared" si="9"/>
        <v>-11.195046461597954</v>
      </c>
      <c r="M55" s="74" t="s">
        <v>126</v>
      </c>
      <c r="O55" s="80"/>
    </row>
    <row r="56" spans="1:15" ht="15" customHeight="1">
      <c r="A56" s="18">
        <v>43</v>
      </c>
      <c r="B56" s="79" t="s">
        <v>43</v>
      </c>
      <c r="C56" s="20">
        <v>55588779.660000011</v>
      </c>
      <c r="D56" s="40">
        <f t="shared" si="0"/>
        <v>0.90028147021669436</v>
      </c>
      <c r="E56" s="20">
        <v>72276713.680000007</v>
      </c>
      <c r="F56" s="40">
        <f t="shared" si="7"/>
        <v>1.1705489210637128</v>
      </c>
      <c r="G56" s="20">
        <f t="shared" si="2"/>
        <v>-16687934.019999996</v>
      </c>
      <c r="H56" s="93">
        <f t="shared" si="3"/>
        <v>-23.08894963581858</v>
      </c>
      <c r="I56" s="20">
        <v>62392622.010000005</v>
      </c>
      <c r="J56" s="40">
        <f t="shared" si="4"/>
        <v>1.0763359401914276</v>
      </c>
      <c r="K56" s="20">
        <f t="shared" si="8"/>
        <v>-6803842.349999994</v>
      </c>
      <c r="L56" s="93">
        <f t="shared" si="9"/>
        <v>-10.904882870461037</v>
      </c>
      <c r="M56" s="73" t="s">
        <v>127</v>
      </c>
    </row>
    <row r="57" spans="1:15" ht="15" customHeight="1">
      <c r="A57" s="18">
        <v>44</v>
      </c>
      <c r="B57" s="19" t="s">
        <v>65</v>
      </c>
      <c r="C57" s="20">
        <v>14983133.249999998</v>
      </c>
      <c r="D57" s="40">
        <f t="shared" si="0"/>
        <v>0.2426575527159654</v>
      </c>
      <c r="E57" s="20">
        <v>57170262.539999999</v>
      </c>
      <c r="F57" s="40">
        <f t="shared" si="7"/>
        <v>0.92589418812554658</v>
      </c>
      <c r="G57" s="20">
        <f t="shared" si="2"/>
        <v>-42187129.289999999</v>
      </c>
      <c r="H57" s="93">
        <f t="shared" si="3"/>
        <v>-73.792085982608825</v>
      </c>
      <c r="I57" s="20">
        <v>35660860.789999999</v>
      </c>
      <c r="J57" s="40">
        <f t="shared" si="4"/>
        <v>0.61518597696196209</v>
      </c>
      <c r="K57" s="20">
        <f t="shared" si="8"/>
        <v>-20677727.539999999</v>
      </c>
      <c r="L57" s="93">
        <f t="shared" si="9"/>
        <v>-57.984375816857565</v>
      </c>
      <c r="M57" s="73" t="s">
        <v>128</v>
      </c>
    </row>
    <row r="58" spans="1:15" ht="15" customHeight="1">
      <c r="A58" s="18">
        <v>45</v>
      </c>
      <c r="B58" s="19" t="s">
        <v>44</v>
      </c>
      <c r="C58" s="20">
        <v>0</v>
      </c>
      <c r="D58" s="40">
        <f t="shared" si="0"/>
        <v>0</v>
      </c>
      <c r="E58" s="20">
        <v>1504807</v>
      </c>
      <c r="F58" s="40">
        <f t="shared" si="7"/>
        <v>2.4370922812813785E-2</v>
      </c>
      <c r="G58" s="20">
        <f t="shared" si="2"/>
        <v>-1504807</v>
      </c>
      <c r="H58" s="93">
        <f t="shared" si="3"/>
        <v>-100</v>
      </c>
      <c r="I58" s="20">
        <v>0</v>
      </c>
      <c r="J58" s="40">
        <f t="shared" si="4"/>
        <v>0</v>
      </c>
      <c r="K58" s="20">
        <f t="shared" si="8"/>
        <v>0</v>
      </c>
      <c r="L58" s="93" t="e">
        <f t="shared" si="9"/>
        <v>#DIV/0!</v>
      </c>
      <c r="M58" s="73" t="s">
        <v>129</v>
      </c>
      <c r="N58" s="91"/>
    </row>
    <row r="59" spans="1:15" ht="15" customHeight="1">
      <c r="A59" s="18">
        <v>462</v>
      </c>
      <c r="B59" s="19" t="s">
        <v>45</v>
      </c>
      <c r="C59" s="20">
        <v>1168915.48</v>
      </c>
      <c r="D59" s="40">
        <f t="shared" si="0"/>
        <v>1.8931031645774626E-2</v>
      </c>
      <c r="E59" s="20">
        <v>0.48</v>
      </c>
      <c r="F59" s="40">
        <f t="shared" si="7"/>
        <v>7.7737829171120401E-9</v>
      </c>
      <c r="G59" s="20">
        <f t="shared" si="2"/>
        <v>1168915</v>
      </c>
      <c r="H59" s="108">
        <f t="shared" si="3"/>
        <v>243523958.33333334</v>
      </c>
      <c r="I59" s="20">
        <v>0</v>
      </c>
      <c r="J59" s="40">
        <f t="shared" si="4"/>
        <v>0</v>
      </c>
      <c r="K59" s="20">
        <f t="shared" si="8"/>
        <v>1168915.48</v>
      </c>
      <c r="L59" s="93" t="e">
        <f t="shared" si="9"/>
        <v>#DIV/0!</v>
      </c>
      <c r="M59" s="73" t="s">
        <v>130</v>
      </c>
    </row>
    <row r="60" spans="1:15" ht="15" customHeight="1">
      <c r="A60" s="18">
        <v>463</v>
      </c>
      <c r="B60" s="19" t="s">
        <v>46</v>
      </c>
      <c r="C60" s="20">
        <v>4139970.7299999995</v>
      </c>
      <c r="D60" s="40">
        <f t="shared" si="0"/>
        <v>6.7048403621287209E-2</v>
      </c>
      <c r="E60" s="20">
        <v>6729137.2000000132</v>
      </c>
      <c r="F60" s="40">
        <f t="shared" si="7"/>
        <v>0.10898094127554843</v>
      </c>
      <c r="G60" s="20">
        <f t="shared" si="2"/>
        <v>-2589166.4700000137</v>
      </c>
      <c r="H60" s="93">
        <f t="shared" si="3"/>
        <v>-38.476945751678372</v>
      </c>
      <c r="I60" s="20">
        <v>23798819.629999995</v>
      </c>
      <c r="J60" s="40">
        <f t="shared" si="4"/>
        <v>0.41055374941281858</v>
      </c>
      <c r="K60" s="20">
        <f t="shared" si="8"/>
        <v>-19658848.899999995</v>
      </c>
      <c r="L60" s="93">
        <f t="shared" si="9"/>
        <v>-82.604302253792071</v>
      </c>
      <c r="M60" s="73" t="s">
        <v>131</v>
      </c>
    </row>
    <row r="61" spans="1:15" ht="15" customHeight="1">
      <c r="A61" s="18">
        <v>47</v>
      </c>
      <c r="B61" s="19" t="s">
        <v>47</v>
      </c>
      <c r="C61" s="20">
        <v>1736536.98</v>
      </c>
      <c r="D61" s="40">
        <f t="shared" si="0"/>
        <v>2.8123878145952772E-2</v>
      </c>
      <c r="E61" s="20">
        <v>9029275.5899999999</v>
      </c>
      <c r="F61" s="40">
        <f t="shared" si="7"/>
        <v>0.14623255903216403</v>
      </c>
      <c r="G61" s="20">
        <f t="shared" si="2"/>
        <v>-7292738.6099999994</v>
      </c>
      <c r="H61" s="93">
        <f t="shared" si="3"/>
        <v>-80.767704311481765</v>
      </c>
      <c r="I61" s="20">
        <v>1863174.26</v>
      </c>
      <c r="J61" s="40">
        <f t="shared" si="4"/>
        <v>3.2141643583373541E-2</v>
      </c>
      <c r="K61" s="20">
        <f t="shared" si="8"/>
        <v>-126637.28000000003</v>
      </c>
      <c r="L61" s="93">
        <f t="shared" si="9"/>
        <v>-6.7968564572161938</v>
      </c>
      <c r="M61" s="73" t="s">
        <v>132</v>
      </c>
    </row>
    <row r="62" spans="1:15" s="2" customFormat="1" ht="15" customHeight="1">
      <c r="A62" s="15"/>
      <c r="B62" s="16" t="s">
        <v>77</v>
      </c>
      <c r="C62" s="17">
        <f>+C6-C39</f>
        <v>63638365.529999793</v>
      </c>
      <c r="D62" s="39">
        <f t="shared" si="0"/>
        <v>1.030647580895925</v>
      </c>
      <c r="E62" s="17">
        <f>+E6-E39</f>
        <v>-91784772.411857784</v>
      </c>
      <c r="F62" s="39">
        <f t="shared" si="7"/>
        <v>-1.486489366304826</v>
      </c>
      <c r="G62" s="17">
        <f t="shared" si="2"/>
        <v>155423137.94185758</v>
      </c>
      <c r="H62" s="97">
        <f t="shared" si="3"/>
        <v>-169.33433930025006</v>
      </c>
      <c r="I62" s="17">
        <f>+I6-I39</f>
        <v>-23192704.769999981</v>
      </c>
      <c r="J62" s="39">
        <f t="shared" si="4"/>
        <v>-0.40009765401747599</v>
      </c>
      <c r="K62" s="17">
        <f t="shared" ref="K62" si="10">+C62-I62</f>
        <v>86831070.299999774</v>
      </c>
      <c r="L62" s="97">
        <f t="shared" ref="L62" si="11">+C62/I62*100-100</f>
        <v>-374.38958138387</v>
      </c>
      <c r="M62" s="82" t="s">
        <v>134</v>
      </c>
    </row>
    <row r="63" spans="1:15" ht="15" hidden="1" customHeight="1">
      <c r="A63" s="94"/>
      <c r="B63" s="95" t="s">
        <v>182</v>
      </c>
      <c r="C63" s="20">
        <v>0</v>
      </c>
      <c r="D63" s="40">
        <f t="shared" si="0"/>
        <v>0</v>
      </c>
      <c r="E63" s="20">
        <v>0</v>
      </c>
      <c r="F63" s="40">
        <f t="shared" si="7"/>
        <v>0</v>
      </c>
      <c r="G63" s="20">
        <f t="shared" ref="G63:G64" si="12">+C63-E63</f>
        <v>0</v>
      </c>
      <c r="H63" s="93" t="e">
        <f t="shared" ref="H63:H64" si="13">+C63/E63*100-100</f>
        <v>#DIV/0!</v>
      </c>
      <c r="I63" s="20">
        <v>0</v>
      </c>
      <c r="J63" s="40">
        <f t="shared" si="4"/>
        <v>0</v>
      </c>
      <c r="K63" s="20">
        <f t="shared" ref="K63:K64" si="14">+C63-I63</f>
        <v>0</v>
      </c>
      <c r="L63" s="93" t="e">
        <f t="shared" ref="L63:L64" si="15">+C63/I63*100-100</f>
        <v>#DIV/0!</v>
      </c>
      <c r="M63" s="73" t="s">
        <v>133</v>
      </c>
    </row>
    <row r="64" spans="1:15" s="2" customFormat="1" ht="15" hidden="1" customHeight="1">
      <c r="A64" s="15"/>
      <c r="B64" s="16" t="s">
        <v>59</v>
      </c>
      <c r="C64" s="17">
        <f>+C62-C63</f>
        <v>63638365.529999793</v>
      </c>
      <c r="D64" s="39">
        <f t="shared" si="0"/>
        <v>1.030647580895925</v>
      </c>
      <c r="E64" s="17">
        <f>+E62-E63</f>
        <v>-91784772.411857784</v>
      </c>
      <c r="F64" s="39">
        <f t="shared" si="7"/>
        <v>-1.486489366304826</v>
      </c>
      <c r="G64" s="17">
        <f t="shared" si="12"/>
        <v>155423137.94185758</v>
      </c>
      <c r="H64" s="97">
        <f t="shared" si="13"/>
        <v>-169.33433930025006</v>
      </c>
      <c r="I64" s="17">
        <f>+I62-I63</f>
        <v>-23192704.769999981</v>
      </c>
      <c r="J64" s="39">
        <f t="shared" si="4"/>
        <v>-0.40009765401747599</v>
      </c>
      <c r="K64" s="17">
        <f t="shared" si="14"/>
        <v>86831070.299999774</v>
      </c>
      <c r="L64" s="97">
        <f t="shared" si="15"/>
        <v>-374.38958138387</v>
      </c>
      <c r="M64" s="82" t="s">
        <v>137</v>
      </c>
    </row>
    <row r="65" spans="1:13" s="2" customFormat="1" ht="15" customHeight="1">
      <c r="A65" s="15"/>
      <c r="B65" s="16" t="s">
        <v>191</v>
      </c>
      <c r="C65" s="17">
        <f>+C64+C46</f>
        <v>71771960.889999792</v>
      </c>
      <c r="D65" s="39">
        <f t="shared" si="0"/>
        <v>1.1623742572798204</v>
      </c>
      <c r="E65" s="17">
        <f>+E64+E46</f>
        <v>-81899512.891857788</v>
      </c>
      <c r="F65" s="39">
        <f t="shared" si="7"/>
        <v>-1.3263938213302529</v>
      </c>
      <c r="G65" s="17">
        <f t="shared" ref="G65" si="16">+C65-E65</f>
        <v>153671473.78185758</v>
      </c>
      <c r="H65" s="97">
        <f t="shared" ref="H65" si="17">+C65/E65*100-100</f>
        <v>-187.63417309303088</v>
      </c>
      <c r="I65" s="17">
        <f>+I64+I46</f>
        <v>-17118515.769999981</v>
      </c>
      <c r="J65" s="39">
        <f t="shared" si="4"/>
        <v>-0.29531173995270776</v>
      </c>
      <c r="K65" s="17">
        <f t="shared" ref="K65" si="18">+C65-I65</f>
        <v>88890476.659999773</v>
      </c>
      <c r="L65" s="97">
        <f t="shared" ref="L65" si="19">+C65/I65*100-100</f>
        <v>-519.26509198758572</v>
      </c>
      <c r="M65" s="82" t="s">
        <v>136</v>
      </c>
    </row>
    <row r="66" spans="1:13" s="2" customFormat="1" ht="15" customHeight="1">
      <c r="A66" s="15"/>
      <c r="B66" s="16" t="s">
        <v>76</v>
      </c>
      <c r="C66" s="17">
        <f>+C6-(C39-C57)</f>
        <v>78621498.779999793</v>
      </c>
      <c r="D66" s="39">
        <f t="shared" si="0"/>
        <v>1.2733051336118906</v>
      </c>
      <c r="E66" s="17">
        <f>+E6-(E39-E57)</f>
        <v>-34614509.871857762</v>
      </c>
      <c r="F66" s="39">
        <f>+E66/$E$2*100</f>
        <v>-0.56059517817927895</v>
      </c>
      <c r="G66" s="17">
        <f>+C66-E66</f>
        <v>113236008.65185755</v>
      </c>
      <c r="H66" s="97">
        <f t="shared" ref="H66" si="20">+C66/E66*100-100</f>
        <v>-327.13451402621342</v>
      </c>
      <c r="I66" s="17">
        <f>+I6-(I39-I57)</f>
        <v>12468156.020000041</v>
      </c>
      <c r="J66" s="39">
        <f t="shared" si="4"/>
        <v>0.21508832294448643</v>
      </c>
      <c r="K66" s="17">
        <f>+C66-I66</f>
        <v>66153342.759999752</v>
      </c>
      <c r="L66" s="97">
        <f t="shared" ref="L66" si="21">+C66/I66*100-100</f>
        <v>530.57840031744763</v>
      </c>
      <c r="M66" s="82" t="s">
        <v>135</v>
      </c>
    </row>
    <row r="67" spans="1:13" s="2" customFormat="1" ht="15" customHeight="1">
      <c r="A67" s="15"/>
      <c r="B67" s="16" t="s">
        <v>0</v>
      </c>
      <c r="C67" s="17">
        <f>+C68+C69</f>
        <v>43784839.219999999</v>
      </c>
      <c r="D67" s="39">
        <f t="shared" si="0"/>
        <v>0.70911215657694426</v>
      </c>
      <c r="E67" s="17">
        <f>+E68+E69</f>
        <v>46649550.840000004</v>
      </c>
      <c r="F67" s="39">
        <f t="shared" si="7"/>
        <v>0.75550725293946175</v>
      </c>
      <c r="G67" s="17">
        <f t="shared" ref="G67" si="22">+C67-E67</f>
        <v>-2864711.6200000048</v>
      </c>
      <c r="H67" s="97">
        <f t="shared" ref="H67" si="23">+C67/E67*100-100</f>
        <v>-6.1409200483526121</v>
      </c>
      <c r="I67" s="17">
        <f>+I68+I69</f>
        <v>54311943.090000004</v>
      </c>
      <c r="J67" s="39">
        <f t="shared" si="4"/>
        <v>0.93693604221391924</v>
      </c>
      <c r="K67" s="17">
        <f t="shared" ref="K67" si="24">+C67-I67</f>
        <v>-10527103.870000005</v>
      </c>
      <c r="L67" s="97">
        <f t="shared" ref="L67" si="25">+C67/I67*100-100</f>
        <v>-19.382668472301944</v>
      </c>
      <c r="M67" s="82" t="s">
        <v>138</v>
      </c>
    </row>
    <row r="68" spans="1:13">
      <c r="A68" s="21">
        <v>4611</v>
      </c>
      <c r="B68" s="22" t="s">
        <v>179</v>
      </c>
      <c r="C68" s="23">
        <v>5620993.71</v>
      </c>
      <c r="D68" s="41">
        <f t="shared" si="0"/>
        <v>9.1034135166650473E-2</v>
      </c>
      <c r="E68" s="23">
        <v>5844241.7300000004</v>
      </c>
      <c r="F68" s="41">
        <f t="shared" si="7"/>
        <v>9.4649721925306907E-2</v>
      </c>
      <c r="G68" s="23">
        <f t="shared" ref="G68:G77" si="26">+C68-E68</f>
        <v>-223248.02000000048</v>
      </c>
      <c r="H68" s="98">
        <f t="shared" ref="H68:H78" si="27">+C68/E68*100-100</f>
        <v>-3.819965537257147</v>
      </c>
      <c r="I68" s="23">
        <v>8038271.9500000011</v>
      </c>
      <c r="J68" s="41">
        <f t="shared" si="4"/>
        <v>0.13866833478213095</v>
      </c>
      <c r="K68" s="23">
        <f t="shared" ref="K68:K71" si="28">+C68-I68</f>
        <v>-2417278.2400000012</v>
      </c>
      <c r="L68" s="98">
        <f t="shared" ref="L68:L71" si="29">+C68/I68*100-100</f>
        <v>-30.072113198409525</v>
      </c>
      <c r="M68" s="74" t="s">
        <v>139</v>
      </c>
    </row>
    <row r="69" spans="1:13" ht="15" customHeight="1">
      <c r="A69" s="21">
        <v>4612</v>
      </c>
      <c r="B69" s="22" t="s">
        <v>180</v>
      </c>
      <c r="C69" s="23">
        <v>38163845.509999998</v>
      </c>
      <c r="D69" s="41">
        <f t="shared" si="0"/>
        <v>0.61807802141029378</v>
      </c>
      <c r="E69" s="23">
        <v>40805309.109999999</v>
      </c>
      <c r="F69" s="41">
        <f t="shared" si="7"/>
        <v>0.66085753101415468</v>
      </c>
      <c r="G69" s="23">
        <f t="shared" si="26"/>
        <v>-2641463.6000000015</v>
      </c>
      <c r="H69" s="98">
        <f t="shared" si="27"/>
        <v>-6.4733331461338395</v>
      </c>
      <c r="I69" s="23">
        <v>46273671.140000001</v>
      </c>
      <c r="J69" s="41">
        <f t="shared" si="4"/>
        <v>0.79826770743178821</v>
      </c>
      <c r="K69" s="23">
        <f t="shared" si="28"/>
        <v>-8109825.6300000027</v>
      </c>
      <c r="L69" s="98">
        <f t="shared" si="29"/>
        <v>-17.525788272695934</v>
      </c>
      <c r="M69" s="74" t="s">
        <v>140</v>
      </c>
    </row>
    <row r="70" spans="1:13" s="2" customFormat="1" ht="15" customHeight="1">
      <c r="A70" s="83">
        <v>4418</v>
      </c>
      <c r="B70" s="16" t="s">
        <v>63</v>
      </c>
      <c r="C70" s="17">
        <v>496372.98</v>
      </c>
      <c r="D70" s="39">
        <f t="shared" si="0"/>
        <v>8.0389495675833242E-3</v>
      </c>
      <c r="E70" s="17">
        <v>399000.01</v>
      </c>
      <c r="F70" s="39">
        <f t="shared" si="7"/>
        <v>6.4619572118031947E-3</v>
      </c>
      <c r="G70" s="17">
        <f t="shared" si="26"/>
        <v>97372.969999999972</v>
      </c>
      <c r="H70" s="97">
        <f t="shared" si="27"/>
        <v>24.404252521196668</v>
      </c>
      <c r="I70" s="17">
        <v>0</v>
      </c>
      <c r="J70" s="39">
        <f t="shared" si="4"/>
        <v>0</v>
      </c>
      <c r="K70" s="17">
        <f t="shared" si="28"/>
        <v>496372.98</v>
      </c>
      <c r="L70" s="97" t="e">
        <f t="shared" si="29"/>
        <v>#DIV/0!</v>
      </c>
      <c r="M70" s="82" t="s">
        <v>141</v>
      </c>
    </row>
    <row r="71" spans="1:13" s="2" customFormat="1" ht="15" customHeight="1">
      <c r="A71" s="83">
        <v>45</v>
      </c>
      <c r="B71" s="16" t="s">
        <v>44</v>
      </c>
      <c r="C71" s="17">
        <v>1052216</v>
      </c>
      <c r="D71" s="39">
        <f t="shared" si="0"/>
        <v>1.7041039095649919E-2</v>
      </c>
      <c r="E71" s="17">
        <v>0</v>
      </c>
      <c r="F71" s="39">
        <f t="shared" si="7"/>
        <v>0</v>
      </c>
      <c r="G71" s="17">
        <f t="shared" si="26"/>
        <v>1052216</v>
      </c>
      <c r="H71" s="97" t="e">
        <f t="shared" si="27"/>
        <v>#DIV/0!</v>
      </c>
      <c r="I71" s="17">
        <v>6327172.6400000006</v>
      </c>
      <c r="J71" s="39">
        <f t="shared" si="4"/>
        <v>0.10915013815473849</v>
      </c>
      <c r="K71" s="17">
        <f t="shared" si="28"/>
        <v>-5274956.6400000006</v>
      </c>
      <c r="L71" s="97">
        <f t="shared" si="29"/>
        <v>-83.369886363650735</v>
      </c>
      <c r="M71" s="82" t="s">
        <v>108</v>
      </c>
    </row>
    <row r="72" spans="1:13" s="2" customFormat="1" ht="15" customHeight="1">
      <c r="A72" s="15"/>
      <c r="B72" s="16" t="s">
        <v>54</v>
      </c>
      <c r="C72" s="17">
        <f>+C64-C67-C70-C71</f>
        <v>18304937.329999793</v>
      </c>
      <c r="D72" s="39">
        <f t="shared" si="0"/>
        <v>0.29645543565574761</v>
      </c>
      <c r="E72" s="17">
        <f>+E64-E67-E70-E71</f>
        <v>-138833323.26185778</v>
      </c>
      <c r="F72" s="39">
        <f t="shared" si="7"/>
        <v>-2.2484585764560907</v>
      </c>
      <c r="G72" s="17">
        <f t="shared" si="26"/>
        <v>157138260.59185758</v>
      </c>
      <c r="H72" s="97">
        <f t="shared" si="27"/>
        <v>-113.18482976559906</v>
      </c>
      <c r="I72" s="17">
        <f>+I64-I67-I70-I71</f>
        <v>-83831820.499999985</v>
      </c>
      <c r="J72" s="39">
        <f t="shared" si="4"/>
        <v>-1.4461838343861337</v>
      </c>
      <c r="K72" s="17">
        <f t="shared" ref="K72:K78" si="30">+C72-I72</f>
        <v>102136757.82999977</v>
      </c>
      <c r="L72" s="97">
        <f t="shared" ref="L72:L78" si="31">+C72/I72*100-100</f>
        <v>-121.83530933817642</v>
      </c>
      <c r="M72" s="82" t="s">
        <v>142</v>
      </c>
    </row>
    <row r="73" spans="1:13" s="2" customFormat="1" ht="15" customHeight="1">
      <c r="A73" s="15"/>
      <c r="B73" s="16" t="s">
        <v>48</v>
      </c>
      <c r="C73" s="17">
        <f>SUM(C74:C78)+C63</f>
        <v>-18304937.32999979</v>
      </c>
      <c r="D73" s="39">
        <f t="shared" ref="D73:D78" si="32">+C73/$C$2*100</f>
        <v>-0.29645543565574756</v>
      </c>
      <c r="E73" s="17">
        <f>SUM(E74:E78)+E63</f>
        <v>138833323.26185778</v>
      </c>
      <c r="F73" s="39">
        <f t="shared" si="7"/>
        <v>2.2484585764560907</v>
      </c>
      <c r="G73" s="17">
        <f t="shared" si="26"/>
        <v>-157138260.59185755</v>
      </c>
      <c r="H73" s="97">
        <f t="shared" si="27"/>
        <v>-113.18482976559906</v>
      </c>
      <c r="I73" s="17">
        <f>SUM(I74:I78)+I63</f>
        <v>83831820.499999985</v>
      </c>
      <c r="J73" s="39">
        <f t="shared" ref="J73:J78" si="33">+I73/$I$2*100</f>
        <v>1.4461838343861337</v>
      </c>
      <c r="K73" s="17">
        <f t="shared" si="30"/>
        <v>-102136757.82999977</v>
      </c>
      <c r="L73" s="97">
        <f t="shared" si="31"/>
        <v>-121.83530933817642</v>
      </c>
      <c r="M73" s="82" t="s">
        <v>143</v>
      </c>
    </row>
    <row r="74" spans="1:13">
      <c r="A74" s="21">
        <v>7511</v>
      </c>
      <c r="B74" s="22" t="s">
        <v>55</v>
      </c>
      <c r="C74" s="23">
        <v>0</v>
      </c>
      <c r="D74" s="41">
        <f t="shared" si="32"/>
        <v>0</v>
      </c>
      <c r="E74" s="23">
        <v>100000000</v>
      </c>
      <c r="F74" s="41">
        <f t="shared" si="7"/>
        <v>1.6195381077316748</v>
      </c>
      <c r="G74" s="23">
        <f t="shared" si="26"/>
        <v>-100000000</v>
      </c>
      <c r="H74" s="98">
        <f t="shared" si="27"/>
        <v>-100</v>
      </c>
      <c r="I74" s="23">
        <v>0</v>
      </c>
      <c r="J74" s="41">
        <f t="shared" si="33"/>
        <v>0</v>
      </c>
      <c r="K74" s="23">
        <f t="shared" si="30"/>
        <v>0</v>
      </c>
      <c r="L74" s="98" t="e">
        <f t="shared" si="31"/>
        <v>#DIV/0!</v>
      </c>
      <c r="M74" s="74" t="s">
        <v>144</v>
      </c>
    </row>
    <row r="75" spans="1:13" ht="15" customHeight="1">
      <c r="A75" s="21">
        <v>7512</v>
      </c>
      <c r="B75" s="22" t="s">
        <v>49</v>
      </c>
      <c r="C75" s="23">
        <v>102184423.98</v>
      </c>
      <c r="D75" s="41">
        <f t="shared" si="32"/>
        <v>1.6549156865222039</v>
      </c>
      <c r="E75" s="23">
        <v>0</v>
      </c>
      <c r="F75" s="41">
        <f t="shared" si="7"/>
        <v>0</v>
      </c>
      <c r="G75" s="23">
        <f t="shared" si="26"/>
        <v>102184423.98</v>
      </c>
      <c r="H75" s="98" t="e">
        <f t="shared" si="27"/>
        <v>#DIV/0!</v>
      </c>
      <c r="I75" s="23">
        <v>31140206.790000003</v>
      </c>
      <c r="J75" s="41">
        <f t="shared" si="33"/>
        <v>0.53720011554728586</v>
      </c>
      <c r="K75" s="23">
        <f t="shared" si="30"/>
        <v>71044217.189999998</v>
      </c>
      <c r="L75" s="98">
        <f t="shared" si="31"/>
        <v>228.1430488535301</v>
      </c>
      <c r="M75" s="74" t="s">
        <v>145</v>
      </c>
    </row>
    <row r="76" spans="1:13" ht="15" customHeight="1">
      <c r="A76" s="18">
        <v>72</v>
      </c>
      <c r="B76" s="19" t="s">
        <v>172</v>
      </c>
      <c r="C76" s="20">
        <v>909468.25</v>
      </c>
      <c r="D76" s="40">
        <f t="shared" si="32"/>
        <v>1.4729184886470379E-2</v>
      </c>
      <c r="E76" s="20">
        <v>1500000</v>
      </c>
      <c r="F76" s="40">
        <f t="shared" si="7"/>
        <v>2.4293071615975124E-2</v>
      </c>
      <c r="G76" s="20">
        <f t="shared" si="26"/>
        <v>-590531.75</v>
      </c>
      <c r="H76" s="93">
        <f t="shared" si="27"/>
        <v>-39.368783333333333</v>
      </c>
      <c r="I76" s="20">
        <v>1164544.68</v>
      </c>
      <c r="J76" s="40">
        <f t="shared" si="33"/>
        <v>2.0089575540547557E-2</v>
      </c>
      <c r="K76" s="20">
        <f t="shared" si="30"/>
        <v>-255076.42999999993</v>
      </c>
      <c r="L76" s="93">
        <f t="shared" si="31"/>
        <v>-21.903533147392849</v>
      </c>
      <c r="M76" s="73" t="s">
        <v>146</v>
      </c>
    </row>
    <row r="77" spans="1:13" ht="15" customHeight="1">
      <c r="A77" s="28">
        <v>73</v>
      </c>
      <c r="B77" s="29" t="s">
        <v>192</v>
      </c>
      <c r="C77" s="30">
        <v>3238360.51</v>
      </c>
      <c r="D77" s="40">
        <f t="shared" si="32"/>
        <v>5.2446482525183809E-2</v>
      </c>
      <c r="E77" s="30">
        <v>0</v>
      </c>
      <c r="F77" s="40">
        <f t="shared" si="7"/>
        <v>0</v>
      </c>
      <c r="G77" s="20">
        <f t="shared" si="26"/>
        <v>3238360.51</v>
      </c>
      <c r="H77" s="93" t="e">
        <f t="shared" si="27"/>
        <v>#DIV/0!</v>
      </c>
      <c r="I77" s="30">
        <v>1272821.3999999999</v>
      </c>
      <c r="J77" s="40">
        <f>+I77/$I$2*100</f>
        <v>2.1957458656653255E-2</v>
      </c>
      <c r="K77" s="20">
        <f t="shared" si="30"/>
        <v>1965539.1099999999</v>
      </c>
      <c r="L77" s="93">
        <f t="shared" si="31"/>
        <v>154.42379504304373</v>
      </c>
      <c r="M77" s="73" t="s">
        <v>108</v>
      </c>
    </row>
    <row r="78" spans="1:13" ht="15" customHeight="1" thickBot="1">
      <c r="A78" s="24"/>
      <c r="B78" s="25" t="s">
        <v>50</v>
      </c>
      <c r="C78" s="26">
        <f>+-C72-(SUM(C74:C77)+C63)</f>
        <v>-124637190.0699998</v>
      </c>
      <c r="D78" s="42">
        <f t="shared" si="32"/>
        <v>-2.0185467895896059</v>
      </c>
      <c r="E78" s="26">
        <f>+-E72-SUM(E74:E77)</f>
        <v>37333323.261857778</v>
      </c>
      <c r="F78" s="42">
        <f t="shared" si="7"/>
        <v>0.60462739710844071</v>
      </c>
      <c r="G78" s="26">
        <f>+C78-E78</f>
        <v>-161970513.33185756</v>
      </c>
      <c r="H78" s="99">
        <f t="shared" si="27"/>
        <v>-433.84970632211974</v>
      </c>
      <c r="I78" s="26">
        <f>+-I72-(SUM(I74:I77)+I63)</f>
        <v>50254247.62999998</v>
      </c>
      <c r="J78" s="42">
        <f t="shared" si="33"/>
        <v>0.86693668464164697</v>
      </c>
      <c r="K78" s="26">
        <f t="shared" si="30"/>
        <v>-174891437.69999978</v>
      </c>
      <c r="L78" s="99">
        <f t="shared" si="31"/>
        <v>-348.01324454730445</v>
      </c>
      <c r="M78" s="77" t="s">
        <v>147</v>
      </c>
    </row>
    <row r="79" spans="1:13" ht="13.5" customHeight="1"/>
    <row r="82" spans="9:9">
      <c r="I82" s="7"/>
    </row>
  </sheetData>
  <sheetProtection algorithmName="SHA-512" hashValue="XV0ZKXqwGSkTIL9z+jkT/yLq1uJyMQYgs2t7HlJysz4lNdSQ8TT6ZdSh/yGwr0UhM2gALynW+6qJEIBf5Owmbg==" saltValue="yUNt35dj6V2gY58DFk+KKA=="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0"/>
  <sheetViews>
    <sheetView zoomScale="90" zoomScaleNormal="90" zoomScaleSheetLayoutView="90" workbookViewId="0">
      <pane ySplit="5" topLeftCell="A38" activePane="bottomLeft" state="frozen"/>
      <selection activeCell="G14" sqref="G14"/>
      <selection pane="bottomLeft" activeCell="A57" sqref="A1:XFD1048576"/>
    </sheetView>
  </sheetViews>
  <sheetFormatPr defaultColWidth="9.140625" defaultRowHeight="13.5"/>
  <cols>
    <col min="1" max="1" width="14" style="4" customWidth="1"/>
    <col min="2" max="2" width="63.7109375" style="4" customWidth="1"/>
    <col min="3" max="3" width="9.140625" style="6" customWidth="1"/>
    <col min="4" max="4" width="9.140625" style="4" customWidth="1"/>
    <col min="5" max="5" width="9.140625" style="6" customWidth="1"/>
    <col min="6" max="6" width="10" style="7" customWidth="1"/>
    <col min="7" max="7" width="11.42578125" style="6" customWidth="1"/>
    <col min="8" max="8" width="10.42578125" style="100" customWidth="1"/>
    <col min="9" max="9" width="9.140625" style="6"/>
    <col min="10" max="10" width="10.42578125" style="7" customWidth="1"/>
    <col min="11" max="11" width="11.140625" style="6" customWidth="1"/>
    <col min="12" max="12" width="11.7109375" style="100"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58</v>
      </c>
      <c r="B2" s="8"/>
      <c r="C2" s="118">
        <f>+'Centralna država-ek klas'!C2:D2</f>
        <v>6174600000</v>
      </c>
      <c r="D2" s="119"/>
      <c r="E2" s="118">
        <f>+'Centralna država-ek klas'!E2:F2</f>
        <v>6174600000</v>
      </c>
      <c r="F2" s="119"/>
      <c r="G2" s="9"/>
      <c r="H2" s="101"/>
      <c r="I2" s="118">
        <f>+'Centralna država-ek klas'!I2:J2</f>
        <v>5796761000</v>
      </c>
      <c r="J2" s="119"/>
      <c r="K2" s="9"/>
      <c r="L2" s="101"/>
      <c r="M2" s="8" t="s">
        <v>78</v>
      </c>
    </row>
    <row r="3" spans="1:16384" ht="15" customHeight="1" thickBot="1">
      <c r="A3" s="8"/>
      <c r="B3" s="8"/>
      <c r="C3" s="11"/>
      <c r="D3" s="8"/>
      <c r="E3" s="11"/>
      <c r="F3" s="10"/>
      <c r="G3" s="11"/>
      <c r="H3" s="101"/>
      <c r="I3" s="11"/>
      <c r="J3" s="10"/>
      <c r="K3" s="11"/>
      <c r="L3" s="101"/>
      <c r="M3" s="8"/>
    </row>
    <row r="4" spans="1:16384" ht="15" customHeight="1">
      <c r="A4" s="110" t="s">
        <v>70</v>
      </c>
      <c r="B4" s="122" t="s">
        <v>71</v>
      </c>
      <c r="C4" s="114" t="s">
        <v>183</v>
      </c>
      <c r="D4" s="115"/>
      <c r="E4" s="112" t="s">
        <v>184</v>
      </c>
      <c r="F4" s="113"/>
      <c r="G4" s="112" t="s">
        <v>171</v>
      </c>
      <c r="H4" s="113"/>
      <c r="I4" s="112" t="s">
        <v>187</v>
      </c>
      <c r="J4" s="113"/>
      <c r="K4" s="112" t="s">
        <v>171</v>
      </c>
      <c r="L4" s="113"/>
      <c r="M4" s="120" t="s">
        <v>148</v>
      </c>
    </row>
    <row r="5" spans="1:16384" ht="23.25" customHeight="1">
      <c r="A5" s="111"/>
      <c r="B5" s="123"/>
      <c r="C5" s="12" t="s">
        <v>61</v>
      </c>
      <c r="D5" s="13" t="s">
        <v>56</v>
      </c>
      <c r="E5" s="12" t="s">
        <v>61</v>
      </c>
      <c r="F5" s="13" t="s">
        <v>56</v>
      </c>
      <c r="G5" s="12" t="s">
        <v>64</v>
      </c>
      <c r="H5" s="102" t="s">
        <v>62</v>
      </c>
      <c r="I5" s="12" t="s">
        <v>61</v>
      </c>
      <c r="J5" s="14" t="s">
        <v>56</v>
      </c>
      <c r="K5" s="12" t="s">
        <v>61</v>
      </c>
      <c r="L5" s="104" t="s">
        <v>62</v>
      </c>
      <c r="M5" s="121"/>
    </row>
    <row r="6" spans="1:16384" s="34" customFormat="1" ht="15" customHeight="1">
      <c r="A6" s="31"/>
      <c r="B6" s="32" t="s">
        <v>51</v>
      </c>
      <c r="C6" s="33">
        <f>+C7+C12+C19+C30+C35+C36</f>
        <v>64427629.090000004</v>
      </c>
      <c r="D6" s="43">
        <f>+C6/$C$2*100</f>
        <v>1.0434300050205683</v>
      </c>
      <c r="E6" s="33">
        <f>+E7+E12+E19+E30+E35+E36</f>
        <v>82983098.927499995</v>
      </c>
      <c r="F6" s="43">
        <f t="shared" ref="F6:F62" si="0">+E6/$E$2*100</f>
        <v>1.3439429101075373</v>
      </c>
      <c r="G6" s="33">
        <f>+C6-E6</f>
        <v>-18555469.837499991</v>
      </c>
      <c r="H6" s="103">
        <f>+C6/E6*100-100</f>
        <v>-22.360540974387305</v>
      </c>
      <c r="I6" s="33">
        <f>+I7+I12+I19+I30+I35+I36</f>
        <v>55191334.989923626</v>
      </c>
      <c r="J6" s="43">
        <f>+I6/$I$2*100</f>
        <v>0.95210644340733774</v>
      </c>
      <c r="K6" s="33">
        <f>+C6-I6</f>
        <v>9236294.1000763774</v>
      </c>
      <c r="L6" s="103">
        <f>+C6/I6*100-100</f>
        <v>16.735043828460874</v>
      </c>
      <c r="M6" s="72" t="s">
        <v>149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31391090.32</v>
      </c>
      <c r="D7" s="40">
        <f t="shared" ref="D7:D66" si="1">+C7/$C$2*100</f>
        <v>0.50839067016486894</v>
      </c>
      <c r="E7" s="20">
        <f>+SUM(E8:E11)</f>
        <v>46322383.75</v>
      </c>
      <c r="F7" s="40">
        <f t="shared" si="0"/>
        <v>0.75020865724095487</v>
      </c>
      <c r="G7" s="20">
        <f t="shared" ref="G7:G65" si="2">+C7-E7</f>
        <v>-14931293.43</v>
      </c>
      <c r="H7" s="93">
        <f t="shared" ref="H7:H65" si="3">+C7/E7*100-100</f>
        <v>-32.233430625210431</v>
      </c>
      <c r="I7" s="69">
        <f>+SUM(I8:I11)</f>
        <v>29370288.519923627</v>
      </c>
      <c r="J7" s="40">
        <f t="shared" ref="J7:J66" si="4">+I7/$I$2*100</f>
        <v>0.50666723226856558</v>
      </c>
      <c r="K7" s="20">
        <f>+C7-I7</f>
        <v>2020801.8000763729</v>
      </c>
      <c r="L7" s="93">
        <f t="shared" ref="L7:L65" si="5">+C7/I7*100-100</f>
        <v>6.8804288344172875</v>
      </c>
      <c r="M7" s="73" t="s">
        <v>79</v>
      </c>
    </row>
    <row r="8" spans="1:16384" ht="15" customHeight="1">
      <c r="A8" s="21">
        <v>7111</v>
      </c>
      <c r="B8" s="22" t="s">
        <v>2</v>
      </c>
      <c r="C8" s="23">
        <v>12196022.889999999</v>
      </c>
      <c r="D8" s="41">
        <f t="shared" si="1"/>
        <v>0.19751923833122792</v>
      </c>
      <c r="E8" s="23">
        <v>16927227.5</v>
      </c>
      <c r="F8" s="41">
        <f t="shared" si="0"/>
        <v>0.27414289994493574</v>
      </c>
      <c r="G8" s="23">
        <f t="shared" si="2"/>
        <v>-4731204.6100000013</v>
      </c>
      <c r="H8" s="98">
        <f t="shared" si="3"/>
        <v>-27.950263030375183</v>
      </c>
      <c r="I8" s="23">
        <v>9782805.5580000002</v>
      </c>
      <c r="J8" s="41">
        <f t="shared" si="4"/>
        <v>0.1687633069226073</v>
      </c>
      <c r="K8" s="23">
        <f t="shared" ref="K8:K65" si="6">+C8-I8</f>
        <v>2413217.3319999985</v>
      </c>
      <c r="L8" s="98">
        <f t="shared" si="5"/>
        <v>24.667947427684098</v>
      </c>
      <c r="M8" s="74" t="s">
        <v>80</v>
      </c>
    </row>
    <row r="9" spans="1:16384" ht="15" customHeight="1">
      <c r="A9" s="21">
        <v>71131</v>
      </c>
      <c r="B9" s="22" t="s">
        <v>66</v>
      </c>
      <c r="C9" s="23">
        <v>9244808.6599999964</v>
      </c>
      <c r="D9" s="41">
        <f t="shared" si="1"/>
        <v>0.14972319923557795</v>
      </c>
      <c r="E9" s="23">
        <v>20478500</v>
      </c>
      <c r="F9" s="41">
        <f t="shared" si="0"/>
        <v>0.33165711139183107</v>
      </c>
      <c r="G9" s="23">
        <f t="shared" ref="G9" si="7">+C9-E9</f>
        <v>-11233691.340000004</v>
      </c>
      <c r="H9" s="98">
        <f t="shared" ref="H9" si="8">+C9/E9*100-100</f>
        <v>-54.856026271455441</v>
      </c>
      <c r="I9" s="23">
        <v>7294863.4700000007</v>
      </c>
      <c r="J9" s="41">
        <f t="shared" ref="J9" si="9">+I9/$I$2*100</f>
        <v>0.12584378534840407</v>
      </c>
      <c r="K9" s="23">
        <f t="shared" ref="K9" si="10">+C9-I9</f>
        <v>1949945.1899999958</v>
      </c>
      <c r="L9" s="98">
        <f t="shared" ref="L9" si="11">+C9/I9*100-100</f>
        <v>26.730386360472849</v>
      </c>
      <c r="M9" s="74" t="s">
        <v>150</v>
      </c>
    </row>
    <row r="10" spans="1:16384" ht="15" customHeight="1">
      <c r="A10" s="21">
        <v>71132</v>
      </c>
      <c r="B10" s="22" t="s">
        <v>4</v>
      </c>
      <c r="C10" s="23">
        <v>6106793.4199999999</v>
      </c>
      <c r="D10" s="41">
        <f t="shared" si="1"/>
        <v>9.8901846597350435E-2</v>
      </c>
      <c r="E10" s="23">
        <v>4836656.25</v>
      </c>
      <c r="F10" s="41">
        <f t="shared" si="0"/>
        <v>7.8331491108735787E-2</v>
      </c>
      <c r="G10" s="23">
        <f t="shared" si="2"/>
        <v>1270137.17</v>
      </c>
      <c r="H10" s="98">
        <f t="shared" si="3"/>
        <v>26.26064587492651</v>
      </c>
      <c r="I10" s="23">
        <v>5049334.7946000006</v>
      </c>
      <c r="J10" s="41">
        <f t="shared" si="4"/>
        <v>8.7106140732729903E-2</v>
      </c>
      <c r="K10" s="23">
        <f t="shared" si="6"/>
        <v>1057458.6253999993</v>
      </c>
      <c r="L10" s="98">
        <f t="shared" si="5"/>
        <v>20.942533391346842</v>
      </c>
      <c r="M10" s="74" t="s">
        <v>82</v>
      </c>
    </row>
    <row r="11" spans="1:16384" ht="15" customHeight="1">
      <c r="A11" s="21"/>
      <c r="B11" s="22" t="s">
        <v>159</v>
      </c>
      <c r="C11" s="23">
        <v>3843465.3500000006</v>
      </c>
      <c r="D11" s="41">
        <f t="shared" si="1"/>
        <v>6.2246386000712604E-2</v>
      </c>
      <c r="E11" s="23">
        <v>4080000</v>
      </c>
      <c r="F11" s="41">
        <f t="shared" si="0"/>
        <v>6.6077154795452328E-2</v>
      </c>
      <c r="G11" s="23">
        <f t="shared" si="2"/>
        <v>-236534.64999999944</v>
      </c>
      <c r="H11" s="98">
        <f t="shared" si="3"/>
        <v>-5.797417892156858</v>
      </c>
      <c r="I11" s="23">
        <v>7243284.6973236296</v>
      </c>
      <c r="J11" s="41">
        <f t="shared" si="4"/>
        <v>0.12495399926482445</v>
      </c>
      <c r="K11" s="23">
        <f t="shared" si="6"/>
        <v>-3399819.3473236291</v>
      </c>
      <c r="L11" s="98">
        <f t="shared" si="5"/>
        <v>-46.937535792012305</v>
      </c>
      <c r="M11" s="74" t="s">
        <v>160</v>
      </c>
      <c r="P11" s="87"/>
    </row>
    <row r="12" spans="1:16384" ht="15" customHeight="1">
      <c r="A12" s="18">
        <v>713</v>
      </c>
      <c r="B12" s="19" t="s">
        <v>13</v>
      </c>
      <c r="C12" s="69">
        <f>SUM(C13:C18)</f>
        <v>1079281.1099999999</v>
      </c>
      <c r="D12" s="40">
        <f t="shared" si="1"/>
        <v>1.7479368865999413E-2</v>
      </c>
      <c r="E12" s="20">
        <f>SUM(E13:E18)</f>
        <v>1237000</v>
      </c>
      <c r="F12" s="40">
        <f t="shared" si="0"/>
        <v>2.0033686392640818E-2</v>
      </c>
      <c r="G12" s="20">
        <f t="shared" si="2"/>
        <v>-157718.89000000013</v>
      </c>
      <c r="H12" s="93">
        <f t="shared" si="3"/>
        <v>-12.750112368633808</v>
      </c>
      <c r="I12" s="69">
        <f>I13+I17+I18</f>
        <v>966401.35</v>
      </c>
      <c r="J12" s="40">
        <f t="shared" si="4"/>
        <v>1.6671402357281935E-2</v>
      </c>
      <c r="K12" s="20">
        <f t="shared" si="6"/>
        <v>112879.75999999989</v>
      </c>
      <c r="L12" s="93">
        <f t="shared" si="5"/>
        <v>11.680422424906567</v>
      </c>
      <c r="M12" s="73" t="s">
        <v>92</v>
      </c>
    </row>
    <row r="13" spans="1:16384">
      <c r="A13" s="21">
        <v>7131</v>
      </c>
      <c r="B13" s="22" t="s">
        <v>14</v>
      </c>
      <c r="C13" s="23">
        <v>231262.99</v>
      </c>
      <c r="D13" s="41">
        <f t="shared" si="1"/>
        <v>3.7453922521296923E-3</v>
      </c>
      <c r="E13" s="23">
        <v>279875</v>
      </c>
      <c r="F13" s="41">
        <f t="shared" si="0"/>
        <v>4.5326822790140251E-3</v>
      </c>
      <c r="G13" s="23">
        <f t="shared" si="2"/>
        <v>-48612.010000000009</v>
      </c>
      <c r="H13" s="98">
        <f t="shared" si="3"/>
        <v>-17.369186243858863</v>
      </c>
      <c r="I13" s="23">
        <v>186251.94000000003</v>
      </c>
      <c r="J13" s="41">
        <f t="shared" si="4"/>
        <v>3.2130346584929069E-3</v>
      </c>
      <c r="K13" s="23">
        <f t="shared" si="6"/>
        <v>45011.049999999959</v>
      </c>
      <c r="L13" s="98">
        <f t="shared" si="5"/>
        <v>24.166754987894336</v>
      </c>
      <c r="M13" s="74" t="s">
        <v>93</v>
      </c>
      <c r="P13" s="86"/>
    </row>
    <row r="14" spans="1:16384">
      <c r="A14" s="21">
        <v>7132</v>
      </c>
      <c r="B14" s="22" t="s">
        <v>15</v>
      </c>
      <c r="C14" s="23">
        <v>0</v>
      </c>
      <c r="D14" s="41">
        <f t="shared" si="1"/>
        <v>0</v>
      </c>
      <c r="E14" s="23">
        <v>0</v>
      </c>
      <c r="F14" s="41">
        <f t="shared" si="0"/>
        <v>0</v>
      </c>
      <c r="G14" s="23">
        <f t="shared" si="2"/>
        <v>0</v>
      </c>
      <c r="H14" s="98" t="e">
        <f t="shared" si="3"/>
        <v>#DIV/0!</v>
      </c>
      <c r="I14" s="23">
        <v>728329.22</v>
      </c>
      <c r="J14" s="41">
        <f t="shared" si="4"/>
        <v>1.2564416921794774E-2</v>
      </c>
      <c r="K14" s="23">
        <f t="shared" si="6"/>
        <v>-728329.22</v>
      </c>
      <c r="L14" s="98">
        <f t="shared" si="5"/>
        <v>-100</v>
      </c>
      <c r="M14" s="74" t="s">
        <v>94</v>
      </c>
    </row>
    <row r="15" spans="1:16384" ht="14.25" customHeight="1">
      <c r="A15" s="21">
        <v>7133</v>
      </c>
      <c r="B15" s="22" t="s">
        <v>16</v>
      </c>
      <c r="C15" s="23">
        <v>0</v>
      </c>
      <c r="D15" s="41">
        <f t="shared" si="1"/>
        <v>0</v>
      </c>
      <c r="E15" s="23">
        <v>0</v>
      </c>
      <c r="F15" s="41">
        <f t="shared" si="0"/>
        <v>0</v>
      </c>
      <c r="G15" s="23">
        <f t="shared" si="2"/>
        <v>0</v>
      </c>
      <c r="H15" s="98" t="e">
        <f t="shared" si="3"/>
        <v>#DIV/0!</v>
      </c>
      <c r="I15" s="23">
        <v>51820.189999999995</v>
      </c>
      <c r="J15" s="41">
        <f t="shared" si="4"/>
        <v>8.9395077699425585E-4</v>
      </c>
      <c r="K15" s="23">
        <f t="shared" si="6"/>
        <v>-51820.189999999995</v>
      </c>
      <c r="L15" s="98">
        <f t="shared" si="5"/>
        <v>-100</v>
      </c>
      <c r="M15" s="74" t="s">
        <v>156</v>
      </c>
    </row>
    <row r="16" spans="1:16384">
      <c r="A16" s="21">
        <v>7134</v>
      </c>
      <c r="B16" s="22" t="s">
        <v>151</v>
      </c>
      <c r="C16" s="23">
        <v>0</v>
      </c>
      <c r="D16" s="41">
        <f t="shared" si="1"/>
        <v>0</v>
      </c>
      <c r="E16" s="23">
        <v>0</v>
      </c>
      <c r="F16" s="41">
        <f t="shared" ref="F16:F17" si="12">+E16/$E$2*100</f>
        <v>0</v>
      </c>
      <c r="G16" s="23">
        <f t="shared" ref="G16:G17" si="13">+C16-E16</f>
        <v>0</v>
      </c>
      <c r="H16" s="98" t="e">
        <f t="shared" ref="H16:H17" si="14">+C16/E16*100-100</f>
        <v>#DIV/0!</v>
      </c>
      <c r="I16" s="23">
        <v>186251.94000000003</v>
      </c>
      <c r="J16" s="41">
        <f t="shared" ref="J16:J17" si="15">+I16/$I$2*100</f>
        <v>3.2130346584929069E-3</v>
      </c>
      <c r="K16" s="23">
        <f t="shared" ref="K16:K17" si="16">+C16-I16</f>
        <v>-186251.94000000003</v>
      </c>
      <c r="L16" s="98">
        <f t="shared" ref="L16:L17" si="17">+C16/I16*100-100</f>
        <v>-100</v>
      </c>
      <c r="M16" s="74" t="s">
        <v>155</v>
      </c>
    </row>
    <row r="17" spans="1:16" ht="15" customHeight="1">
      <c r="A17" s="21">
        <v>7135</v>
      </c>
      <c r="B17" s="22" t="s">
        <v>17</v>
      </c>
      <c r="C17" s="23">
        <v>755017.1399999999</v>
      </c>
      <c r="D17" s="41">
        <f t="shared" si="1"/>
        <v>1.222779030220581E-2</v>
      </c>
      <c r="E17" s="23">
        <v>720625</v>
      </c>
      <c r="F17" s="41">
        <f t="shared" si="12"/>
        <v>1.1670796488841383E-2</v>
      </c>
      <c r="G17" s="23">
        <f t="shared" si="13"/>
        <v>34392.139999999898</v>
      </c>
      <c r="H17" s="98">
        <f t="shared" si="14"/>
        <v>4.7725432784041573</v>
      </c>
      <c r="I17" s="23">
        <v>728329.22</v>
      </c>
      <c r="J17" s="41">
        <f t="shared" si="15"/>
        <v>1.2564416921794774E-2</v>
      </c>
      <c r="K17" s="23">
        <f t="shared" si="16"/>
        <v>26687.919999999925</v>
      </c>
      <c r="L17" s="98">
        <f t="shared" si="17"/>
        <v>3.6642660032230907</v>
      </c>
      <c r="M17" s="74" t="s">
        <v>154</v>
      </c>
    </row>
    <row r="18" spans="1:16" ht="15" customHeight="1">
      <c r="A18" s="21">
        <v>7136</v>
      </c>
      <c r="B18" s="22" t="s">
        <v>18</v>
      </c>
      <c r="C18" s="23">
        <v>93000.98</v>
      </c>
      <c r="D18" s="41">
        <f t="shared" si="1"/>
        <v>1.5061863116639133E-3</v>
      </c>
      <c r="E18" s="23">
        <v>236500</v>
      </c>
      <c r="F18" s="41">
        <f t="shared" si="0"/>
        <v>3.8302076247854113E-3</v>
      </c>
      <c r="G18" s="23">
        <f t="shared" si="2"/>
        <v>-143499.02000000002</v>
      </c>
      <c r="H18" s="98">
        <f t="shared" si="3"/>
        <v>-60.676118393234674</v>
      </c>
      <c r="I18" s="23">
        <v>51820.189999999995</v>
      </c>
      <c r="J18" s="41">
        <f t="shared" si="4"/>
        <v>8.9395077699425585E-4</v>
      </c>
      <c r="K18" s="23">
        <f t="shared" si="6"/>
        <v>41180.79</v>
      </c>
      <c r="L18" s="98">
        <f t="shared" si="5"/>
        <v>79.468620242419036</v>
      </c>
      <c r="M18" s="74" t="s">
        <v>96</v>
      </c>
    </row>
    <row r="19" spans="1:16" ht="15" customHeight="1">
      <c r="A19" s="18">
        <v>714</v>
      </c>
      <c r="B19" s="19" t="s">
        <v>19</v>
      </c>
      <c r="C19" s="20">
        <f>+SUM(C20:C29)</f>
        <v>15331471.739999998</v>
      </c>
      <c r="D19" s="40">
        <f t="shared" si="1"/>
        <v>0.24829902730541248</v>
      </c>
      <c r="E19" s="20">
        <f>+SUM(E20:E29)</f>
        <v>16224600</v>
      </c>
      <c r="F19" s="40">
        <f t="shared" si="0"/>
        <v>0.2627635798270333</v>
      </c>
      <c r="G19" s="20">
        <f t="shared" si="2"/>
        <v>-893128.26000000164</v>
      </c>
      <c r="H19" s="93">
        <f t="shared" si="3"/>
        <v>-5.5047782996191046</v>
      </c>
      <c r="I19" s="69">
        <f>+SUM(I20:I29)</f>
        <v>10368591.349999998</v>
      </c>
      <c r="J19" s="40">
        <f t="shared" si="4"/>
        <v>0.17886870529939045</v>
      </c>
      <c r="K19" s="20">
        <f t="shared" si="6"/>
        <v>4962880.3900000006</v>
      </c>
      <c r="L19" s="93">
        <f t="shared" si="5"/>
        <v>47.864557705806391</v>
      </c>
      <c r="M19" s="73" t="s">
        <v>97</v>
      </c>
      <c r="P19" s="86"/>
    </row>
    <row r="20" spans="1:16" ht="15" customHeight="1">
      <c r="A20" s="21">
        <v>7141</v>
      </c>
      <c r="B20" s="22" t="s">
        <v>20</v>
      </c>
      <c r="C20" s="23">
        <v>1696888.0399999998</v>
      </c>
      <c r="D20" s="41">
        <f t="shared" si="1"/>
        <v>2.7481748453341101E-2</v>
      </c>
      <c r="E20" s="23">
        <v>1535100</v>
      </c>
      <c r="F20" s="41">
        <f t="shared" si="0"/>
        <v>2.4861529491788943E-2</v>
      </c>
      <c r="G20" s="23">
        <f t="shared" si="2"/>
        <v>161788.0399999998</v>
      </c>
      <c r="H20" s="98">
        <f t="shared" si="3"/>
        <v>10.539250863135948</v>
      </c>
      <c r="I20" s="23">
        <v>1561732.3499999999</v>
      </c>
      <c r="J20" s="41">
        <f t="shared" si="4"/>
        <v>2.6941465242400018E-2</v>
      </c>
      <c r="K20" s="23">
        <f t="shared" si="6"/>
        <v>135155.68999999994</v>
      </c>
      <c r="L20" s="98">
        <f t="shared" si="5"/>
        <v>8.6542159416752753</v>
      </c>
      <c r="M20" s="74" t="s">
        <v>98</v>
      </c>
      <c r="P20" s="80"/>
    </row>
    <row r="21" spans="1:16" ht="15" customHeight="1">
      <c r="A21" s="21">
        <v>7142</v>
      </c>
      <c r="B21" s="22" t="s">
        <v>21</v>
      </c>
      <c r="C21" s="23">
        <v>1647485.2400000002</v>
      </c>
      <c r="D21" s="41">
        <f t="shared" si="1"/>
        <v>2.6681651281054649E-2</v>
      </c>
      <c r="E21" s="23">
        <v>1859875</v>
      </c>
      <c r="F21" s="41">
        <f t="shared" si="0"/>
        <v>3.0121384381174492E-2</v>
      </c>
      <c r="G21" s="23">
        <f t="shared" si="2"/>
        <v>-212389.75999999978</v>
      </c>
      <c r="H21" s="98">
        <f t="shared" si="3"/>
        <v>-11.419571745412981</v>
      </c>
      <c r="I21" s="23">
        <v>472821.26</v>
      </c>
      <c r="J21" s="41">
        <f t="shared" si="4"/>
        <v>8.1566457544135426E-3</v>
      </c>
      <c r="K21" s="23">
        <f t="shared" si="6"/>
        <v>1174663.9800000002</v>
      </c>
      <c r="L21" s="98">
        <f t="shared" si="5"/>
        <v>248.43721705745639</v>
      </c>
      <c r="M21" s="74" t="s">
        <v>99</v>
      </c>
    </row>
    <row r="22" spans="1:16" hidden="1">
      <c r="A22" s="21">
        <v>7143</v>
      </c>
      <c r="B22" s="22" t="s">
        <v>22</v>
      </c>
      <c r="C22" s="23"/>
      <c r="D22" s="41">
        <f t="shared" si="1"/>
        <v>0</v>
      </c>
      <c r="E22" s="23"/>
      <c r="F22" s="41">
        <f t="shared" si="0"/>
        <v>0</v>
      </c>
      <c r="G22" s="23">
        <f t="shared" si="2"/>
        <v>0</v>
      </c>
      <c r="H22" s="98" t="e">
        <f t="shared" si="3"/>
        <v>#DIV/0!</v>
      </c>
      <c r="I22" s="23">
        <v>0</v>
      </c>
      <c r="J22" s="41">
        <f t="shared" si="4"/>
        <v>0</v>
      </c>
      <c r="K22" s="23">
        <f t="shared" si="6"/>
        <v>0</v>
      </c>
      <c r="L22" s="98" t="e">
        <f t="shared" si="5"/>
        <v>#DIV/0!</v>
      </c>
      <c r="M22" s="74" t="s">
        <v>100</v>
      </c>
    </row>
    <row r="23" spans="1:16" hidden="1">
      <c r="A23" s="21">
        <v>7144</v>
      </c>
      <c r="B23" s="22" t="s">
        <v>23</v>
      </c>
      <c r="C23" s="23"/>
      <c r="D23" s="41">
        <f>+C23/$C$2*100</f>
        <v>0</v>
      </c>
      <c r="E23" s="23"/>
      <c r="F23" s="41">
        <f>+E23/$E$2*100</f>
        <v>0</v>
      </c>
      <c r="G23" s="23">
        <f>+C23-E23</f>
        <v>0</v>
      </c>
      <c r="H23" s="98" t="e">
        <f>+C23/E23*100-100</f>
        <v>#DIV/0!</v>
      </c>
      <c r="I23" s="23">
        <v>0</v>
      </c>
      <c r="J23" s="41">
        <f>+I23/$I$2*100</f>
        <v>0</v>
      </c>
      <c r="K23" s="23">
        <f>+C23-I23</f>
        <v>0</v>
      </c>
      <c r="L23" s="98" t="e">
        <f>+C23/I23*100-100</f>
        <v>#DIV/0!</v>
      </c>
      <c r="M23" s="74" t="s">
        <v>101</v>
      </c>
    </row>
    <row r="24" spans="1:16" ht="15.75" hidden="1" customHeight="1">
      <c r="A24" s="21"/>
      <c r="B24" s="22" t="s">
        <v>24</v>
      </c>
      <c r="C24" s="23"/>
      <c r="D24" s="41"/>
      <c r="E24" s="23"/>
      <c r="F24" s="41">
        <f>+E24/$E$2*100</f>
        <v>0</v>
      </c>
      <c r="G24" s="23"/>
      <c r="H24" s="98"/>
      <c r="I24" s="23">
        <v>0</v>
      </c>
      <c r="J24" s="41">
        <f>+I24/$I$2*100</f>
        <v>0</v>
      </c>
      <c r="K24" s="23">
        <f>+C24-I24</f>
        <v>0</v>
      </c>
      <c r="L24" s="98" t="e">
        <f>+C24/I24*100-100</f>
        <v>#DIV/0!</v>
      </c>
      <c r="M24" s="74"/>
    </row>
    <row r="25" spans="1:16" ht="17.25" hidden="1" customHeight="1">
      <c r="A25" s="21">
        <v>7145</v>
      </c>
      <c r="B25" s="22" t="s">
        <v>67</v>
      </c>
      <c r="C25" s="23"/>
      <c r="D25" s="41">
        <f t="shared" ref="D25:D29" si="18">+C25/$C$2*100</f>
        <v>0</v>
      </c>
      <c r="E25" s="23"/>
      <c r="F25" s="41">
        <f t="shared" ref="F25:F29" si="19">+E25/$E$2*100</f>
        <v>0</v>
      </c>
      <c r="G25" s="23">
        <f t="shared" ref="G25:G27" si="20">+C25-E25</f>
        <v>0</v>
      </c>
      <c r="H25" s="98" t="e">
        <f t="shared" ref="H25:H27" si="21">+C25/E25*100-100</f>
        <v>#DIV/0!</v>
      </c>
      <c r="I25" s="23">
        <v>0</v>
      </c>
      <c r="J25" s="41">
        <f t="shared" ref="J25:J27" si="22">+I25/$I$2*100</f>
        <v>0</v>
      </c>
      <c r="K25" s="23">
        <f t="shared" ref="K25:K27" si="23">+C25-I25</f>
        <v>0</v>
      </c>
      <c r="L25" s="98" t="e">
        <f t="shared" ref="L25:L27" si="24">+C25/I25*100-100</f>
        <v>#DIV/0!</v>
      </c>
      <c r="M25" s="74" t="s">
        <v>157</v>
      </c>
    </row>
    <row r="26" spans="1:16" ht="15" customHeight="1">
      <c r="A26" s="21">
        <v>7146</v>
      </c>
      <c r="B26" s="22" t="s">
        <v>189</v>
      </c>
      <c r="C26" s="23">
        <v>10179308.869999999</v>
      </c>
      <c r="D26" s="41">
        <f t="shared" si="18"/>
        <v>0.16485778625336053</v>
      </c>
      <c r="E26" s="23">
        <v>9850000</v>
      </c>
      <c r="F26" s="41">
        <f t="shared" si="19"/>
        <v>0.15952450361156997</v>
      </c>
      <c r="G26" s="23">
        <f t="shared" si="20"/>
        <v>329308.86999999918</v>
      </c>
      <c r="H26" s="98">
        <f t="shared" si="21"/>
        <v>3.3432372588832351</v>
      </c>
      <c r="I26" s="23">
        <v>7053892.4999999991</v>
      </c>
      <c r="J26" s="41">
        <f t="shared" si="22"/>
        <v>0.12168679198607635</v>
      </c>
      <c r="K26" s="23">
        <f t="shared" si="23"/>
        <v>3125416.37</v>
      </c>
      <c r="L26" s="98">
        <f t="shared" si="24"/>
        <v>44.307683594554362</v>
      </c>
      <c r="M26" s="74" t="s">
        <v>190</v>
      </c>
    </row>
    <row r="27" spans="1:16" ht="26.25" customHeight="1">
      <c r="A27" s="21">
        <v>7147</v>
      </c>
      <c r="B27" s="27" t="s">
        <v>68</v>
      </c>
      <c r="C27" s="23">
        <v>1124283.1299999999</v>
      </c>
      <c r="D27" s="41">
        <f t="shared" si="18"/>
        <v>1.8208193729148444E-2</v>
      </c>
      <c r="E27" s="23">
        <v>1563175</v>
      </c>
      <c r="F27" s="41">
        <f t="shared" si="19"/>
        <v>2.5316214815534609E-2</v>
      </c>
      <c r="G27" s="23">
        <f t="shared" si="20"/>
        <v>-438891.87000000011</v>
      </c>
      <c r="H27" s="98">
        <f t="shared" si="21"/>
        <v>-28.076950437411043</v>
      </c>
      <c r="I27" s="23">
        <v>913577.62999999989</v>
      </c>
      <c r="J27" s="41">
        <f t="shared" si="22"/>
        <v>1.5760139671102534E-2</v>
      </c>
      <c r="K27" s="23">
        <f t="shared" si="23"/>
        <v>210705.5</v>
      </c>
      <c r="L27" s="98">
        <f t="shared" si="24"/>
        <v>23.063776200387039</v>
      </c>
      <c r="M27" s="75" t="s">
        <v>158</v>
      </c>
    </row>
    <row r="28" spans="1:16" ht="15" hidden="1" customHeight="1">
      <c r="A28" s="21">
        <v>7148</v>
      </c>
      <c r="B28" s="22" t="s">
        <v>24</v>
      </c>
      <c r="C28" s="84"/>
      <c r="D28" s="41">
        <f t="shared" si="18"/>
        <v>0</v>
      </c>
      <c r="E28" s="78"/>
      <c r="F28" s="41">
        <f t="shared" si="19"/>
        <v>0</v>
      </c>
      <c r="G28" s="78">
        <f t="shared" si="2"/>
        <v>0</v>
      </c>
      <c r="H28" s="98" t="e">
        <f t="shared" si="3"/>
        <v>#DIV/0!</v>
      </c>
      <c r="I28" s="78"/>
      <c r="J28" s="41">
        <f t="shared" si="4"/>
        <v>0</v>
      </c>
      <c r="K28" s="78">
        <f t="shared" si="6"/>
        <v>0</v>
      </c>
      <c r="L28" s="98" t="e">
        <f t="shared" si="5"/>
        <v>#DIV/0!</v>
      </c>
      <c r="M28" s="74" t="s">
        <v>102</v>
      </c>
    </row>
    <row r="29" spans="1:16" ht="15" customHeight="1">
      <c r="A29" s="21">
        <v>7149</v>
      </c>
      <c r="B29" s="22" t="s">
        <v>25</v>
      </c>
      <c r="C29" s="84">
        <v>683506.46</v>
      </c>
      <c r="D29" s="41">
        <f t="shared" si="18"/>
        <v>1.1069647588507757E-2</v>
      </c>
      <c r="E29" s="78">
        <v>1416450</v>
      </c>
      <c r="F29" s="41">
        <f t="shared" si="19"/>
        <v>2.293994752696531E-2</v>
      </c>
      <c r="G29" s="78">
        <f t="shared" si="2"/>
        <v>-732943.54</v>
      </c>
      <c r="H29" s="98">
        <f t="shared" si="3"/>
        <v>-51.745105016061281</v>
      </c>
      <c r="I29" s="23">
        <v>366567.60999999993</v>
      </c>
      <c r="J29" s="41">
        <f t="shared" si="4"/>
        <v>6.3236626453980066E-3</v>
      </c>
      <c r="K29" s="78">
        <f t="shared" si="6"/>
        <v>316938.85000000003</v>
      </c>
      <c r="L29" s="98">
        <f t="shared" si="5"/>
        <v>86.461226075047961</v>
      </c>
      <c r="M29" s="74" t="s">
        <v>103</v>
      </c>
    </row>
    <row r="30" spans="1:16" ht="15" customHeight="1">
      <c r="A30" s="18">
        <v>715</v>
      </c>
      <c r="B30" s="19" t="s">
        <v>26</v>
      </c>
      <c r="C30" s="20">
        <f>+SUM(C31:C34)</f>
        <v>2535676.59</v>
      </c>
      <c r="D30" s="40">
        <f t="shared" si="1"/>
        <v>4.1066248663881061E-2</v>
      </c>
      <c r="E30" s="20">
        <f>+SUM(E31:E34)</f>
        <v>3558653.75</v>
      </c>
      <c r="F30" s="40">
        <f t="shared" si="0"/>
        <v>5.7633753603472289E-2</v>
      </c>
      <c r="G30" s="20">
        <f t="shared" si="2"/>
        <v>-1022977.1600000001</v>
      </c>
      <c r="H30" s="93">
        <f t="shared" si="3"/>
        <v>-28.746184143371636</v>
      </c>
      <c r="I30" s="20">
        <f>+SUM(I31:I34)</f>
        <v>1886257.85</v>
      </c>
      <c r="J30" s="40">
        <f t="shared" si="4"/>
        <v>3.253985889706338E-2</v>
      </c>
      <c r="K30" s="20">
        <f t="shared" si="6"/>
        <v>649418.73999999976</v>
      </c>
      <c r="L30" s="93">
        <f t="shared" si="5"/>
        <v>34.428948300997121</v>
      </c>
      <c r="M30" s="73" t="s">
        <v>104</v>
      </c>
    </row>
    <row r="31" spans="1:16" ht="15" customHeight="1">
      <c r="A31" s="21">
        <v>7151</v>
      </c>
      <c r="B31" s="22" t="s">
        <v>27</v>
      </c>
      <c r="C31" s="84">
        <v>396612.70999999996</v>
      </c>
      <c r="D31" s="41">
        <f t="shared" si="1"/>
        <v>6.4232939785573151E-3</v>
      </c>
      <c r="E31" s="78">
        <v>369525</v>
      </c>
      <c r="F31" s="41">
        <f t="shared" si="0"/>
        <v>5.9845981925954715E-3</v>
      </c>
      <c r="G31" s="78">
        <f t="shared" si="2"/>
        <v>27087.709999999963</v>
      </c>
      <c r="H31" s="98">
        <f t="shared" si="3"/>
        <v>7.3304133685136321</v>
      </c>
      <c r="I31" s="78">
        <v>286167.57000000007</v>
      </c>
      <c r="J31" s="41">
        <f t="shared" si="4"/>
        <v>4.9366805014041471E-3</v>
      </c>
      <c r="K31" s="78">
        <f t="shared" si="6"/>
        <v>110445.1399999999</v>
      </c>
      <c r="L31" s="98">
        <f t="shared" si="5"/>
        <v>38.594568909398021</v>
      </c>
      <c r="M31" s="74" t="s">
        <v>105</v>
      </c>
    </row>
    <row r="32" spans="1:16" ht="15" customHeight="1">
      <c r="A32" s="21">
        <v>7152</v>
      </c>
      <c r="B32" s="22" t="s">
        <v>28</v>
      </c>
      <c r="C32" s="84">
        <v>577515.47</v>
      </c>
      <c r="D32" s="41">
        <f t="shared" si="1"/>
        <v>9.3530831146956886E-3</v>
      </c>
      <c r="E32" s="78">
        <v>625925</v>
      </c>
      <c r="F32" s="41">
        <f t="shared" si="0"/>
        <v>1.0137093900819487E-2</v>
      </c>
      <c r="G32" s="78">
        <f t="shared" si="2"/>
        <v>-48409.530000000028</v>
      </c>
      <c r="H32" s="98">
        <f t="shared" si="3"/>
        <v>-7.7340783640212578</v>
      </c>
      <c r="I32" s="78">
        <v>513819.41999999993</v>
      </c>
      <c r="J32" s="41">
        <f t="shared" si="4"/>
        <v>8.8639055500131878E-3</v>
      </c>
      <c r="K32" s="78">
        <f t="shared" si="6"/>
        <v>63696.050000000047</v>
      </c>
      <c r="L32" s="98">
        <f t="shared" si="5"/>
        <v>12.396582830598348</v>
      </c>
      <c r="M32" s="74" t="s">
        <v>106</v>
      </c>
      <c r="P32" s="80"/>
    </row>
    <row r="33" spans="1:16384">
      <c r="A33" s="21">
        <v>7153</v>
      </c>
      <c r="B33" s="22" t="s">
        <v>29</v>
      </c>
      <c r="C33" s="84">
        <v>321294.93</v>
      </c>
      <c r="D33" s="41">
        <f t="shared" si="1"/>
        <v>5.2034938295598097E-3</v>
      </c>
      <c r="E33" s="78">
        <v>1040797.5</v>
      </c>
      <c r="F33" s="41">
        <f t="shared" si="0"/>
        <v>1.685611213681858E-2</v>
      </c>
      <c r="G33" s="78">
        <f t="shared" si="2"/>
        <v>-719502.57000000007</v>
      </c>
      <c r="H33" s="98">
        <f t="shared" si="3"/>
        <v>-69.129928732534438</v>
      </c>
      <c r="I33" s="78">
        <v>262323.04000000004</v>
      </c>
      <c r="J33" s="41">
        <f t="shared" si="4"/>
        <v>4.5253382017992469E-3</v>
      </c>
      <c r="K33" s="78">
        <f t="shared" si="6"/>
        <v>58971.889999999956</v>
      </c>
      <c r="L33" s="98">
        <f t="shared" si="5"/>
        <v>22.480636851417984</v>
      </c>
      <c r="M33" s="74" t="s">
        <v>107</v>
      </c>
    </row>
    <row r="34" spans="1:16384" s="3" customFormat="1" ht="15" customHeight="1">
      <c r="A34" s="21">
        <v>7155</v>
      </c>
      <c r="B34" s="22" t="s">
        <v>26</v>
      </c>
      <c r="C34" s="84">
        <v>1240253.48</v>
      </c>
      <c r="D34" s="41">
        <f t="shared" si="1"/>
        <v>2.0086377741068247E-2</v>
      </c>
      <c r="E34" s="78">
        <v>1522406.25</v>
      </c>
      <c r="F34" s="41">
        <f t="shared" si="0"/>
        <v>2.4655949373238752E-2</v>
      </c>
      <c r="G34" s="78">
        <f t="shared" si="2"/>
        <v>-282152.77</v>
      </c>
      <c r="H34" s="98">
        <f t="shared" si="3"/>
        <v>-18.533342857729338</v>
      </c>
      <c r="I34" s="78">
        <v>823947.82000000007</v>
      </c>
      <c r="J34" s="41">
        <f t="shared" si="4"/>
        <v>1.4213934643846798E-2</v>
      </c>
      <c r="K34" s="78">
        <f t="shared" si="6"/>
        <v>416305.65999999992</v>
      </c>
      <c r="L34" s="98">
        <f t="shared" si="5"/>
        <v>50.525731107583965</v>
      </c>
      <c r="M34" s="74" t="s">
        <v>104</v>
      </c>
      <c r="N34" s="1"/>
      <c r="O34" s="1"/>
      <c r="P34" s="1"/>
      <c r="Q34" s="1"/>
      <c r="R34" s="1"/>
    </row>
    <row r="35" spans="1:16384" ht="15" customHeight="1">
      <c r="A35" s="18">
        <v>73</v>
      </c>
      <c r="B35" s="106" t="s">
        <v>193</v>
      </c>
      <c r="C35" s="40">
        <v>0</v>
      </c>
      <c r="D35" s="40">
        <f t="shared" si="1"/>
        <v>0</v>
      </c>
      <c r="E35" s="20">
        <v>78625</v>
      </c>
      <c r="F35" s="40">
        <f t="shared" si="0"/>
        <v>1.2733618372040294E-3</v>
      </c>
      <c r="G35" s="20">
        <f t="shared" si="2"/>
        <v>-78625</v>
      </c>
      <c r="H35" s="93">
        <f t="shared" si="3"/>
        <v>-100</v>
      </c>
      <c r="I35" s="20">
        <v>2589531.84</v>
      </c>
      <c r="J35" s="40">
        <f t="shared" si="4"/>
        <v>4.4672047717682337E-2</v>
      </c>
      <c r="K35" s="20">
        <f t="shared" si="6"/>
        <v>-2589531.84</v>
      </c>
      <c r="L35" s="93">
        <f t="shared" si="5"/>
        <v>-100</v>
      </c>
      <c r="M35" s="73" t="s">
        <v>108</v>
      </c>
    </row>
    <row r="36" spans="1:16384" ht="15" customHeight="1">
      <c r="A36" s="18">
        <v>74</v>
      </c>
      <c r="B36" s="19" t="s">
        <v>188</v>
      </c>
      <c r="C36" s="20">
        <v>14090109.33</v>
      </c>
      <c r="D36" s="40">
        <f t="shared" si="1"/>
        <v>0.22819469002040618</v>
      </c>
      <c r="E36" s="20">
        <v>15561836.4275</v>
      </c>
      <c r="F36" s="40">
        <f t="shared" si="0"/>
        <v>0.25202987120623199</v>
      </c>
      <c r="G36" s="20">
        <f t="shared" si="2"/>
        <v>-1471727.0975000001</v>
      </c>
      <c r="H36" s="93">
        <f t="shared" si="3"/>
        <v>-9.4572841987931895</v>
      </c>
      <c r="I36" s="20">
        <v>10010264.08</v>
      </c>
      <c r="J36" s="40">
        <f t="shared" si="4"/>
        <v>0.17268719686735404</v>
      </c>
      <c r="K36" s="20">
        <f t="shared" si="6"/>
        <v>4079845.25</v>
      </c>
      <c r="L36" s="93">
        <f t="shared" si="5"/>
        <v>40.756619579610515</v>
      </c>
      <c r="M36" s="73" t="s">
        <v>109</v>
      </c>
    </row>
    <row r="37" spans="1:16384" s="34" customFormat="1" ht="15" customHeight="1">
      <c r="A37" s="31"/>
      <c r="B37" s="32" t="s">
        <v>72</v>
      </c>
      <c r="C37" s="33">
        <f>+C38+C48+C49++C50+C51+C52+C53+C54</f>
        <v>65290052.140000008</v>
      </c>
      <c r="D37" s="43">
        <f t="shared" si="1"/>
        <v>1.0573972749651799</v>
      </c>
      <c r="E37" s="33">
        <f>+E38+E48+E49++E50+E51+E52+E53+E54</f>
        <v>102211112.645</v>
      </c>
      <c r="F37" s="43">
        <f t="shared" si="0"/>
        <v>1.6553479196223235</v>
      </c>
      <c r="G37" s="33">
        <f t="shared" si="2"/>
        <v>-36921060.504999988</v>
      </c>
      <c r="H37" s="103">
        <f t="shared" si="3"/>
        <v>-36.122354555746149</v>
      </c>
      <c r="I37" s="33">
        <f>+I38+I48+I49++I50+I51+I52+I53+I54</f>
        <v>60457053.409999996</v>
      </c>
      <c r="J37" s="43">
        <f t="shared" si="4"/>
        <v>1.0429454208997058</v>
      </c>
      <c r="K37" s="33">
        <f t="shared" si="6"/>
        <v>4832998.7300000116</v>
      </c>
      <c r="L37" s="103">
        <f t="shared" si="5"/>
        <v>7.9941023543178602</v>
      </c>
      <c r="M37" s="72" t="s">
        <v>110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69</v>
      </c>
      <c r="C38" s="69">
        <f>SUM(C39:C47)</f>
        <v>20805549.119999997</v>
      </c>
      <c r="D38" s="40">
        <f t="shared" si="1"/>
        <v>0.33695379652123209</v>
      </c>
      <c r="E38" s="69">
        <f>SUM(E39:E47)</f>
        <v>31370680.039999995</v>
      </c>
      <c r="F38" s="40">
        <f t="shared" si="0"/>
        <v>0.50806011790237415</v>
      </c>
      <c r="G38" s="20">
        <f t="shared" si="2"/>
        <v>-10565130.919999998</v>
      </c>
      <c r="H38" s="93">
        <f t="shared" si="3"/>
        <v>-33.678361152925774</v>
      </c>
      <c r="I38" s="69">
        <f>SUM(I39:I47)</f>
        <v>16934514.439999998</v>
      </c>
      <c r="J38" s="40">
        <f t="shared" si="4"/>
        <v>0.29213753059682812</v>
      </c>
      <c r="K38" s="20">
        <f t="shared" si="6"/>
        <v>3871034.6799999997</v>
      </c>
      <c r="L38" s="93">
        <f t="shared" si="5"/>
        <v>22.858846610071453</v>
      </c>
      <c r="M38" s="73" t="s">
        <v>111</v>
      </c>
    </row>
    <row r="39" spans="1:16384" ht="15" customHeight="1">
      <c r="A39" s="21">
        <v>411</v>
      </c>
      <c r="B39" s="22" t="s">
        <v>30</v>
      </c>
      <c r="C39" s="23">
        <v>12513583.42</v>
      </c>
      <c r="D39" s="41">
        <f t="shared" si="1"/>
        <v>0.20266225212969263</v>
      </c>
      <c r="E39" s="23">
        <v>17257271.924999997</v>
      </c>
      <c r="F39" s="41">
        <f t="shared" si="0"/>
        <v>0.27948809518025453</v>
      </c>
      <c r="G39" s="23">
        <f t="shared" si="2"/>
        <v>-4743688.5049999971</v>
      </c>
      <c r="H39" s="98">
        <f t="shared" si="3"/>
        <v>-27.488055618617125</v>
      </c>
      <c r="I39" s="23">
        <v>10124782.359999999</v>
      </c>
      <c r="J39" s="41">
        <f t="shared" si="4"/>
        <v>0.17466275321683952</v>
      </c>
      <c r="K39" s="23">
        <f t="shared" si="6"/>
        <v>2388801.0600000005</v>
      </c>
      <c r="L39" s="98">
        <f t="shared" si="5"/>
        <v>23.593604040689726</v>
      </c>
      <c r="M39" s="74" t="s">
        <v>112</v>
      </c>
    </row>
    <row r="40" spans="1:16384" ht="15" customHeight="1">
      <c r="A40" s="21">
        <v>412</v>
      </c>
      <c r="B40" s="22" t="s">
        <v>31</v>
      </c>
      <c r="C40" s="23">
        <v>975086.52999999991</v>
      </c>
      <c r="D40" s="41">
        <f t="shared" si="1"/>
        <v>1.579189793670845E-2</v>
      </c>
      <c r="E40" s="23">
        <v>1394109.5</v>
      </c>
      <c r="F40" s="41">
        <f t="shared" si="0"/>
        <v>2.2578134616007516E-2</v>
      </c>
      <c r="G40" s="23">
        <f t="shared" si="2"/>
        <v>-419022.97000000009</v>
      </c>
      <c r="H40" s="98">
        <f t="shared" si="3"/>
        <v>-30.056675605467149</v>
      </c>
      <c r="I40" s="23">
        <v>755464.02</v>
      </c>
      <c r="J40" s="41">
        <f t="shared" si="4"/>
        <v>1.3032519712301405E-2</v>
      </c>
      <c r="K40" s="23">
        <f t="shared" si="6"/>
        <v>219622.50999999989</v>
      </c>
      <c r="L40" s="98">
        <f t="shared" si="5"/>
        <v>29.071207123801855</v>
      </c>
      <c r="M40" s="74" t="s">
        <v>113</v>
      </c>
    </row>
    <row r="41" spans="1:16384" ht="15" customHeight="1">
      <c r="A41" s="21">
        <v>413</v>
      </c>
      <c r="B41" s="22" t="s">
        <v>73</v>
      </c>
      <c r="C41" s="23">
        <v>2051983.96</v>
      </c>
      <c r="D41" s="41">
        <f t="shared" si="1"/>
        <v>3.3232662196741487E-2</v>
      </c>
      <c r="E41" s="23">
        <v>2795228</v>
      </c>
      <c r="F41" s="41">
        <f t="shared" si="0"/>
        <v>4.5269782657985938E-2</v>
      </c>
      <c r="G41" s="23">
        <f t="shared" si="2"/>
        <v>-743244.04</v>
      </c>
      <c r="H41" s="98">
        <f t="shared" si="3"/>
        <v>-26.589746525149295</v>
      </c>
      <c r="I41" s="23">
        <v>1974244.4</v>
      </c>
      <c r="J41" s="41">
        <f t="shared" si="4"/>
        <v>3.4057716024517827E-2</v>
      </c>
      <c r="K41" s="23">
        <f t="shared" si="6"/>
        <v>77739.560000000056</v>
      </c>
      <c r="L41" s="98">
        <f t="shared" si="5"/>
        <v>3.9376867423303992</v>
      </c>
      <c r="M41" s="74" t="s">
        <v>114</v>
      </c>
    </row>
    <row r="42" spans="1:16384" ht="15" customHeight="1">
      <c r="A42" s="21">
        <v>414</v>
      </c>
      <c r="B42" s="22" t="s">
        <v>74</v>
      </c>
      <c r="C42" s="23">
        <v>1657997.18</v>
      </c>
      <c r="D42" s="41">
        <f t="shared" si="1"/>
        <v>2.6851896155216527E-2</v>
      </c>
      <c r="E42" s="23">
        <v>3391680.8649999998</v>
      </c>
      <c r="F42" s="41">
        <f t="shared" si="0"/>
        <v>5.4929564101318294E-2</v>
      </c>
      <c r="G42" s="23">
        <f t="shared" si="2"/>
        <v>-1733683.6849999998</v>
      </c>
      <c r="H42" s="98">
        <f t="shared" si="3"/>
        <v>-51.115766901612659</v>
      </c>
      <c r="I42" s="23">
        <v>1118468.2999999998</v>
      </c>
      <c r="J42" s="41">
        <f t="shared" si="4"/>
        <v>1.9294711305158169E-2</v>
      </c>
      <c r="K42" s="23">
        <f t="shared" si="6"/>
        <v>539528.88000000012</v>
      </c>
      <c r="L42" s="98">
        <f t="shared" si="5"/>
        <v>48.238191462377614</v>
      </c>
      <c r="M42" s="74" t="s">
        <v>115</v>
      </c>
    </row>
    <row r="43" spans="1:16384" ht="15.75" customHeight="1">
      <c r="A43" s="21">
        <v>415</v>
      </c>
      <c r="B43" s="22" t="s">
        <v>32</v>
      </c>
      <c r="C43" s="23">
        <v>1213523.06</v>
      </c>
      <c r="D43" s="41">
        <f t="shared" si="1"/>
        <v>1.9653468402811517E-2</v>
      </c>
      <c r="E43" s="23">
        <v>1953779.25</v>
      </c>
      <c r="F43" s="41">
        <f t="shared" si="0"/>
        <v>3.1642199494704107E-2</v>
      </c>
      <c r="G43" s="23">
        <f t="shared" si="2"/>
        <v>-740256.19</v>
      </c>
      <c r="H43" s="98">
        <f t="shared" si="3"/>
        <v>-37.88842521487522</v>
      </c>
      <c r="I43" s="23">
        <v>947068.1399999999</v>
      </c>
      <c r="J43" s="41">
        <f t="shared" si="4"/>
        <v>1.6337884898135351E-2</v>
      </c>
      <c r="K43" s="23">
        <f t="shared" si="6"/>
        <v>266454.92000000016</v>
      </c>
      <c r="L43" s="98">
        <f t="shared" si="5"/>
        <v>28.1347147840915</v>
      </c>
      <c r="M43" s="74" t="s">
        <v>116</v>
      </c>
    </row>
    <row r="44" spans="1:16384" ht="15" customHeight="1">
      <c r="A44" s="21">
        <v>416</v>
      </c>
      <c r="B44" s="22" t="s">
        <v>33</v>
      </c>
      <c r="C44" s="23">
        <v>364903.72000000003</v>
      </c>
      <c r="D44" s="41">
        <f t="shared" si="1"/>
        <v>5.9097548019304896E-3</v>
      </c>
      <c r="E44" s="23">
        <v>717657.5</v>
      </c>
      <c r="F44" s="41">
        <f t="shared" si="0"/>
        <v>1.1622736695494445E-2</v>
      </c>
      <c r="G44" s="23">
        <f t="shared" si="2"/>
        <v>-352753.77999999997</v>
      </c>
      <c r="H44" s="98">
        <f t="shared" si="3"/>
        <v>-49.153500102764895</v>
      </c>
      <c r="I44" s="23">
        <v>367548.17000000004</v>
      </c>
      <c r="J44" s="41">
        <f t="shared" si="4"/>
        <v>6.3405782988120449E-3</v>
      </c>
      <c r="K44" s="23">
        <f t="shared" si="6"/>
        <v>-2644.4500000000116</v>
      </c>
      <c r="L44" s="98">
        <f t="shared" si="5"/>
        <v>-0.71948392505940717</v>
      </c>
      <c r="M44" s="74" t="s">
        <v>117</v>
      </c>
    </row>
    <row r="45" spans="1:16384" ht="15" customHeight="1">
      <c r="A45" s="21">
        <v>417</v>
      </c>
      <c r="B45" s="22" t="s">
        <v>34</v>
      </c>
      <c r="C45" s="23">
        <v>139364.27000000002</v>
      </c>
      <c r="D45" s="41">
        <f t="shared" si="1"/>
        <v>2.2570574612120627E-3</v>
      </c>
      <c r="E45" s="23">
        <v>245436.5</v>
      </c>
      <c r="F45" s="41">
        <f t="shared" si="0"/>
        <v>3.9749376477828521E-3</v>
      </c>
      <c r="G45" s="23">
        <f t="shared" si="2"/>
        <v>-106072.22999999998</v>
      </c>
      <c r="H45" s="98">
        <f t="shared" si="3"/>
        <v>-43.217789530082108</v>
      </c>
      <c r="I45" s="23">
        <v>95820.23000000001</v>
      </c>
      <c r="J45" s="41">
        <f t="shared" si="4"/>
        <v>1.6529960438251639E-3</v>
      </c>
      <c r="K45" s="23">
        <f t="shared" si="6"/>
        <v>43544.040000000008</v>
      </c>
      <c r="L45" s="98">
        <f t="shared" si="5"/>
        <v>45.443472636206366</v>
      </c>
      <c r="M45" s="74" t="s">
        <v>118</v>
      </c>
    </row>
    <row r="46" spans="1:16384" ht="15" customHeight="1">
      <c r="A46" s="21">
        <v>418</v>
      </c>
      <c r="B46" s="22" t="s">
        <v>35</v>
      </c>
      <c r="C46" s="23">
        <v>163222.03000000003</v>
      </c>
      <c r="D46" s="41">
        <f t="shared" si="1"/>
        <v>2.643442976063227E-3</v>
      </c>
      <c r="E46" s="23">
        <v>1226794</v>
      </c>
      <c r="F46" s="41">
        <f t="shared" si="0"/>
        <v>1.9868396333365724E-2</v>
      </c>
      <c r="G46" s="23">
        <f t="shared" si="2"/>
        <v>-1063571.97</v>
      </c>
      <c r="H46" s="98">
        <f t="shared" si="3"/>
        <v>-86.695237342210675</v>
      </c>
      <c r="I46" s="23">
        <v>213195.75999999998</v>
      </c>
      <c r="J46" s="41">
        <f t="shared" si="4"/>
        <v>3.6778428505160033E-3</v>
      </c>
      <c r="K46" s="23">
        <f t="shared" si="6"/>
        <v>-49973.729999999952</v>
      </c>
      <c r="L46" s="98">
        <f t="shared" si="5"/>
        <v>-23.440302002253688</v>
      </c>
      <c r="M46" s="74" t="s">
        <v>119</v>
      </c>
    </row>
    <row r="47" spans="1:16384" ht="15" customHeight="1">
      <c r="A47" s="21">
        <v>419</v>
      </c>
      <c r="B47" s="22" t="s">
        <v>36</v>
      </c>
      <c r="C47" s="23">
        <v>1725884.95</v>
      </c>
      <c r="D47" s="41">
        <f t="shared" si="1"/>
        <v>2.7951364460855763E-2</v>
      </c>
      <c r="E47" s="23">
        <v>2388722.5</v>
      </c>
      <c r="F47" s="41">
        <f t="shared" si="0"/>
        <v>3.8686271175460758E-2</v>
      </c>
      <c r="G47" s="23">
        <f t="shared" si="2"/>
        <v>-662837.55000000005</v>
      </c>
      <c r="H47" s="98">
        <f t="shared" si="3"/>
        <v>-27.748620863243843</v>
      </c>
      <c r="I47" s="23">
        <v>1337923.06</v>
      </c>
      <c r="J47" s="41">
        <f t="shared" si="4"/>
        <v>2.3080528246722611E-2</v>
      </c>
      <c r="K47" s="23">
        <f t="shared" si="6"/>
        <v>387961.8899999999</v>
      </c>
      <c r="L47" s="98">
        <f t="shared" si="5"/>
        <v>28.997324405186617</v>
      </c>
      <c r="M47" s="74" t="s">
        <v>120</v>
      </c>
    </row>
    <row r="48" spans="1:16384" ht="15" customHeight="1">
      <c r="A48" s="18">
        <v>42</v>
      </c>
      <c r="B48" s="19" t="s">
        <v>37</v>
      </c>
      <c r="C48" s="20">
        <v>100971.75000000001</v>
      </c>
      <c r="D48" s="40">
        <f t="shared" si="1"/>
        <v>1.6352759692935578E-3</v>
      </c>
      <c r="E48" s="20">
        <v>185922.5</v>
      </c>
      <c r="F48" s="40">
        <f t="shared" si="0"/>
        <v>3.0110857383474233E-3</v>
      </c>
      <c r="G48" s="20">
        <f t="shared" si="2"/>
        <v>-84950.749999999985</v>
      </c>
      <c r="H48" s="93">
        <f t="shared" si="3"/>
        <v>-45.691484355040402</v>
      </c>
      <c r="I48" s="20">
        <v>97777.540000000008</v>
      </c>
      <c r="J48" s="40">
        <f t="shared" si="4"/>
        <v>1.6867616242932911E-3</v>
      </c>
      <c r="K48" s="20">
        <f t="shared" si="6"/>
        <v>3194.2100000000064</v>
      </c>
      <c r="L48" s="93">
        <f t="shared" si="5"/>
        <v>3.266813626114967</v>
      </c>
      <c r="M48" s="73" t="s">
        <v>121</v>
      </c>
    </row>
    <row r="49" spans="1:16384" ht="15" customHeight="1">
      <c r="A49" s="18">
        <v>43</v>
      </c>
      <c r="B49" s="19" t="s">
        <v>173</v>
      </c>
      <c r="C49" s="20">
        <v>17315903.330000002</v>
      </c>
      <c r="D49" s="40">
        <f t="shared" si="1"/>
        <v>0.28043765312732816</v>
      </c>
      <c r="E49" s="20">
        <v>21876492.524999999</v>
      </c>
      <c r="F49" s="40">
        <f t="shared" si="0"/>
        <v>0.35429813307744629</v>
      </c>
      <c r="G49" s="20">
        <f t="shared" si="2"/>
        <v>-4560589.1949999966</v>
      </c>
      <c r="H49" s="93">
        <f t="shared" si="3"/>
        <v>-20.846985364716261</v>
      </c>
      <c r="I49" s="20">
        <v>14272381.18</v>
      </c>
      <c r="J49" s="40">
        <f t="shared" si="4"/>
        <v>0.24621303483100304</v>
      </c>
      <c r="K49" s="20">
        <f t="shared" si="6"/>
        <v>3043522.1500000022</v>
      </c>
      <c r="L49" s="93">
        <f t="shared" si="5"/>
        <v>21.324557630684041</v>
      </c>
      <c r="M49" s="73" t="s">
        <v>127</v>
      </c>
    </row>
    <row r="50" spans="1:16384" ht="15" customHeight="1">
      <c r="A50" s="18">
        <v>44</v>
      </c>
      <c r="B50" s="19" t="s">
        <v>65</v>
      </c>
      <c r="C50" s="20">
        <v>12409292.560000002</v>
      </c>
      <c r="D50" s="40">
        <f t="shared" si="1"/>
        <v>0.20097322190911157</v>
      </c>
      <c r="E50" s="20">
        <v>42166004.204999998</v>
      </c>
      <c r="F50" s="40">
        <f t="shared" si="0"/>
        <v>0.68289450660771545</v>
      </c>
      <c r="G50" s="20">
        <f t="shared" si="2"/>
        <v>-29756711.644999996</v>
      </c>
      <c r="H50" s="93">
        <f t="shared" si="3"/>
        <v>-70.570385328262802</v>
      </c>
      <c r="I50" s="20">
        <v>14233619.990000002</v>
      </c>
      <c r="J50" s="40">
        <f t="shared" si="4"/>
        <v>0.24554436503419758</v>
      </c>
      <c r="K50" s="20">
        <f t="shared" si="6"/>
        <v>-1824327.4299999997</v>
      </c>
      <c r="L50" s="93">
        <f t="shared" si="5"/>
        <v>-12.817030602767971</v>
      </c>
      <c r="M50" s="73" t="s">
        <v>128</v>
      </c>
    </row>
    <row r="51" spans="1:16384" ht="15" customHeight="1">
      <c r="A51" s="18">
        <v>45</v>
      </c>
      <c r="B51" s="19" t="s">
        <v>44</v>
      </c>
      <c r="C51" s="20">
        <v>0</v>
      </c>
      <c r="D51" s="40">
        <f t="shared" si="1"/>
        <v>0</v>
      </c>
      <c r="E51" s="20">
        <v>388750</v>
      </c>
      <c r="F51" s="40">
        <f t="shared" si="0"/>
        <v>6.2959543938068867E-3</v>
      </c>
      <c r="G51" s="20">
        <f t="shared" si="2"/>
        <v>-388750</v>
      </c>
      <c r="H51" s="93">
        <f t="shared" si="3"/>
        <v>-100</v>
      </c>
      <c r="I51" s="20">
        <v>1069453.23</v>
      </c>
      <c r="J51" s="40">
        <f t="shared" si="4"/>
        <v>1.8449151690055877E-2</v>
      </c>
      <c r="K51" s="20">
        <f t="shared" si="6"/>
        <v>-1069453.23</v>
      </c>
      <c r="L51" s="93">
        <f t="shared" si="5"/>
        <v>-100</v>
      </c>
      <c r="M51" s="73" t="s">
        <v>129</v>
      </c>
    </row>
    <row r="52" spans="1:16384" ht="15" customHeight="1">
      <c r="A52" s="18">
        <v>462</v>
      </c>
      <c r="B52" s="19" t="s">
        <v>45</v>
      </c>
      <c r="C52" s="20">
        <v>0</v>
      </c>
      <c r="D52" s="40">
        <f t="shared" si="1"/>
        <v>0</v>
      </c>
      <c r="E52" s="20">
        <v>0</v>
      </c>
      <c r="F52" s="40">
        <f t="shared" si="0"/>
        <v>0</v>
      </c>
      <c r="G52" s="20">
        <f t="shared" si="2"/>
        <v>0</v>
      </c>
      <c r="H52" s="93" t="e">
        <f t="shared" si="3"/>
        <v>#DIV/0!</v>
      </c>
      <c r="I52" s="20">
        <v>0</v>
      </c>
      <c r="J52" s="40">
        <f t="shared" si="4"/>
        <v>0</v>
      </c>
      <c r="K52" s="20">
        <f t="shared" si="6"/>
        <v>0</v>
      </c>
      <c r="L52" s="93" t="e">
        <f t="shared" si="5"/>
        <v>#DIV/0!</v>
      </c>
      <c r="M52" s="73" t="s">
        <v>130</v>
      </c>
    </row>
    <row r="53" spans="1:16384" ht="15" customHeight="1">
      <c r="A53" s="18">
        <v>463</v>
      </c>
      <c r="B53" s="19" t="s">
        <v>46</v>
      </c>
      <c r="C53" s="20">
        <v>13871267.570000002</v>
      </c>
      <c r="D53" s="40">
        <f>+C53/$C$2*100</f>
        <v>0.22465046432157554</v>
      </c>
      <c r="E53" s="20">
        <v>5408893.375</v>
      </c>
      <c r="F53" s="40">
        <f>+E53/$E$2*100</f>
        <v>8.7599089414698933E-2</v>
      </c>
      <c r="G53" s="20">
        <f>+C53-E53</f>
        <v>8462374.1950000022</v>
      </c>
      <c r="H53" s="93">
        <f>+C53/E53*100-100</f>
        <v>156.45296751666882</v>
      </c>
      <c r="I53" s="20">
        <v>13036389.780000003</v>
      </c>
      <c r="J53" s="40">
        <v>0</v>
      </c>
      <c r="K53" s="20">
        <f>+C53-I53</f>
        <v>834877.78999999911</v>
      </c>
      <c r="L53" s="93">
        <f>+C53/I53*100-100</f>
        <v>6.4042100925889827</v>
      </c>
      <c r="M53" s="73" t="s">
        <v>131</v>
      </c>
    </row>
    <row r="54" spans="1:16384" ht="15" customHeight="1">
      <c r="A54" s="18">
        <v>47</v>
      </c>
      <c r="B54" s="19" t="s">
        <v>47</v>
      </c>
      <c r="C54" s="20">
        <v>787067.80999999994</v>
      </c>
      <c r="D54" s="40">
        <f t="shared" si="1"/>
        <v>1.2746863116639133E-2</v>
      </c>
      <c r="E54" s="20">
        <v>814370</v>
      </c>
      <c r="F54" s="40">
        <f t="shared" si="0"/>
        <v>1.3189032487934441E-2</v>
      </c>
      <c r="G54" s="20">
        <f t="shared" si="2"/>
        <v>-27302.190000000061</v>
      </c>
      <c r="H54" s="93">
        <f t="shared" si="3"/>
        <v>-3.3525535076193904</v>
      </c>
      <c r="I54" s="20">
        <v>812917.25</v>
      </c>
      <c r="J54" s="40">
        <f t="shared" si="4"/>
        <v>1.4023646136178462E-2</v>
      </c>
      <c r="K54" s="20">
        <f t="shared" si="6"/>
        <v>-25849.440000000061</v>
      </c>
      <c r="L54" s="93">
        <f t="shared" si="5"/>
        <v>-3.179836570081406</v>
      </c>
      <c r="M54" s="73" t="s">
        <v>132</v>
      </c>
    </row>
    <row r="55" spans="1:16384" s="34" customFormat="1" ht="15" customHeight="1">
      <c r="A55" s="31"/>
      <c r="B55" s="32" t="s">
        <v>77</v>
      </c>
      <c r="C55" s="33">
        <f>+C6-C37</f>
        <v>-862423.05000000447</v>
      </c>
      <c r="D55" s="43">
        <f t="shared" si="1"/>
        <v>-1.3967269944611871E-2</v>
      </c>
      <c r="E55" s="33">
        <f>+E6-E37</f>
        <v>-19228013.717500001</v>
      </c>
      <c r="F55" s="43">
        <f t="shared" si="0"/>
        <v>-0.31140500951478639</v>
      </c>
      <c r="G55" s="33">
        <f t="shared" si="2"/>
        <v>18365590.667499997</v>
      </c>
      <c r="H55" s="103">
        <f t="shared" si="3"/>
        <v>-95.514757464443207</v>
      </c>
      <c r="I55" s="33">
        <f>+I6-I37</f>
        <v>-5265718.4200763702</v>
      </c>
      <c r="J55" s="43">
        <f t="shared" si="4"/>
        <v>-9.0838977492368064E-2</v>
      </c>
      <c r="K55" s="33">
        <f t="shared" si="6"/>
        <v>4403295.3700763658</v>
      </c>
      <c r="L55" s="103">
        <f t="shared" si="5"/>
        <v>-83.621929978027651</v>
      </c>
      <c r="M55" s="72" t="s">
        <v>134</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182</v>
      </c>
      <c r="C56" s="20">
        <v>0</v>
      </c>
      <c r="D56" s="40">
        <f>+C56/$C$2*100</f>
        <v>0</v>
      </c>
      <c r="E56" s="20">
        <v>0</v>
      </c>
      <c r="F56" s="40">
        <f>+E56/$E$2*100</f>
        <v>0</v>
      </c>
      <c r="G56" s="20">
        <f>+C56-E56</f>
        <v>0</v>
      </c>
      <c r="H56" s="93" t="e">
        <f>+C56/E56*100-100</f>
        <v>#DIV/0!</v>
      </c>
      <c r="I56" s="20">
        <v>0</v>
      </c>
      <c r="J56" s="40">
        <f t="shared" si="4"/>
        <v>0</v>
      </c>
      <c r="K56" s="20">
        <f>+C56-I56</f>
        <v>0</v>
      </c>
      <c r="L56" s="93" t="e">
        <f>+C56/I56*100-100</f>
        <v>#DIV/0!</v>
      </c>
      <c r="M56" s="73" t="s">
        <v>133</v>
      </c>
    </row>
    <row r="57" spans="1:16384" s="34" customFormat="1" ht="15" hidden="1" customHeight="1">
      <c r="A57" s="31"/>
      <c r="B57" s="32" t="s">
        <v>59</v>
      </c>
      <c r="C57" s="33">
        <f>+C55-C56</f>
        <v>-862423.05000000447</v>
      </c>
      <c r="D57" s="43">
        <f t="shared" si="1"/>
        <v>-1.3967269944611871E-2</v>
      </c>
      <c r="E57" s="33">
        <f>+E55-E56</f>
        <v>-19228013.717500001</v>
      </c>
      <c r="F57" s="43">
        <f t="shared" si="0"/>
        <v>-0.31140500951478639</v>
      </c>
      <c r="G57" s="33">
        <f t="shared" si="2"/>
        <v>18365590.667499997</v>
      </c>
      <c r="H57" s="103">
        <f t="shared" si="3"/>
        <v>-95.514757464443207</v>
      </c>
      <c r="I57" s="33">
        <f>+I55-I56</f>
        <v>-5265718.4200763702</v>
      </c>
      <c r="J57" s="43">
        <f t="shared" si="4"/>
        <v>-9.0838977492368064E-2</v>
      </c>
      <c r="K57" s="33">
        <f t="shared" si="6"/>
        <v>4403295.3700763658</v>
      </c>
      <c r="L57" s="103">
        <f t="shared" si="5"/>
        <v>-83.621929978027651</v>
      </c>
      <c r="M57" s="72" t="s">
        <v>137</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75</v>
      </c>
      <c r="C58" s="33">
        <f>+C57+C44</f>
        <v>-497519.33000000444</v>
      </c>
      <c r="D58" s="43">
        <f t="shared" si="1"/>
        <v>-8.0575151426813783E-3</v>
      </c>
      <c r="E58" s="33">
        <f>+E57+E44</f>
        <v>-18510356.217500001</v>
      </c>
      <c r="F58" s="43">
        <f t="shared" si="0"/>
        <v>-0.29978227281929193</v>
      </c>
      <c r="G58" s="33">
        <f t="shared" si="2"/>
        <v>18012836.887499996</v>
      </c>
      <c r="H58" s="103">
        <f t="shared" si="3"/>
        <v>-97.312210936655873</v>
      </c>
      <c r="I58" s="33">
        <f>+I57+I44</f>
        <v>-4898170.2500763703</v>
      </c>
      <c r="J58" s="43">
        <f t="shared" si="4"/>
        <v>-8.4498399193556034E-2</v>
      </c>
      <c r="K58" s="33">
        <f t="shared" si="6"/>
        <v>4400650.9200763656</v>
      </c>
      <c r="L58" s="103">
        <f t="shared" si="5"/>
        <v>-89.842751382677079</v>
      </c>
      <c r="M58" s="72" t="s">
        <v>136</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76</v>
      </c>
      <c r="C59" s="33">
        <f>+C6-(C37-C50)</f>
        <v>11546869.509999998</v>
      </c>
      <c r="D59" s="43">
        <f t="shared" si="1"/>
        <v>0.18700595196449968</v>
      </c>
      <c r="E59" s="33">
        <f>+E6-(E37-E50)</f>
        <v>22937990.487499997</v>
      </c>
      <c r="F59" s="43">
        <f t="shared" si="0"/>
        <v>0.37148949709292906</v>
      </c>
      <c r="G59" s="33">
        <f t="shared" si="2"/>
        <v>-11391120.977499999</v>
      </c>
      <c r="H59" s="103">
        <f t="shared" si="3"/>
        <v>-49.660500921855224</v>
      </c>
      <c r="I59" s="33">
        <f>+I6-(I37-I50)</f>
        <v>8967901.5699236318</v>
      </c>
      <c r="J59" s="43">
        <f t="shared" si="4"/>
        <v>0.15470538754182953</v>
      </c>
      <c r="K59" s="33">
        <f t="shared" si="6"/>
        <v>2578967.9400763661</v>
      </c>
      <c r="L59" s="103">
        <f t="shared" si="5"/>
        <v>28.7577636749009</v>
      </c>
      <c r="M59" s="72" t="s">
        <v>135</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2913617.17</v>
      </c>
      <c r="D60" s="43">
        <f t="shared" si="1"/>
        <v>4.7187140381563179E-2</v>
      </c>
      <c r="E60" s="33">
        <f>+E61+E62</f>
        <v>3083794.75</v>
      </c>
      <c r="F60" s="43">
        <f t="shared" si="0"/>
        <v>4.994323114047873E-2</v>
      </c>
      <c r="G60" s="33">
        <f t="shared" si="2"/>
        <v>-170177.58000000007</v>
      </c>
      <c r="H60" s="103">
        <f t="shared" si="3"/>
        <v>-5.5184470367231881</v>
      </c>
      <c r="I60" s="33">
        <f>+I61+I62+I63</f>
        <v>2156783.6</v>
      </c>
      <c r="J60" s="43">
        <f t="shared" si="4"/>
        <v>3.72067021566009E-2</v>
      </c>
      <c r="K60" s="33">
        <f t="shared" si="6"/>
        <v>756833.56999999983</v>
      </c>
      <c r="L60" s="103">
        <f t="shared" si="5"/>
        <v>35.090844069845474</v>
      </c>
      <c r="M60" s="72" t="s">
        <v>138</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52</v>
      </c>
      <c r="C61" s="23">
        <v>2059948.55</v>
      </c>
      <c r="D61" s="41">
        <f t="shared" si="1"/>
        <v>3.3361651766916078E-2</v>
      </c>
      <c r="E61" s="23">
        <v>2365554.75</v>
      </c>
      <c r="F61" s="41">
        <f t="shared" si="0"/>
        <v>3.8311060635506752E-2</v>
      </c>
      <c r="G61" s="23">
        <f t="shared" si="2"/>
        <v>-305606.19999999995</v>
      </c>
      <c r="H61" s="98">
        <f t="shared" si="3"/>
        <v>-12.919007687308863</v>
      </c>
      <c r="I61" s="23">
        <v>1300513.33</v>
      </c>
      <c r="J61" s="41">
        <f t="shared" si="4"/>
        <v>2.2435172504093236E-2</v>
      </c>
      <c r="K61" s="23">
        <f t="shared" si="6"/>
        <v>759435.22</v>
      </c>
      <c r="L61" s="98">
        <f t="shared" si="5"/>
        <v>58.39503544342756</v>
      </c>
      <c r="M61" s="74" t="s">
        <v>139</v>
      </c>
    </row>
    <row r="62" spans="1:16384" ht="15" customHeight="1">
      <c r="A62" s="21">
        <v>4612</v>
      </c>
      <c r="B62" s="22" t="s">
        <v>53</v>
      </c>
      <c r="C62" s="23">
        <v>853668.62</v>
      </c>
      <c r="D62" s="41">
        <f t="shared" si="1"/>
        <v>1.3825488614647101E-2</v>
      </c>
      <c r="E62" s="23">
        <v>718240</v>
      </c>
      <c r="F62" s="41">
        <f t="shared" si="0"/>
        <v>1.1632170504971982E-2</v>
      </c>
      <c r="G62" s="23">
        <f t="shared" si="2"/>
        <v>135428.62</v>
      </c>
      <c r="H62" s="98">
        <f t="shared" si="3"/>
        <v>18.855622076186222</v>
      </c>
      <c r="I62" s="23">
        <v>856270.27</v>
      </c>
      <c r="J62" s="41">
        <f t="shared" si="4"/>
        <v>1.4771529652507668E-2</v>
      </c>
      <c r="K62" s="23">
        <f t="shared" si="6"/>
        <v>-2601.6500000000233</v>
      </c>
      <c r="L62" s="98">
        <f t="shared" si="5"/>
        <v>-0.30383514307929715</v>
      </c>
      <c r="M62" s="74" t="s">
        <v>140</v>
      </c>
    </row>
    <row r="63" spans="1:16384" ht="15" hidden="1" customHeight="1">
      <c r="A63" s="21">
        <v>463</v>
      </c>
      <c r="B63" s="22" t="s">
        <v>46</v>
      </c>
      <c r="C63" s="23"/>
      <c r="D63" s="41"/>
      <c r="E63" s="23"/>
      <c r="F63" s="41"/>
      <c r="G63" s="23"/>
      <c r="H63" s="98"/>
      <c r="I63" s="23"/>
      <c r="J63" s="41">
        <f t="shared" si="4"/>
        <v>0</v>
      </c>
      <c r="K63" s="23"/>
      <c r="L63" s="98"/>
      <c r="M63" s="74"/>
    </row>
    <row r="64" spans="1:16384" s="34" customFormat="1" ht="15" customHeight="1">
      <c r="A64" s="31">
        <v>4418</v>
      </c>
      <c r="B64" s="32" t="s">
        <v>63</v>
      </c>
      <c r="C64" s="33">
        <v>0</v>
      </c>
      <c r="D64" s="43">
        <f t="shared" si="1"/>
        <v>0</v>
      </c>
      <c r="E64" s="33">
        <v>0</v>
      </c>
      <c r="F64" s="43">
        <f t="shared" ref="F64:F73" si="25">+E64/$E$2*100</f>
        <v>0</v>
      </c>
      <c r="G64" s="33">
        <f t="shared" si="2"/>
        <v>0</v>
      </c>
      <c r="H64" s="103" t="e">
        <f t="shared" si="3"/>
        <v>#DIV/0!</v>
      </c>
      <c r="I64" s="33">
        <v>0</v>
      </c>
      <c r="J64" s="43">
        <f t="shared" si="4"/>
        <v>0</v>
      </c>
      <c r="K64" s="33">
        <f t="shared" si="6"/>
        <v>0</v>
      </c>
      <c r="L64" s="103" t="e">
        <f t="shared" si="5"/>
        <v>#DIV/0!</v>
      </c>
      <c r="M64" s="72" t="s">
        <v>141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v>43</v>
      </c>
      <c r="B65" s="32" t="s">
        <v>44</v>
      </c>
      <c r="C65" s="33">
        <v>3074.2200000000003</v>
      </c>
      <c r="D65" s="43">
        <f t="shared" si="1"/>
        <v>4.9788164415508699E-5</v>
      </c>
      <c r="E65" s="33">
        <v>0</v>
      </c>
      <c r="F65" s="43">
        <f t="shared" si="25"/>
        <v>0</v>
      </c>
      <c r="G65" s="33">
        <f t="shared" si="2"/>
        <v>3074.2200000000003</v>
      </c>
      <c r="H65" s="103" t="e">
        <f t="shared" si="3"/>
        <v>#DIV/0!</v>
      </c>
      <c r="I65" s="33">
        <v>0</v>
      </c>
      <c r="J65" s="43">
        <f t="shared" si="4"/>
        <v>0</v>
      </c>
      <c r="K65" s="33">
        <f t="shared" si="6"/>
        <v>3074.2200000000003</v>
      </c>
      <c r="L65" s="103" t="e">
        <f t="shared" si="5"/>
        <v>#DIV/0!</v>
      </c>
      <c r="M65" s="72" t="s">
        <v>129</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54</v>
      </c>
      <c r="C66" s="33">
        <f>+C57-C60-C64-C65</f>
        <v>-3779114.4400000046</v>
      </c>
      <c r="D66" s="43">
        <f t="shared" si="1"/>
        <v>-6.1204198490590556E-2</v>
      </c>
      <c r="E66" s="33">
        <f>+E57-E60-E64-E65</f>
        <v>-22311808.467500001</v>
      </c>
      <c r="F66" s="43">
        <f t="shared" si="25"/>
        <v>-0.36134824065526511</v>
      </c>
      <c r="G66" s="33">
        <f t="shared" ref="G66:G73" si="26">+C66-E66</f>
        <v>18532694.027499996</v>
      </c>
      <c r="H66" s="103">
        <f t="shared" ref="H66:H73" si="27">+C66/E66*100-100</f>
        <v>-83.06226747372466</v>
      </c>
      <c r="I66" s="33">
        <f>+I57-I60-I64-I65</f>
        <v>-7422502.0200763699</v>
      </c>
      <c r="J66" s="43">
        <f t="shared" si="4"/>
        <v>-0.12804567964896896</v>
      </c>
      <c r="K66" s="33">
        <f t="shared" ref="K66:K73" si="28">+C66-I66</f>
        <v>3643387.5800763653</v>
      </c>
      <c r="L66" s="103">
        <f t="shared" ref="L66:L73" si="29">+C66/I66*100-100</f>
        <v>-49.085706817212539</v>
      </c>
      <c r="M66" s="72" t="s">
        <v>142</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s="34" customFormat="1" ht="15" customHeight="1">
      <c r="A67" s="31"/>
      <c r="B67" s="32" t="s">
        <v>48</v>
      </c>
      <c r="C67" s="33">
        <f>+SUM(C68:C73)+C56</f>
        <v>3779114.4400000046</v>
      </c>
      <c r="D67" s="43">
        <f t="shared" ref="D67:D73" si="30">+C67/$C$2*100</f>
        <v>6.1204198490590556E-2</v>
      </c>
      <c r="E67" s="33">
        <f>+SUM(E68:E73)+E56</f>
        <v>22311808.467500001</v>
      </c>
      <c r="F67" s="43">
        <f t="shared" si="25"/>
        <v>0.36134824065526511</v>
      </c>
      <c r="G67" s="33">
        <f t="shared" si="26"/>
        <v>-18532694.027499996</v>
      </c>
      <c r="H67" s="103">
        <f t="shared" si="27"/>
        <v>-83.06226747372466</v>
      </c>
      <c r="I67" s="33">
        <f>+SUM(I68:I73)+I56</f>
        <v>7422502.0200763699</v>
      </c>
      <c r="J67" s="43">
        <f t="shared" ref="J67:J73" si="31">+I67/$I$2*100</f>
        <v>0.12804567964896896</v>
      </c>
      <c r="K67" s="33">
        <f t="shared" si="28"/>
        <v>-3643387.5800763653</v>
      </c>
      <c r="L67" s="103">
        <f t="shared" si="29"/>
        <v>-49.085706817212539</v>
      </c>
      <c r="M67" s="72" t="s">
        <v>143</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c r="XEW67" s="1"/>
      <c r="XEX67" s="1"/>
      <c r="XEY67" s="1"/>
      <c r="XEZ67" s="1"/>
      <c r="XFA67" s="1"/>
      <c r="XFB67" s="1"/>
      <c r="XFC67" s="1"/>
      <c r="XFD67" s="1"/>
    </row>
    <row r="68" spans="1:16384">
      <c r="A68" s="21">
        <v>7511</v>
      </c>
      <c r="B68" s="22" t="s">
        <v>55</v>
      </c>
      <c r="C68" s="23">
        <v>1303604.3400000001</v>
      </c>
      <c r="D68" s="41">
        <f t="shared" si="30"/>
        <v>2.1112369060343989E-2</v>
      </c>
      <c r="E68" s="23">
        <v>765000</v>
      </c>
      <c r="F68" s="41">
        <f t="shared" si="25"/>
        <v>1.2389466524147314E-2</v>
      </c>
      <c r="G68" s="23">
        <f t="shared" si="26"/>
        <v>538604.34000000008</v>
      </c>
      <c r="H68" s="98">
        <f t="shared" si="27"/>
        <v>70.405796078431393</v>
      </c>
      <c r="I68" s="70">
        <v>2369632.2400000002</v>
      </c>
      <c r="J68" s="41">
        <f t="shared" si="31"/>
        <v>4.0878556835446563E-2</v>
      </c>
      <c r="K68" s="23">
        <f t="shared" si="28"/>
        <v>-1066027.9000000001</v>
      </c>
      <c r="L68" s="98">
        <f t="shared" si="29"/>
        <v>-44.987060945794695</v>
      </c>
      <c r="M68" s="74" t="s">
        <v>144</v>
      </c>
    </row>
    <row r="69" spans="1:16384" ht="15" customHeight="1">
      <c r="A69" s="21">
        <v>7512</v>
      </c>
      <c r="B69" s="22" t="s">
        <v>49</v>
      </c>
      <c r="C69" s="23">
        <v>435784.99</v>
      </c>
      <c r="D69" s="41">
        <f t="shared" si="30"/>
        <v>7.0577039808246691E-3</v>
      </c>
      <c r="E69" s="23">
        <v>1887000</v>
      </c>
      <c r="F69" s="41">
        <f t="shared" si="25"/>
        <v>3.0560684092896709E-2</v>
      </c>
      <c r="G69" s="23">
        <f t="shared" si="26"/>
        <v>-1451215.01</v>
      </c>
      <c r="H69" s="98">
        <f t="shared" si="27"/>
        <v>-76.905935877053523</v>
      </c>
      <c r="I69" s="70">
        <v>60865.46</v>
      </c>
      <c r="J69" s="41">
        <f t="shared" si="31"/>
        <v>1.0499908483375458E-3</v>
      </c>
      <c r="K69" s="23">
        <f t="shared" si="28"/>
        <v>374919.52999999997</v>
      </c>
      <c r="L69" s="98">
        <f t="shared" si="29"/>
        <v>615.98077136030849</v>
      </c>
      <c r="M69" s="74" t="s">
        <v>145</v>
      </c>
    </row>
    <row r="70" spans="1:16384" ht="15" customHeight="1">
      <c r="A70" s="18">
        <v>72</v>
      </c>
      <c r="B70" s="19" t="s">
        <v>172</v>
      </c>
      <c r="C70" s="20">
        <v>606014.68000000005</v>
      </c>
      <c r="D70" s="40">
        <f t="shared" si="30"/>
        <v>9.8146386810481646E-3</v>
      </c>
      <c r="E70" s="20">
        <v>3921750</v>
      </c>
      <c r="F70" s="40">
        <f t="shared" si="25"/>
        <v>6.3514235739966965E-2</v>
      </c>
      <c r="G70" s="20">
        <f t="shared" si="26"/>
        <v>-3315735.32</v>
      </c>
      <c r="H70" s="93">
        <f t="shared" si="27"/>
        <v>-84.547340345509014</v>
      </c>
      <c r="I70" s="69">
        <v>13221893.129999999</v>
      </c>
      <c r="J70" s="40">
        <f t="shared" si="31"/>
        <v>0.22809105170973928</v>
      </c>
      <c r="K70" s="20">
        <f t="shared" si="28"/>
        <v>-12615878.449999999</v>
      </c>
      <c r="L70" s="93">
        <f t="shared" si="29"/>
        <v>-95.416581619276783</v>
      </c>
      <c r="M70" s="73" t="s">
        <v>146</v>
      </c>
    </row>
    <row r="71" spans="1:16384" ht="15" customHeight="1">
      <c r="A71" s="28">
        <v>73</v>
      </c>
      <c r="B71" s="19" t="s">
        <v>193</v>
      </c>
      <c r="C71" s="30">
        <v>54229.020000000004</v>
      </c>
      <c r="D71" s="40">
        <f t="shared" si="30"/>
        <v>8.7825964434943172E-4</v>
      </c>
      <c r="E71" s="30">
        <v>0</v>
      </c>
      <c r="F71" s="40">
        <f t="shared" si="25"/>
        <v>0</v>
      </c>
      <c r="G71" s="20">
        <f t="shared" si="26"/>
        <v>54229.020000000004</v>
      </c>
      <c r="H71" s="93" t="e">
        <f t="shared" si="27"/>
        <v>#DIV/0!</v>
      </c>
      <c r="I71" s="69">
        <v>0</v>
      </c>
      <c r="J71" s="40">
        <f t="shared" si="31"/>
        <v>0</v>
      </c>
      <c r="K71" s="20">
        <f t="shared" si="28"/>
        <v>54229.020000000004</v>
      </c>
      <c r="L71" s="93" t="e">
        <f t="shared" si="29"/>
        <v>#DIV/0!</v>
      </c>
      <c r="M71" s="76" t="s">
        <v>108</v>
      </c>
    </row>
    <row r="72" spans="1:16384" ht="15" customHeight="1">
      <c r="A72" s="28"/>
      <c r="B72" s="29" t="s">
        <v>152</v>
      </c>
      <c r="C72" s="30">
        <v>2297414.9</v>
      </c>
      <c r="D72" s="40">
        <f t="shared" si="30"/>
        <v>3.720750979820555E-2</v>
      </c>
      <c r="E72" s="30">
        <v>2449335</v>
      </c>
      <c r="F72" s="40">
        <f t="shared" ref="F72" si="32">+E72/$E$2*100</f>
        <v>3.9667913711009618E-2</v>
      </c>
      <c r="G72" s="20">
        <f t="shared" ref="G72" si="33">+C72-E72</f>
        <v>-151920.10000000009</v>
      </c>
      <c r="H72" s="93">
        <f t="shared" ref="H72" si="34">+C72/E72*100-100</f>
        <v>-6.2025039449483188</v>
      </c>
      <c r="I72" s="71">
        <v>1250736.0299999998</v>
      </c>
      <c r="J72" s="40">
        <f t="shared" ref="J72" si="35">+I72/$I$2*100</f>
        <v>2.1576463649268959E-2</v>
      </c>
      <c r="K72" s="20">
        <f t="shared" ref="K72" si="36">+C72-I72</f>
        <v>1046678.8700000001</v>
      </c>
      <c r="L72" s="93">
        <f t="shared" ref="L72" si="37">+C72/I72*100-100</f>
        <v>83.685033843632084</v>
      </c>
      <c r="M72" s="76" t="s">
        <v>153</v>
      </c>
    </row>
    <row r="73" spans="1:16384" ht="15" customHeight="1" thickBot="1">
      <c r="A73" s="24"/>
      <c r="B73" s="25" t="s">
        <v>50</v>
      </c>
      <c r="C73" s="26">
        <f>+-C66-(SUM(C68:C72)+C56)</f>
        <v>-917933.4899999951</v>
      </c>
      <c r="D73" s="42">
        <f t="shared" si="30"/>
        <v>-1.4866282674181244E-2</v>
      </c>
      <c r="E73" s="26">
        <f>+-E66-SUM(E68:E72)</f>
        <v>13288723.467500001</v>
      </c>
      <c r="F73" s="42">
        <f t="shared" si="25"/>
        <v>0.21521594058724453</v>
      </c>
      <c r="G73" s="26">
        <f t="shared" si="26"/>
        <v>-14206656.957499996</v>
      </c>
      <c r="H73" s="99">
        <f t="shared" si="27"/>
        <v>-106.90761224917479</v>
      </c>
      <c r="I73" s="26">
        <f>+-I66-(SUM(I68:I72)+I56)</f>
        <v>-9480624.8399236295</v>
      </c>
      <c r="J73" s="42">
        <f t="shared" si="31"/>
        <v>-0.16355038339382338</v>
      </c>
      <c r="K73" s="26">
        <f t="shared" si="28"/>
        <v>8562691.3499236349</v>
      </c>
      <c r="L73" s="99">
        <f t="shared" si="29"/>
        <v>-90.317795445986775</v>
      </c>
      <c r="M73" s="77" t="s">
        <v>147</v>
      </c>
    </row>
    <row r="74" spans="1:16384" ht="13.5" customHeight="1"/>
    <row r="78" spans="1:16384">
      <c r="G78" s="88"/>
    </row>
    <row r="80" spans="1:16384">
      <c r="J80" s="89"/>
    </row>
  </sheetData>
  <sheetProtection algorithmName="SHA-512" hashValue="50lCXFFDSuo2b++Dq9Bha00/TXFRGYGARjV1rykuaxm6WAX6PanuCQb4wqpHOunP/dMHlRrzb+W8tTy/gB+gSg==" saltValue="Bd5lUg72xLHpHCKDX3Li5g=="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C64"/>
  <sheetViews>
    <sheetView zoomScale="90" zoomScaleNormal="90" zoomScaleSheetLayoutView="90" workbookViewId="0">
      <pane ySplit="5" topLeftCell="A6" activePane="bottomLeft" state="frozen"/>
      <selection activeCell="G14" sqref="G14"/>
      <selection pane="bottomLeft" activeCell="F68" sqref="A1:XFD1048576"/>
    </sheetView>
  </sheetViews>
  <sheetFormatPr defaultColWidth="9.140625" defaultRowHeight="13.5"/>
  <cols>
    <col min="1" max="1" width="12.7109375" style="4" customWidth="1"/>
    <col min="2" max="2" width="65.7109375" style="4" bestFit="1" customWidth="1"/>
    <col min="3" max="3" width="9.140625" style="6"/>
    <col min="4" max="4" width="9.140625" style="4"/>
    <col min="5" max="5" width="9.140625" style="6"/>
    <col min="6" max="6" width="10" style="7" customWidth="1"/>
    <col min="7" max="7" width="10.42578125" style="6" customWidth="1"/>
    <col min="8" max="8" width="11.5703125" style="100" customWidth="1"/>
    <col min="9" max="9" width="9.140625" style="6"/>
    <col min="10" max="10" width="10.7109375" style="7" customWidth="1"/>
    <col min="11" max="11" width="11.28515625" style="6" customWidth="1"/>
    <col min="12" max="12" width="11.7109375" style="100" customWidth="1"/>
    <col min="13" max="13" width="53.85546875" style="4" customWidth="1"/>
    <col min="14" max="14" width="9.140625" style="1"/>
    <col min="15" max="15" width="12.140625" style="1" bestFit="1" customWidth="1"/>
    <col min="16" max="17" width="23.85546875" style="1" bestFit="1" customWidth="1"/>
    <col min="18" max="18" width="10.42578125" style="1" bestFit="1" customWidth="1"/>
    <col min="19" max="16384" width="9.140625" style="1"/>
  </cols>
  <sheetData>
    <row r="1" spans="1:16357" ht="18.75" customHeight="1" thickBot="1">
      <c r="B1" s="5"/>
      <c r="M1" s="5"/>
    </row>
    <row r="2" spans="1:16357" ht="15.75" customHeight="1" thickBot="1">
      <c r="A2" s="8" t="s">
        <v>58</v>
      </c>
      <c r="B2" s="8"/>
      <c r="C2" s="118">
        <f>'Centralna država-ek klas'!C2:D2</f>
        <v>6174600000</v>
      </c>
      <c r="D2" s="119"/>
      <c r="E2" s="118">
        <f>'Centralna država-ek klas'!E2:F2</f>
        <v>6174600000</v>
      </c>
      <c r="F2" s="119"/>
      <c r="G2" s="9"/>
      <c r="H2" s="101"/>
      <c r="I2" s="118">
        <v>5796761000</v>
      </c>
      <c r="J2" s="119"/>
      <c r="K2" s="9"/>
      <c r="L2" s="101"/>
      <c r="M2" s="8" t="s">
        <v>78</v>
      </c>
    </row>
    <row r="3" spans="1:16357" ht="15" customHeight="1" thickBot="1">
      <c r="A3" s="8"/>
      <c r="B3" s="8"/>
      <c r="C3" s="11"/>
      <c r="D3" s="8"/>
      <c r="E3" s="11"/>
      <c r="F3" s="10"/>
      <c r="G3" s="11"/>
      <c r="H3" s="101"/>
      <c r="I3" s="11"/>
      <c r="J3" s="10"/>
      <c r="K3" s="11"/>
      <c r="L3" s="101"/>
      <c r="M3" s="8"/>
    </row>
    <row r="4" spans="1:16357" ht="15" customHeight="1">
      <c r="A4" s="110" t="s">
        <v>70</v>
      </c>
      <c r="B4" s="122" t="s">
        <v>71</v>
      </c>
      <c r="C4" s="114" t="s">
        <v>183</v>
      </c>
      <c r="D4" s="115"/>
      <c r="E4" s="112" t="s">
        <v>184</v>
      </c>
      <c r="F4" s="113"/>
      <c r="G4" s="112" t="s">
        <v>171</v>
      </c>
      <c r="H4" s="113"/>
      <c r="I4" s="112" t="s">
        <v>186</v>
      </c>
      <c r="J4" s="113"/>
      <c r="K4" s="112" t="s">
        <v>171</v>
      </c>
      <c r="L4" s="113"/>
      <c r="M4" s="120" t="s">
        <v>148</v>
      </c>
    </row>
    <row r="5" spans="1:16357" ht="24" customHeight="1">
      <c r="A5" s="111"/>
      <c r="B5" s="123"/>
      <c r="C5" s="12" t="s">
        <v>61</v>
      </c>
      <c r="D5" s="13" t="s">
        <v>56</v>
      </c>
      <c r="E5" s="12" t="s">
        <v>61</v>
      </c>
      <c r="F5" s="13" t="s">
        <v>56</v>
      </c>
      <c r="G5" s="12" t="s">
        <v>64</v>
      </c>
      <c r="H5" s="102" t="s">
        <v>62</v>
      </c>
      <c r="I5" s="12" t="s">
        <v>61</v>
      </c>
      <c r="J5" s="14" t="s">
        <v>56</v>
      </c>
      <c r="K5" s="12" t="s">
        <v>61</v>
      </c>
      <c r="L5" s="104" t="s">
        <v>62</v>
      </c>
      <c r="M5" s="121"/>
    </row>
    <row r="6" spans="1:16357" s="38" customFormat="1" ht="15" customHeight="1">
      <c r="A6" s="35"/>
      <c r="B6" s="36" t="s">
        <v>51</v>
      </c>
      <c r="C6" s="37">
        <f>+C7+C17+C22+C23+C24+C25+C26</f>
        <v>606865475.47000003</v>
      </c>
      <c r="D6" s="44">
        <f>+C6/$C$2*100</f>
        <v>9.8284176379036712</v>
      </c>
      <c r="E6" s="37">
        <f>+E7+E17+E22+E23+E24+E25+E26</f>
        <v>565668819.56564224</v>
      </c>
      <c r="F6" s="44">
        <f t="shared" ref="F6:F52" si="0">+E6/$E$2*100</f>
        <v>9.1612220964215041</v>
      </c>
      <c r="G6" s="37">
        <f>+C6-E6</f>
        <v>41196655.904357791</v>
      </c>
      <c r="H6" s="105">
        <f>+C6/E6*100-100</f>
        <v>7.2828224712812215</v>
      </c>
      <c r="I6" s="37">
        <f>+I7+I17+I22+I23+I24+I25+I26</f>
        <v>470562764.70992357</v>
      </c>
      <c r="J6" s="44">
        <f>+I6/$I$2*100</f>
        <v>8.1176844225581082</v>
      </c>
      <c r="K6" s="37">
        <f>+C6-I6</f>
        <v>136302710.76007646</v>
      </c>
      <c r="L6" s="105">
        <f>+C6/I6*100-100</f>
        <v>28.965893815270249</v>
      </c>
      <c r="M6" s="81" t="s">
        <v>149</v>
      </c>
      <c r="N6" s="1"/>
      <c r="O6" s="1"/>
      <c r="P6" s="8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377770259.88</v>
      </c>
      <c r="D7" s="40">
        <f t="shared" ref="D7:D56" si="1">+C7/$C$2*100</f>
        <v>6.1181333184335829</v>
      </c>
      <c r="E7" s="20">
        <f>+SUM(E8:E16)</f>
        <v>373120538.53946209</v>
      </c>
      <c r="F7" s="40">
        <f t="shared" si="0"/>
        <v>6.042829309420239</v>
      </c>
      <c r="G7" s="20">
        <f t="shared" ref="G7:G55" si="2">+C7-E7</f>
        <v>4649721.3405379057</v>
      </c>
      <c r="H7" s="93">
        <f t="shared" ref="H7:H55" si="3">+C7/E7*100-100</f>
        <v>1.2461713736635147</v>
      </c>
      <c r="I7" s="20">
        <f>+SUM(I8:I16)</f>
        <v>329509102.46992362</v>
      </c>
      <c r="J7" s="40">
        <f t="shared" ref="J7:J56" si="4">+I7/$I$2*100</f>
        <v>5.6843658462014153</v>
      </c>
      <c r="K7" s="20">
        <f t="shared" ref="K7:K55" si="5">+C7-I7</f>
        <v>48261157.41007638</v>
      </c>
      <c r="L7" s="93">
        <f t="shared" ref="L7:L55" si="6">+C7/I7*100-100</f>
        <v>14.646380645730872</v>
      </c>
      <c r="M7" s="73" t="s">
        <v>79</v>
      </c>
      <c r="Q7" s="86"/>
    </row>
    <row r="8" spans="1:16357" ht="15" customHeight="1">
      <c r="A8" s="21">
        <v>7111</v>
      </c>
      <c r="B8" s="22" t="s">
        <v>2</v>
      </c>
      <c r="C8" s="23">
        <f>+'Centralna država-ek klas'!C8+'Lokalna država-ek klas '!C8</f>
        <v>21781514.240000002</v>
      </c>
      <c r="D8" s="41">
        <f t="shared" si="1"/>
        <v>0.35275992355780134</v>
      </c>
      <c r="E8" s="23">
        <f>+'Centralna država-ek klas'!E8+'Lokalna država-ek klas '!E8</f>
        <v>27986364.001156613</v>
      </c>
      <c r="F8" s="41">
        <f t="shared" si="0"/>
        <v>0.45324982996723046</v>
      </c>
      <c r="G8" s="23">
        <f t="shared" si="2"/>
        <v>-6204849.7611566111</v>
      </c>
      <c r="H8" s="98">
        <f t="shared" si="3"/>
        <v>-22.17097498231702</v>
      </c>
      <c r="I8" s="23">
        <f>+'Centralna država-ek klas'!I8+'Lokalna država-ek klas '!I8</f>
        <v>30259722.578000002</v>
      </c>
      <c r="J8" s="41">
        <f t="shared" si="4"/>
        <v>0.52201087086391862</v>
      </c>
      <c r="K8" s="23">
        <f t="shared" si="5"/>
        <v>-8478208.3379999995</v>
      </c>
      <c r="L8" s="98">
        <f t="shared" si="6"/>
        <v>-28.018129763568908</v>
      </c>
      <c r="M8" s="74" t="s">
        <v>80</v>
      </c>
      <c r="P8" s="90"/>
      <c r="Q8" s="90"/>
      <c r="R8" s="90"/>
    </row>
    <row r="9" spans="1:16357" ht="15" customHeight="1">
      <c r="A9" s="21">
        <v>7112</v>
      </c>
      <c r="B9" s="22" t="s">
        <v>3</v>
      </c>
      <c r="C9" s="23">
        <f>+'Centralna država-ek klas'!C9</f>
        <v>42686712.359999999</v>
      </c>
      <c r="D9" s="41">
        <f t="shared" si="1"/>
        <v>0.69132757360800701</v>
      </c>
      <c r="E9" s="23">
        <f>+'Centralna država-ek klas'!E9</f>
        <v>55648606.200422123</v>
      </c>
      <c r="F9" s="41">
        <f t="shared" si="0"/>
        <v>0.90125038383736789</v>
      </c>
      <c r="G9" s="23">
        <f t="shared" si="2"/>
        <v>-12961893.840422124</v>
      </c>
      <c r="H9" s="98">
        <f t="shared" si="3"/>
        <v>-23.292396207982293</v>
      </c>
      <c r="I9" s="23">
        <f>+'Centralna država-ek klas'!I9</f>
        <v>41248279.109999999</v>
      </c>
      <c r="J9" s="41">
        <f t="shared" si="4"/>
        <v>0.71157460364503555</v>
      </c>
      <c r="K9" s="23">
        <f t="shared" si="5"/>
        <v>1438433.25</v>
      </c>
      <c r="L9" s="98">
        <f t="shared" si="6"/>
        <v>3.4872563923552349</v>
      </c>
      <c r="M9" s="74" t="s">
        <v>81</v>
      </c>
    </row>
    <row r="10" spans="1:16357" ht="15" customHeight="1">
      <c r="A10" s="21">
        <v>71131</v>
      </c>
      <c r="B10" s="22" t="s">
        <v>66</v>
      </c>
      <c r="C10" s="23">
        <f>+'Lokalna država-ek klas '!C9</f>
        <v>9244808.6599999964</v>
      </c>
      <c r="D10" s="41">
        <f t="shared" si="1"/>
        <v>0.14972319923557795</v>
      </c>
      <c r="E10" s="23">
        <f>+'Lokalna država-ek klas '!E9</f>
        <v>20478500</v>
      </c>
      <c r="F10" s="41">
        <f t="shared" si="0"/>
        <v>0.33165711139183107</v>
      </c>
      <c r="G10" s="23">
        <f t="shared" si="2"/>
        <v>-11233691.340000004</v>
      </c>
      <c r="H10" s="98">
        <f t="shared" si="3"/>
        <v>-54.856026271455441</v>
      </c>
      <c r="I10" s="23">
        <f>+'Lokalna država-ek klas '!I9</f>
        <v>7294863.4700000007</v>
      </c>
      <c r="J10" s="41">
        <f t="shared" si="4"/>
        <v>0.12584378534840407</v>
      </c>
      <c r="K10" s="23">
        <f t="shared" si="5"/>
        <v>1949945.1899999958</v>
      </c>
      <c r="L10" s="98">
        <f t="shared" si="6"/>
        <v>26.730386360472849</v>
      </c>
      <c r="M10" s="74" t="s">
        <v>150</v>
      </c>
    </row>
    <row r="11" spans="1:16357" ht="15" customHeight="1">
      <c r="A11" s="21">
        <v>71132</v>
      </c>
      <c r="B11" s="22" t="s">
        <v>4</v>
      </c>
      <c r="C11" s="23">
        <f>+'Centralna država-ek klas'!C10+'Lokalna država-ek klas '!C10</f>
        <v>6106793.4199999999</v>
      </c>
      <c r="D11" s="41">
        <f t="shared" si="1"/>
        <v>9.8901846597350435E-2</v>
      </c>
      <c r="E11" s="23">
        <f>+'Centralna država-ek klas'!E10+'Lokalna država-ek klas '!E10</f>
        <v>4836656.25</v>
      </c>
      <c r="F11" s="41">
        <f t="shared" si="0"/>
        <v>7.8331491108735787E-2</v>
      </c>
      <c r="G11" s="23">
        <f t="shared" si="2"/>
        <v>1270137.17</v>
      </c>
      <c r="H11" s="98">
        <f t="shared" si="3"/>
        <v>26.26064587492651</v>
      </c>
      <c r="I11" s="23">
        <f>+'Centralna država-ek klas'!I10+'Lokalna država-ek klas '!I10</f>
        <v>5597328.444600001</v>
      </c>
      <c r="J11" s="41">
        <f t="shared" si="4"/>
        <v>9.6559586372458706E-2</v>
      </c>
      <c r="K11" s="23">
        <f t="shared" si="5"/>
        <v>509464.97539999895</v>
      </c>
      <c r="L11" s="98">
        <f t="shared" si="6"/>
        <v>9.1019310451846707</v>
      </c>
      <c r="M11" s="74" t="s">
        <v>82</v>
      </c>
    </row>
    <row r="12" spans="1:16357" ht="15" customHeight="1">
      <c r="A12" s="21">
        <v>7114</v>
      </c>
      <c r="B12" s="22" t="s">
        <v>5</v>
      </c>
      <c r="C12" s="23">
        <f>+'Centralna država-ek klas'!C11</f>
        <v>221766123.17000002</v>
      </c>
      <c r="D12" s="41">
        <f t="shared" si="1"/>
        <v>3.5915868747773141</v>
      </c>
      <c r="E12" s="23">
        <f>+'Centralna država-ek klas'!E11</f>
        <v>194936321.93692654</v>
      </c>
      <c r="F12" s="41">
        <f t="shared" si="0"/>
        <v>3.1570680195790262</v>
      </c>
      <c r="G12" s="23">
        <f t="shared" si="2"/>
        <v>26829801.233073473</v>
      </c>
      <c r="H12" s="98">
        <f t="shared" si="3"/>
        <v>13.76336691207014</v>
      </c>
      <c r="I12" s="23">
        <f>+'Centralna država-ek klas'!I11</f>
        <v>171411208.22999999</v>
      </c>
      <c r="J12" s="41">
        <f t="shared" si="4"/>
        <v>2.9570170001833778</v>
      </c>
      <c r="K12" s="23">
        <f t="shared" si="5"/>
        <v>50354914.940000027</v>
      </c>
      <c r="L12" s="98">
        <f t="shared" si="6"/>
        <v>29.376675807823318</v>
      </c>
      <c r="M12" s="74" t="s">
        <v>83</v>
      </c>
    </row>
    <row r="13" spans="1:16357" ht="15" customHeight="1">
      <c r="A13" s="21">
        <v>7115</v>
      </c>
      <c r="B13" s="22" t="s">
        <v>6</v>
      </c>
      <c r="C13" s="23">
        <f>+'Centralna država-ek klas'!C12</f>
        <v>58304564.960000001</v>
      </c>
      <c r="D13" s="41">
        <f t="shared" si="1"/>
        <v>0.94426464807436916</v>
      </c>
      <c r="E13" s="23">
        <f>+'Centralna država-ek klas'!E12</f>
        <v>55427131.607301913</v>
      </c>
      <c r="F13" s="41">
        <f t="shared" si="0"/>
        <v>0.89766351840284242</v>
      </c>
      <c r="G13" s="23">
        <f t="shared" si="2"/>
        <v>2877433.3526980877</v>
      </c>
      <c r="H13" s="98">
        <f t="shared" si="3"/>
        <v>5.1913805915206694</v>
      </c>
      <c r="I13" s="23">
        <f>+'Centralna država-ek klas'!I12</f>
        <v>56688234.68</v>
      </c>
      <c r="J13" s="41">
        <f t="shared" si="4"/>
        <v>0.97792947958351228</v>
      </c>
      <c r="K13" s="23">
        <f t="shared" si="5"/>
        <v>1616330.2800000012</v>
      </c>
      <c r="L13" s="98">
        <f t="shared" si="6"/>
        <v>2.8512623282838803</v>
      </c>
      <c r="M13" s="74" t="s">
        <v>84</v>
      </c>
    </row>
    <row r="14" spans="1:16357" ht="15" customHeight="1">
      <c r="A14" s="21">
        <v>7116</v>
      </c>
      <c r="B14" s="22" t="s">
        <v>7</v>
      </c>
      <c r="C14" s="23">
        <f>+'Centralna država-ek klas'!C13</f>
        <v>11131991.879999999</v>
      </c>
      <c r="D14" s="41">
        <f t="shared" si="1"/>
        <v>0.18028685064619568</v>
      </c>
      <c r="E14" s="23">
        <f>+'Centralna država-ek klas'!E13</f>
        <v>7125244.4699986428</v>
      </c>
      <c r="F14" s="41">
        <f t="shared" si="0"/>
        <v>0.11539604946067183</v>
      </c>
      <c r="G14" s="23">
        <f t="shared" si="2"/>
        <v>4006747.4100013562</v>
      </c>
      <c r="H14" s="98">
        <f t="shared" si="3"/>
        <v>56.233121921248539</v>
      </c>
      <c r="I14" s="23">
        <f>+'Centralna država-ek klas'!I13</f>
        <v>7122968.6799999997</v>
      </c>
      <c r="J14" s="41">
        <f t="shared" si="4"/>
        <v>0.12287842607276718</v>
      </c>
      <c r="K14" s="23">
        <f t="shared" si="5"/>
        <v>4009023.1999999993</v>
      </c>
      <c r="L14" s="98">
        <f t="shared" si="6"/>
        <v>56.283038436721029</v>
      </c>
      <c r="M14" s="74" t="s">
        <v>85</v>
      </c>
    </row>
    <row r="15" spans="1:16357" ht="15" customHeight="1">
      <c r="A15" s="21"/>
      <c r="B15" s="22" t="s">
        <v>159</v>
      </c>
      <c r="C15" s="23">
        <f>+'Lokalna država-ek klas '!C11</f>
        <v>3843465.3500000006</v>
      </c>
      <c r="D15" s="41">
        <f t="shared" si="1"/>
        <v>6.2246386000712604E-2</v>
      </c>
      <c r="E15" s="23">
        <f>+'Lokalna država-ek klas '!E11</f>
        <v>4080000</v>
      </c>
      <c r="F15" s="41">
        <f t="shared" si="0"/>
        <v>6.6077154795452328E-2</v>
      </c>
      <c r="G15" s="23">
        <f t="shared" si="2"/>
        <v>-236534.64999999944</v>
      </c>
      <c r="H15" s="98">
        <f t="shared" si="3"/>
        <v>-5.797417892156858</v>
      </c>
      <c r="I15" s="23">
        <f>+'Lokalna država-ek klas '!I11</f>
        <v>7243284.6973236296</v>
      </c>
      <c r="J15" s="41">
        <f t="shared" si="4"/>
        <v>0.12495399926482445</v>
      </c>
      <c r="K15" s="23">
        <f t="shared" si="5"/>
        <v>-3399819.3473236291</v>
      </c>
      <c r="L15" s="98">
        <f t="shared" si="6"/>
        <v>-46.937535792012305</v>
      </c>
      <c r="M15" s="74" t="s">
        <v>160</v>
      </c>
    </row>
    <row r="16" spans="1:16357" ht="15" customHeight="1">
      <c r="A16" s="21">
        <v>7118</v>
      </c>
      <c r="B16" s="22" t="s">
        <v>60</v>
      </c>
      <c r="C16" s="23">
        <f>+'Centralna država-ek klas'!C14</f>
        <v>2904285.84</v>
      </c>
      <c r="D16" s="41">
        <f t="shared" si="1"/>
        <v>4.7036015936254977E-2</v>
      </c>
      <c r="E16" s="23">
        <f>+'Centralna država-ek klas'!E14</f>
        <v>2601714.0736562368</v>
      </c>
      <c r="F16" s="41">
        <f t="shared" si="0"/>
        <v>4.2135750877080894E-2</v>
      </c>
      <c r="G16" s="23">
        <f t="shared" si="2"/>
        <v>302571.7663437631</v>
      </c>
      <c r="H16" s="98">
        <f t="shared" si="3"/>
        <v>11.629708637373554</v>
      </c>
      <c r="I16" s="23">
        <f>+'Centralna država-ek klas'!I14</f>
        <v>2643212.58</v>
      </c>
      <c r="J16" s="41">
        <f t="shared" si="4"/>
        <v>4.5598094867116308E-2</v>
      </c>
      <c r="K16" s="23">
        <f t="shared" si="5"/>
        <v>261073.25999999978</v>
      </c>
      <c r="L16" s="98">
        <f t="shared" si="6"/>
        <v>9.877119304569888</v>
      </c>
      <c r="M16" s="74" t="s">
        <v>86</v>
      </c>
    </row>
    <row r="17" spans="1:16357" ht="15" customHeight="1">
      <c r="A17" s="18">
        <v>712</v>
      </c>
      <c r="B17" s="19" t="s">
        <v>8</v>
      </c>
      <c r="C17" s="20">
        <f>+SUM(C18:C21)</f>
        <v>99782844.020000011</v>
      </c>
      <c r="D17" s="40">
        <f t="shared" si="1"/>
        <v>1.616021183882357</v>
      </c>
      <c r="E17" s="20">
        <f>+SUM(E18:E21)</f>
        <v>84270133.819291562</v>
      </c>
      <c r="F17" s="40">
        <f t="shared" si="0"/>
        <v>1.3647869306399047</v>
      </c>
      <c r="G17" s="20">
        <f t="shared" si="2"/>
        <v>15512710.200708449</v>
      </c>
      <c r="H17" s="93">
        <f t="shared" si="3"/>
        <v>18.408313239390168</v>
      </c>
      <c r="I17" s="20">
        <f>+SUM(I18:I21)</f>
        <v>83772855.75</v>
      </c>
      <c r="J17" s="40">
        <f t="shared" si="4"/>
        <v>1.4451666327109225</v>
      </c>
      <c r="K17" s="20">
        <f t="shared" si="5"/>
        <v>16009988.270000011</v>
      </c>
      <c r="L17" s="93">
        <f t="shared" si="6"/>
        <v>19.111188375597436</v>
      </c>
      <c r="M17" s="73" t="s">
        <v>87</v>
      </c>
    </row>
    <row r="18" spans="1:16357" ht="15" customHeight="1">
      <c r="A18" s="21">
        <v>7121</v>
      </c>
      <c r="B18" s="22" t="s">
        <v>9</v>
      </c>
      <c r="C18" s="23">
        <f>+'Centralna država-ek klas'!C16</f>
        <v>91227855.520000011</v>
      </c>
      <c r="D18" s="41">
        <f t="shared" si="1"/>
        <v>1.4774698850127945</v>
      </c>
      <c r="E18" s="23">
        <f>+'Centralna država-ek klas'!E16</f>
        <v>77585379.191223815</v>
      </c>
      <c r="F18" s="41">
        <f t="shared" si="0"/>
        <v>1.2565247820299907</v>
      </c>
      <c r="G18" s="23">
        <f t="shared" si="2"/>
        <v>13642476.328776196</v>
      </c>
      <c r="H18" s="98">
        <f t="shared" si="3"/>
        <v>17.583823744873044</v>
      </c>
      <c r="I18" s="23">
        <f>+'Centralna država-ek klas'!I16</f>
        <v>63808537.519999996</v>
      </c>
      <c r="J18" s="41">
        <f t="shared" si="4"/>
        <v>1.1007619172154932</v>
      </c>
      <c r="K18" s="23">
        <f t="shared" si="5"/>
        <v>27419318.000000015</v>
      </c>
      <c r="L18" s="98">
        <f t="shared" si="6"/>
        <v>42.971237181867338</v>
      </c>
      <c r="M18" s="74" t="s">
        <v>88</v>
      </c>
    </row>
    <row r="19" spans="1:16357" ht="15" customHeight="1">
      <c r="A19" s="21">
        <v>7122</v>
      </c>
      <c r="B19" s="22" t="s">
        <v>10</v>
      </c>
      <c r="C19" s="23">
        <f>+'Centralna država-ek klas'!C17</f>
        <v>1370337.46</v>
      </c>
      <c r="D19" s="41">
        <f t="shared" si="1"/>
        <v>2.2193137369222297E-2</v>
      </c>
      <c r="E19" s="23">
        <f>+'Centralna država-ek klas'!E17</f>
        <v>300071.60608232487</v>
      </c>
      <c r="F19" s="41">
        <f t="shared" si="0"/>
        <v>4.8597740109857304E-3</v>
      </c>
      <c r="G19" s="23">
        <f t="shared" si="2"/>
        <v>1070265.8539176751</v>
      </c>
      <c r="H19" s="98">
        <f t="shared" si="3"/>
        <v>356.67015213163717</v>
      </c>
      <c r="I19" s="23">
        <f>+'Centralna država-ek klas'!I17</f>
        <v>15016477.529999999</v>
      </c>
      <c r="J19" s="41">
        <f t="shared" si="4"/>
        <v>0.25904945071911711</v>
      </c>
      <c r="K19" s="23">
        <f t="shared" si="5"/>
        <v>-13646140.07</v>
      </c>
      <c r="L19" s="98">
        <f t="shared" si="6"/>
        <v>-90.874441377731017</v>
      </c>
      <c r="M19" s="74" t="s">
        <v>89</v>
      </c>
    </row>
    <row r="20" spans="1:16357" ht="15" customHeight="1">
      <c r="A20" s="21">
        <v>7123</v>
      </c>
      <c r="B20" s="22" t="s">
        <v>11</v>
      </c>
      <c r="C20" s="23">
        <f>+'Centralna država-ek klas'!C18</f>
        <v>4160698.2199999997</v>
      </c>
      <c r="D20" s="41">
        <f t="shared" si="1"/>
        <v>6.7384093220613478E-2</v>
      </c>
      <c r="E20" s="23">
        <f>+'Centralna država-ek klas'!E18</f>
        <v>3710712.829370901</v>
      </c>
      <c r="F20" s="41">
        <f t="shared" si="0"/>
        <v>6.0096408340149982E-2</v>
      </c>
      <c r="G20" s="23">
        <f t="shared" si="2"/>
        <v>449985.39062909875</v>
      </c>
      <c r="H20" s="98">
        <f t="shared" si="3"/>
        <v>12.126656287368576</v>
      </c>
      <c r="I20" s="23">
        <f>+'Centralna država-ek klas'!I18</f>
        <v>2901152.4699999997</v>
      </c>
      <c r="J20" s="41">
        <f t="shared" si="4"/>
        <v>5.0047819290807399E-2</v>
      </c>
      <c r="K20" s="23">
        <f t="shared" si="5"/>
        <v>1259545.75</v>
      </c>
      <c r="L20" s="98">
        <f t="shared" si="6"/>
        <v>43.415358655727601</v>
      </c>
      <c r="M20" s="74" t="s">
        <v>90</v>
      </c>
    </row>
    <row r="21" spans="1:16357" ht="15" customHeight="1">
      <c r="A21" s="21">
        <v>7124</v>
      </c>
      <c r="B21" s="22" t="s">
        <v>12</v>
      </c>
      <c r="C21" s="23">
        <f>+'Centralna država-ek klas'!C19</f>
        <v>3023952.8200000003</v>
      </c>
      <c r="D21" s="41">
        <f t="shared" si="1"/>
        <v>4.8974068279726619E-2</v>
      </c>
      <c r="E21" s="23">
        <f>+'Centralna država-ek klas'!E19</f>
        <v>2673970.19261452</v>
      </c>
      <c r="F21" s="41">
        <f t="shared" si="0"/>
        <v>4.3305966258778215E-2</v>
      </c>
      <c r="G21" s="23">
        <f t="shared" si="2"/>
        <v>349982.62738548033</v>
      </c>
      <c r="H21" s="98">
        <f t="shared" si="3"/>
        <v>13.088501448225912</v>
      </c>
      <c r="I21" s="23">
        <f>+'Centralna država-ek klas'!I19</f>
        <v>2046688.23</v>
      </c>
      <c r="J21" s="41">
        <f t="shared" si="4"/>
        <v>3.5307445485504747E-2</v>
      </c>
      <c r="K21" s="23">
        <f t="shared" si="5"/>
        <v>977264.59000000032</v>
      </c>
      <c r="L21" s="98">
        <f t="shared" si="6"/>
        <v>47.748581130991312</v>
      </c>
      <c r="M21" s="74" t="s">
        <v>91</v>
      </c>
    </row>
    <row r="22" spans="1:16357" ht="15" customHeight="1">
      <c r="A22" s="18">
        <v>713</v>
      </c>
      <c r="B22" s="19" t="s">
        <v>13</v>
      </c>
      <c r="C22" s="20">
        <f>+'Centralna država-ek klas'!C20+'Lokalna država-ek klas '!C12</f>
        <v>3827955.7899999996</v>
      </c>
      <c r="D22" s="40">
        <f t="shared" si="1"/>
        <v>6.1995202766171084E-2</v>
      </c>
      <c r="E22" s="20">
        <f>+'Centralna država-ek klas'!E20+'Lokalna država-ek klas '!E12</f>
        <v>3627971.0724276402</v>
      </c>
      <c r="F22" s="40">
        <f t="shared" si="0"/>
        <v>5.8756374055447161E-2</v>
      </c>
      <c r="G22" s="20">
        <f t="shared" si="2"/>
        <v>199984.71757235937</v>
      </c>
      <c r="H22" s="93">
        <f t="shared" si="3"/>
        <v>5.5123018783757942</v>
      </c>
      <c r="I22" s="20">
        <f>+'Centralna država-ek klas'!I20+'Lokalna država-ek klas '!I12</f>
        <v>3387227.14</v>
      </c>
      <c r="J22" s="40">
        <f t="shared" si="4"/>
        <v>5.8433099794868201E-2</v>
      </c>
      <c r="K22" s="20">
        <f t="shared" si="5"/>
        <v>440728.64999999944</v>
      </c>
      <c r="L22" s="93">
        <f t="shared" si="6"/>
        <v>13.011487915746912</v>
      </c>
      <c r="M22" s="73" t="s">
        <v>92</v>
      </c>
    </row>
    <row r="23" spans="1:16357" ht="15" customHeight="1">
      <c r="A23" s="18">
        <v>714</v>
      </c>
      <c r="B23" s="19" t="s">
        <v>19</v>
      </c>
      <c r="C23" s="20">
        <f>+'Centralna država-ek klas'!C25+'Lokalna država-ek klas '!C19</f>
        <v>34199657.879999995</v>
      </c>
      <c r="D23" s="40">
        <f t="shared" si="1"/>
        <v>0.55387649208045864</v>
      </c>
      <c r="E23" s="20">
        <f>+'Centralna država-ek klas'!E25+'Lokalna država-ek klas '!E19</f>
        <v>32678862.449208468</v>
      </c>
      <c r="F23" s="40">
        <f t="shared" si="0"/>
        <v>0.52924663053814769</v>
      </c>
      <c r="G23" s="20">
        <f t="shared" si="2"/>
        <v>1520795.430791527</v>
      </c>
      <c r="H23" s="93">
        <f t="shared" si="3"/>
        <v>4.6537587810935719</v>
      </c>
      <c r="I23" s="20">
        <f>+'Centralna država-ek klas'!I25+'Lokalna država-ek klas '!I19</f>
        <v>27699233.189999998</v>
      </c>
      <c r="J23" s="40">
        <f t="shared" si="4"/>
        <v>0.47783983486640208</v>
      </c>
      <c r="K23" s="20">
        <f t="shared" si="5"/>
        <v>6500424.6899999976</v>
      </c>
      <c r="L23" s="93">
        <f t="shared" si="6"/>
        <v>23.467886801815112</v>
      </c>
      <c r="M23" s="73" t="s">
        <v>97</v>
      </c>
    </row>
    <row r="24" spans="1:16357" ht="15" customHeight="1">
      <c r="A24" s="18">
        <v>715</v>
      </c>
      <c r="B24" s="19" t="s">
        <v>26</v>
      </c>
      <c r="C24" s="20">
        <f>+'Centralna država-ek klas'!C32+'Lokalna država-ek klas '!C30</f>
        <v>42454030.700000003</v>
      </c>
      <c r="D24" s="40">
        <f t="shared" si="1"/>
        <v>0.68755920545460436</v>
      </c>
      <c r="E24" s="20">
        <f>+'Centralna država-ek klas'!E32+'Lokalna država-ek klas '!E30</f>
        <v>42500209.29882095</v>
      </c>
      <c r="F24" s="40">
        <f t="shared" si="0"/>
        <v>0.6883070854601262</v>
      </c>
      <c r="G24" s="20">
        <f t="shared" si="2"/>
        <v>-46178.598820947111</v>
      </c>
      <c r="H24" s="93">
        <f t="shared" si="3"/>
        <v>-0.1086549915466577</v>
      </c>
      <c r="I24" s="20">
        <f>+'Centralna država-ek klas'!I32+'Lokalna država-ek klas '!I30</f>
        <v>6588537.0899999999</v>
      </c>
      <c r="J24" s="40">
        <f t="shared" si="4"/>
        <v>0.1136589397078817</v>
      </c>
      <c r="K24" s="20">
        <f t="shared" si="5"/>
        <v>35865493.609999999</v>
      </c>
      <c r="L24" s="93">
        <f t="shared" si="6"/>
        <v>544.36202027967943</v>
      </c>
      <c r="M24" s="73" t="s">
        <v>104</v>
      </c>
    </row>
    <row r="25" spans="1:16357" ht="15" customHeight="1">
      <c r="A25" s="18">
        <v>73</v>
      </c>
      <c r="B25" s="19" t="s">
        <v>192</v>
      </c>
      <c r="C25" s="20">
        <f>+'Centralna država-ek klas'!C37+'Lokalna država-ek klas '!C35</f>
        <v>0</v>
      </c>
      <c r="D25" s="40">
        <f t="shared" si="1"/>
        <v>0</v>
      </c>
      <c r="E25" s="20">
        <f>+'Centralna država-ek klas'!E37+'Lokalna država-ek klas '!E35</f>
        <v>909267.9589314796</v>
      </c>
      <c r="F25" s="40">
        <f t="shared" si="0"/>
        <v>1.4725941096289309E-2</v>
      </c>
      <c r="G25" s="20">
        <f t="shared" si="2"/>
        <v>-909267.9589314796</v>
      </c>
      <c r="H25" s="93">
        <f t="shared" si="3"/>
        <v>-100</v>
      </c>
      <c r="I25" s="20">
        <f>+'Centralna država-ek klas'!I37+'Lokalna država-ek klas '!I35</f>
        <v>2589531.84</v>
      </c>
      <c r="J25" s="40">
        <f t="shared" si="4"/>
        <v>4.4672047717682337E-2</v>
      </c>
      <c r="K25" s="20">
        <f t="shared" si="5"/>
        <v>-2589531.84</v>
      </c>
      <c r="L25" s="93">
        <f t="shared" si="6"/>
        <v>-100</v>
      </c>
      <c r="M25" s="73" t="s">
        <v>108</v>
      </c>
    </row>
    <row r="26" spans="1:16357" ht="15" customHeight="1">
      <c r="A26" s="18">
        <v>74</v>
      </c>
      <c r="B26" s="19" t="s">
        <v>188</v>
      </c>
      <c r="C26" s="20">
        <f>+'Centralna država-ek klas'!C38+'Lokalna država-ek klas '!C36</f>
        <v>48830727.199999988</v>
      </c>
      <c r="D26" s="40">
        <f t="shared" si="1"/>
        <v>0.79083223528649615</v>
      </c>
      <c r="E26" s="20">
        <f>+'Centralna država-ek klas'!E38+'Lokalna država-ek klas '!E36</f>
        <v>28561836.427500002</v>
      </c>
      <c r="F26" s="40">
        <f t="shared" si="0"/>
        <v>0.46256982521134976</v>
      </c>
      <c r="G26" s="20">
        <f t="shared" si="2"/>
        <v>20268890.772499986</v>
      </c>
      <c r="H26" s="93">
        <f t="shared" si="3"/>
        <v>70.96494241170231</v>
      </c>
      <c r="I26" s="20">
        <f>+'Centralna država-ek klas'!I38+'Lokalna država-ek klas '!I36</f>
        <v>17016277.23</v>
      </c>
      <c r="J26" s="40">
        <f t="shared" si="4"/>
        <v>0.29354802155893611</v>
      </c>
      <c r="K26" s="20">
        <f t="shared" si="5"/>
        <v>31814449.969999988</v>
      </c>
      <c r="L26" s="93">
        <f t="shared" si="6"/>
        <v>186.96480751918256</v>
      </c>
      <c r="M26" s="73" t="s">
        <v>109</v>
      </c>
    </row>
    <row r="27" spans="1:16357" s="38" customFormat="1" ht="15" customHeight="1">
      <c r="A27" s="35"/>
      <c r="B27" s="36" t="s">
        <v>72</v>
      </c>
      <c r="C27" s="37">
        <f>+C28+C38+C39+C40+C41+C42+C43+C44</f>
        <v>544089532.99000001</v>
      </c>
      <c r="D27" s="44">
        <f t="shared" si="1"/>
        <v>8.8117373269523522</v>
      </c>
      <c r="E27" s="37">
        <f>+E28+E38+E39+E40+E41+E42+E43+E44</f>
        <v>676681605.69500005</v>
      </c>
      <c r="F27" s="44">
        <f t="shared" si="0"/>
        <v>10.959116472241117</v>
      </c>
      <c r="G27" s="37">
        <f>+C27-E27</f>
        <v>-132592072.70500004</v>
      </c>
      <c r="H27" s="105">
        <f t="shared" si="3"/>
        <v>-19.594454997608295</v>
      </c>
      <c r="I27" s="37">
        <f>+I28+I38+I39+I40+I41+I42+I43+I44</f>
        <v>499021187.89999998</v>
      </c>
      <c r="J27" s="44">
        <f t="shared" si="4"/>
        <v>8.6086210540679531</v>
      </c>
      <c r="K27" s="37">
        <f t="shared" si="5"/>
        <v>45068345.090000033</v>
      </c>
      <c r="L27" s="105">
        <f t="shared" si="6"/>
        <v>9.0313490053715668</v>
      </c>
      <c r="M27" s="81" t="s">
        <v>110</v>
      </c>
      <c r="N27" s="1"/>
      <c r="O27" s="1"/>
      <c r="P27" s="86"/>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69</v>
      </c>
      <c r="C28" s="20">
        <f>+SUM(C29:C37)</f>
        <v>229039029.60000002</v>
      </c>
      <c r="D28" s="40">
        <f t="shared" si="1"/>
        <v>3.7093743659508314</v>
      </c>
      <c r="E28" s="20">
        <f>+SUM(E29:E37)</f>
        <v>265313262.88999996</v>
      </c>
      <c r="F28" s="40">
        <f t="shared" si="0"/>
        <v>4.2968493973698694</v>
      </c>
      <c r="G28" s="20">
        <f t="shared" si="2"/>
        <v>-36274233.289999932</v>
      </c>
      <c r="H28" s="93">
        <f t="shared" si="3"/>
        <v>-13.672227650767454</v>
      </c>
      <c r="I28" s="20">
        <f>+SUM(I29:I37)</f>
        <v>189007448.97</v>
      </c>
      <c r="J28" s="40">
        <f t="shared" si="4"/>
        <v>3.2605699798559922</v>
      </c>
      <c r="K28" s="20">
        <f t="shared" si="5"/>
        <v>40031580.630000025</v>
      </c>
      <c r="L28" s="93">
        <f t="shared" si="6"/>
        <v>21.179895738582232</v>
      </c>
      <c r="M28" s="73" t="s">
        <v>111</v>
      </c>
    </row>
    <row r="29" spans="1:16357" ht="15" customHeight="1">
      <c r="A29" s="21">
        <v>411</v>
      </c>
      <c r="B29" s="22" t="s">
        <v>30</v>
      </c>
      <c r="C29" s="23">
        <f>+'Centralna država-ek klas'!C41+'Lokalna država-ek klas '!C39</f>
        <v>165300297.94999999</v>
      </c>
      <c r="D29" s="41">
        <f t="shared" si="1"/>
        <v>2.6771013174942504</v>
      </c>
      <c r="E29" s="23">
        <f>+'Centralna država-ek klas'!E41+'Lokalna država-ek klas '!E39</f>
        <v>165580076.58499998</v>
      </c>
      <c r="F29" s="41">
        <f t="shared" si="0"/>
        <v>2.6816324391053667</v>
      </c>
      <c r="G29" s="23">
        <f t="shared" si="2"/>
        <v>-279778.63499999046</v>
      </c>
      <c r="H29" s="98">
        <f t="shared" si="3"/>
        <v>-0.1689687798014603</v>
      </c>
      <c r="I29" s="23">
        <f>+'Centralna država-ek klas'!I41+'Lokalna država-ek klas '!I39</f>
        <v>139290526.96999997</v>
      </c>
      <c r="J29" s="41">
        <f t="shared" si="4"/>
        <v>2.402902706701207</v>
      </c>
      <c r="K29" s="23">
        <f t="shared" si="5"/>
        <v>26009770.980000019</v>
      </c>
      <c r="L29" s="98">
        <f t="shared" si="6"/>
        <v>18.67303652717311</v>
      </c>
      <c r="M29" s="74" t="s">
        <v>112</v>
      </c>
    </row>
    <row r="30" spans="1:16357" ht="15" customHeight="1">
      <c r="A30" s="21">
        <v>412</v>
      </c>
      <c r="B30" s="22" t="s">
        <v>31</v>
      </c>
      <c r="C30" s="23">
        <f>+'Centralna država-ek klas'!C42+'Lokalna država-ek klas '!C40</f>
        <v>4376475.12</v>
      </c>
      <c r="D30" s="41">
        <f t="shared" si="1"/>
        <v>7.0878682343795546E-2</v>
      </c>
      <c r="E30" s="23">
        <f>+'Centralna država-ek klas'!E42+'Lokalna država-ek klas '!E40</f>
        <v>5824870.0300000003</v>
      </c>
      <c r="F30" s="41">
        <f t="shared" si="0"/>
        <v>9.4335989861691449E-2</v>
      </c>
      <c r="G30" s="23">
        <f t="shared" si="2"/>
        <v>-1448394.9100000001</v>
      </c>
      <c r="H30" s="98">
        <f t="shared" si="3"/>
        <v>-24.865703484202896</v>
      </c>
      <c r="I30" s="23">
        <f>+'Centralna država-ek klas'!I42+'Lokalna država-ek klas '!I40</f>
        <v>3051010.16</v>
      </c>
      <c r="J30" s="41">
        <f t="shared" si="4"/>
        <v>5.2633016265462726E-2</v>
      </c>
      <c r="K30" s="23">
        <f t="shared" si="5"/>
        <v>1325464.96</v>
      </c>
      <c r="L30" s="98">
        <f t="shared" si="6"/>
        <v>43.443479060718715</v>
      </c>
      <c r="M30" s="74" t="s">
        <v>113</v>
      </c>
    </row>
    <row r="31" spans="1:16357" ht="15" customHeight="1">
      <c r="A31" s="21">
        <v>413</v>
      </c>
      <c r="B31" s="22" t="s">
        <v>73</v>
      </c>
      <c r="C31" s="23">
        <f>+'Centralna država-ek klas'!C43+'Lokalna država-ek klas '!C41</f>
        <v>10063911.289999999</v>
      </c>
      <c r="D31" s="41">
        <f t="shared" si="1"/>
        <v>0.16298887846986038</v>
      </c>
      <c r="E31" s="23">
        <f>+'Centralna država-ek klas'!E43+'Lokalna država-ek klas '!E41</f>
        <v>15391409.370000001</v>
      </c>
      <c r="F31" s="41">
        <f t="shared" si="0"/>
        <v>0.24926974006413372</v>
      </c>
      <c r="G31" s="23">
        <f t="shared" si="2"/>
        <v>-5327498.0800000019</v>
      </c>
      <c r="H31" s="98">
        <f t="shared" si="3"/>
        <v>-34.613451906386402</v>
      </c>
      <c r="I31" s="23">
        <f>+'Centralna država-ek klas'!I43+'Lokalna država-ek klas '!I41</f>
        <v>8218076.120000001</v>
      </c>
      <c r="J31" s="41">
        <f t="shared" si="4"/>
        <v>0.14177013887583084</v>
      </c>
      <c r="K31" s="23">
        <f t="shared" si="5"/>
        <v>1845835.1699999981</v>
      </c>
      <c r="L31" s="98">
        <f t="shared" si="6"/>
        <v>22.460672583792004</v>
      </c>
      <c r="M31" s="74" t="s">
        <v>114</v>
      </c>
    </row>
    <row r="32" spans="1:16357" ht="15" customHeight="1">
      <c r="A32" s="21">
        <v>414</v>
      </c>
      <c r="B32" s="22" t="s">
        <v>74</v>
      </c>
      <c r="C32" s="23">
        <f>+'Centralna država-ek klas'!C44+'Lokalna država-ek klas '!C42</f>
        <v>13291911.34</v>
      </c>
      <c r="D32" s="41">
        <f t="shared" si="1"/>
        <v>0.21526756939720793</v>
      </c>
      <c r="E32" s="23">
        <f>+'Centralna država-ek klas'!E44+'Lokalna država-ek klas '!E42</f>
        <v>19048123.774999987</v>
      </c>
      <c r="F32" s="41">
        <f t="shared" si="0"/>
        <v>0.30849162334402208</v>
      </c>
      <c r="G32" s="23">
        <f t="shared" si="2"/>
        <v>-5756212.4349999875</v>
      </c>
      <c r="H32" s="98">
        <f t="shared" si="3"/>
        <v>-30.219314526687498</v>
      </c>
      <c r="I32" s="23">
        <f>+'Centralna država-ek klas'!I44+'Lokalna država-ek klas '!I42</f>
        <v>9557399.5</v>
      </c>
      <c r="J32" s="41">
        <f t="shared" si="4"/>
        <v>0.16487482406123005</v>
      </c>
      <c r="K32" s="23">
        <f t="shared" si="5"/>
        <v>3734511.84</v>
      </c>
      <c r="L32" s="98">
        <f t="shared" si="6"/>
        <v>39.074560396894555</v>
      </c>
      <c r="M32" s="74" t="s">
        <v>115</v>
      </c>
    </row>
    <row r="33" spans="1:16357" ht="15.75" customHeight="1">
      <c r="A33" s="21">
        <v>415</v>
      </c>
      <c r="B33" s="22" t="s">
        <v>32</v>
      </c>
      <c r="C33" s="23">
        <f>+'Centralna država-ek klas'!C45+'Lokalna država-ek klas '!C43</f>
        <v>5110962.8100000005</v>
      </c>
      <c r="D33" s="41">
        <f t="shared" si="1"/>
        <v>8.2773990379943652E-2</v>
      </c>
      <c r="E33" s="23">
        <f>+'Centralna država-ek klas'!E45+'Lokalna država-ek klas '!E43</f>
        <v>9570631.0100000016</v>
      </c>
      <c r="F33" s="41">
        <f t="shared" si="0"/>
        <v>0.1550000163573349</v>
      </c>
      <c r="G33" s="23">
        <f t="shared" si="2"/>
        <v>-4459668.2000000011</v>
      </c>
      <c r="H33" s="98">
        <f t="shared" si="3"/>
        <v>-46.59743119696347</v>
      </c>
      <c r="I33" s="23">
        <f>+'Centralna država-ek klas'!I45+'Lokalna država-ek klas '!I43</f>
        <v>4592904.49</v>
      </c>
      <c r="J33" s="41">
        <f t="shared" si="4"/>
        <v>7.9232255564788689E-2</v>
      </c>
      <c r="K33" s="23">
        <f t="shared" si="5"/>
        <v>518058.3200000003</v>
      </c>
      <c r="L33" s="98">
        <f t="shared" si="6"/>
        <v>11.279536100259733</v>
      </c>
      <c r="M33" s="74" t="s">
        <v>116</v>
      </c>
    </row>
    <row r="34" spans="1:16357" ht="15" customHeight="1">
      <c r="A34" s="21">
        <v>416</v>
      </c>
      <c r="B34" s="22" t="s">
        <v>33</v>
      </c>
      <c r="C34" s="23">
        <f>+'Centralna država-ek klas'!C46+'Lokalna država-ek klas '!C44</f>
        <v>8498499.0800000001</v>
      </c>
      <c r="D34" s="41">
        <f t="shared" si="1"/>
        <v>0.1376364311858258</v>
      </c>
      <c r="E34" s="23">
        <f>+'Centralna država-ek klas'!E46+'Lokalna država-ek klas '!E44</f>
        <v>10602917.02</v>
      </c>
      <c r="F34" s="41">
        <f t="shared" si="0"/>
        <v>0.1717182816700677</v>
      </c>
      <c r="G34" s="23">
        <f t="shared" si="2"/>
        <v>-2104417.9399999995</v>
      </c>
      <c r="H34" s="98">
        <f t="shared" si="3"/>
        <v>-19.847537578861477</v>
      </c>
      <c r="I34" s="23">
        <f>+'Centralna država-ek klas'!I46+'Lokalna država-ek klas '!I44</f>
        <v>6441737.1699999999</v>
      </c>
      <c r="J34" s="41">
        <f t="shared" si="4"/>
        <v>0.11112649236358028</v>
      </c>
      <c r="K34" s="23">
        <f t="shared" si="5"/>
        <v>2056761.9100000001</v>
      </c>
      <c r="L34" s="98">
        <f t="shared" si="6"/>
        <v>31.928684075758383</v>
      </c>
      <c r="M34" s="74" t="s">
        <v>117</v>
      </c>
    </row>
    <row r="35" spans="1:16357" ht="15" customHeight="1">
      <c r="A35" s="21">
        <v>417</v>
      </c>
      <c r="B35" s="22" t="s">
        <v>34</v>
      </c>
      <c r="C35" s="23">
        <f>+'Centralna država-ek klas'!C47+'Lokalna država-ek klas '!C45</f>
        <v>1934147.5899999999</v>
      </c>
      <c r="D35" s="41">
        <f t="shared" si="1"/>
        <v>3.132425727982379E-2</v>
      </c>
      <c r="E35" s="23">
        <f>+'Centralna država-ek klas'!E47+'Lokalna država-ek klas '!E45</f>
        <v>3090552.6799999992</v>
      </c>
      <c r="F35" s="41">
        <f t="shared" si="0"/>
        <v>5.0052678392122553E-2</v>
      </c>
      <c r="G35" s="23">
        <f t="shared" si="2"/>
        <v>-1156405.0899999994</v>
      </c>
      <c r="H35" s="98">
        <f t="shared" si="3"/>
        <v>-37.417420433681123</v>
      </c>
      <c r="I35" s="23">
        <f>+'Centralna država-ek klas'!I47+'Lokalna država-ek klas '!I45</f>
        <v>1658383.6099999999</v>
      </c>
      <c r="J35" s="41">
        <f t="shared" si="4"/>
        <v>2.8608797395649053E-2</v>
      </c>
      <c r="K35" s="23">
        <f t="shared" si="5"/>
        <v>275763.98</v>
      </c>
      <c r="L35" s="98">
        <f t="shared" si="6"/>
        <v>16.6284795832009</v>
      </c>
      <c r="M35" s="74" t="s">
        <v>118</v>
      </c>
    </row>
    <row r="36" spans="1:16357" ht="15" customHeight="1">
      <c r="A36" s="21">
        <v>418</v>
      </c>
      <c r="B36" s="22" t="s">
        <v>35</v>
      </c>
      <c r="C36" s="23">
        <f>+'Centralna država-ek klas'!C48+'Lokalna država-ek klas '!C46</f>
        <v>9800834.6799999978</v>
      </c>
      <c r="D36" s="41">
        <f t="shared" si="1"/>
        <v>0.15872825251838171</v>
      </c>
      <c r="E36" s="23">
        <f>+'Centralna država-ek klas'!E48+'Lokalna država-ek klas '!E46</f>
        <v>17680947.910000004</v>
      </c>
      <c r="F36" s="41">
        <f t="shared" si="0"/>
        <v>0.28634968921063719</v>
      </c>
      <c r="G36" s="23">
        <f t="shared" si="2"/>
        <v>-7880113.230000006</v>
      </c>
      <c r="H36" s="98">
        <f t="shared" si="3"/>
        <v>-44.568386661798634</v>
      </c>
      <c r="I36" s="23">
        <f>+'Centralna država-ek klas'!I48+'Lokalna država-ek klas '!I46</f>
        <v>8141080.8999999994</v>
      </c>
      <c r="J36" s="41">
        <f t="shared" si="4"/>
        <v>0.14044189332629031</v>
      </c>
      <c r="K36" s="23">
        <f t="shared" si="5"/>
        <v>1659753.7799999984</v>
      </c>
      <c r="L36" s="98">
        <f t="shared" si="6"/>
        <v>20.387388362643577</v>
      </c>
      <c r="M36" s="74" t="s">
        <v>119</v>
      </c>
    </row>
    <row r="37" spans="1:16357" ht="15" customHeight="1">
      <c r="A37" s="21">
        <v>419</v>
      </c>
      <c r="B37" s="22" t="s">
        <v>36</v>
      </c>
      <c r="C37" s="23">
        <f>+'Centralna država-ek klas'!C49+'Lokalna država-ek klas '!C47</f>
        <v>10661989.739999998</v>
      </c>
      <c r="D37" s="41">
        <f t="shared" si="1"/>
        <v>0.17267498688174129</v>
      </c>
      <c r="E37" s="23">
        <f>+'Centralna država-ek klas'!E49+'Lokalna država-ek klas '!E47</f>
        <v>18523734.510000002</v>
      </c>
      <c r="F37" s="41">
        <f t="shared" si="0"/>
        <v>0.29999893936449329</v>
      </c>
      <c r="G37" s="23">
        <f t="shared" si="2"/>
        <v>-7861744.7700000033</v>
      </c>
      <c r="H37" s="98">
        <f t="shared" si="3"/>
        <v>-42.441467544008773</v>
      </c>
      <c r="I37" s="23">
        <f>+'Centralna država-ek klas'!I49+'Lokalna država-ek klas '!I47</f>
        <v>8056330.0500000007</v>
      </c>
      <c r="J37" s="41">
        <f t="shared" si="4"/>
        <v>0.13897985530195225</v>
      </c>
      <c r="K37" s="23">
        <f t="shared" si="5"/>
        <v>2605659.6899999976</v>
      </c>
      <c r="L37" s="98">
        <f t="shared" si="6"/>
        <v>32.343010698773412</v>
      </c>
      <c r="M37" s="74" t="s">
        <v>120</v>
      </c>
    </row>
    <row r="38" spans="1:16357" ht="15" customHeight="1">
      <c r="A38" s="18">
        <v>42</v>
      </c>
      <c r="B38" s="19" t="s">
        <v>37</v>
      </c>
      <c r="C38" s="20">
        <f>+'Centralna država-ek klas'!C50+'Lokalna država-ek klas '!C48</f>
        <v>193049636.01999998</v>
      </c>
      <c r="D38" s="40">
        <f t="shared" si="1"/>
        <v>3.1265124221811935</v>
      </c>
      <c r="E38" s="20">
        <f>+'Centralna država-ek klas'!E50+'Lokalna država-ek klas '!E48</f>
        <v>194003636.21000001</v>
      </c>
      <c r="F38" s="40">
        <f t="shared" si="0"/>
        <v>3.1419628188060766</v>
      </c>
      <c r="G38" s="20">
        <f t="shared" si="2"/>
        <v>-954000.19000002742</v>
      </c>
      <c r="H38" s="93">
        <f t="shared" si="3"/>
        <v>-0.49174345833775135</v>
      </c>
      <c r="I38" s="20">
        <f>+'Centralna država-ek klas'!I50+'Lokalna država-ek klas '!I48</f>
        <v>142873500.80999997</v>
      </c>
      <c r="J38" s="40">
        <f t="shared" si="4"/>
        <v>2.464712635383794</v>
      </c>
      <c r="K38" s="20">
        <f t="shared" si="5"/>
        <v>50176135.210000008</v>
      </c>
      <c r="L38" s="93">
        <f t="shared" si="6"/>
        <v>35.119273291081896</v>
      </c>
      <c r="M38" s="73" t="s">
        <v>121</v>
      </c>
    </row>
    <row r="39" spans="1:16357" ht="15" customHeight="1">
      <c r="A39" s="18">
        <v>43</v>
      </c>
      <c r="B39" s="19" t="s">
        <v>43</v>
      </c>
      <c r="C39" s="20">
        <f>+'Centralna država-ek klas'!C56+'Lokalna država-ek klas '!C49</f>
        <v>72904682.99000001</v>
      </c>
      <c r="D39" s="40">
        <f t="shared" si="1"/>
        <v>1.1807191233440224</v>
      </c>
      <c r="E39" s="20">
        <f>+'Centralna država-ek klas'!E56+'Lokalna država-ek klas '!E49</f>
        <v>94153206.205000013</v>
      </c>
      <c r="F39" s="40">
        <f t="shared" si="0"/>
        <v>1.5248470541411592</v>
      </c>
      <c r="G39" s="20">
        <f t="shared" si="2"/>
        <v>-21248523.215000004</v>
      </c>
      <c r="H39" s="93">
        <f t="shared" si="3"/>
        <v>-22.568029354980794</v>
      </c>
      <c r="I39" s="20">
        <f>+'Centralna država-ek klas'!I56+'Lokalna država-ek klas '!I49</f>
        <v>76665003.189999998</v>
      </c>
      <c r="J39" s="40">
        <f t="shared" si="4"/>
        <v>1.3225489750224306</v>
      </c>
      <c r="K39" s="20">
        <f t="shared" si="5"/>
        <v>-3760320.1999999881</v>
      </c>
      <c r="L39" s="93">
        <f t="shared" si="6"/>
        <v>-4.9048719018255724</v>
      </c>
      <c r="M39" s="73" t="s">
        <v>127</v>
      </c>
    </row>
    <row r="40" spans="1:16357" ht="15" customHeight="1">
      <c r="A40" s="18">
        <v>44</v>
      </c>
      <c r="B40" s="19" t="s">
        <v>65</v>
      </c>
      <c r="C40" s="20">
        <f>+'Centralna država-ek klas'!C57+'Lokalna država-ek klas '!C50</f>
        <v>27392425.810000002</v>
      </c>
      <c r="D40" s="40">
        <f t="shared" si="1"/>
        <v>0.443630774625077</v>
      </c>
      <c r="E40" s="20">
        <f>+'Centralna država-ek klas'!E57+'Lokalna država-ek klas '!E50</f>
        <v>99336266.745000005</v>
      </c>
      <c r="F40" s="40">
        <f t="shared" si="0"/>
        <v>1.6087886947332621</v>
      </c>
      <c r="G40" s="20">
        <f t="shared" si="2"/>
        <v>-71943840.935000002</v>
      </c>
      <c r="H40" s="93">
        <f t="shared" si="3"/>
        <v>-72.42454673647299</v>
      </c>
      <c r="I40" s="20">
        <f>+'Centralna država-ek klas'!I57+'Lokalna država-ek klas '!I50</f>
        <v>49894480.780000001</v>
      </c>
      <c r="J40" s="40">
        <f t="shared" si="4"/>
        <v>0.8607303419961595</v>
      </c>
      <c r="K40" s="20">
        <f t="shared" si="5"/>
        <v>-22502054.969999999</v>
      </c>
      <c r="L40" s="93">
        <f t="shared" si="6"/>
        <v>-45.099286771253176</v>
      </c>
      <c r="M40" s="73" t="s">
        <v>128</v>
      </c>
      <c r="O40" s="91"/>
    </row>
    <row r="41" spans="1:16357" ht="15" customHeight="1">
      <c r="A41" s="18">
        <v>45</v>
      </c>
      <c r="B41" s="19" t="s">
        <v>44</v>
      </c>
      <c r="C41" s="20">
        <f>+'Centralna država-ek klas'!C58+'Lokalna država-ek klas '!C51</f>
        <v>0</v>
      </c>
      <c r="D41" s="40">
        <f t="shared" si="1"/>
        <v>0</v>
      </c>
      <c r="E41" s="20">
        <f>+'Centralna država-ek klas'!E58+'Lokalna država-ek klas '!E51</f>
        <v>1893557</v>
      </c>
      <c r="F41" s="40">
        <f t="shared" si="0"/>
        <v>3.0666877206620671E-2</v>
      </c>
      <c r="G41" s="20">
        <f t="shared" si="2"/>
        <v>-1893557</v>
      </c>
      <c r="H41" s="93">
        <f t="shared" si="3"/>
        <v>-100</v>
      </c>
      <c r="I41" s="20">
        <f>+'Centralna država-ek klas'!I58+'Lokalna država-ek klas '!I51</f>
        <v>1069453.23</v>
      </c>
      <c r="J41" s="40">
        <f t="shared" si="4"/>
        <v>1.8449151690055877E-2</v>
      </c>
      <c r="K41" s="20">
        <f t="shared" si="5"/>
        <v>-1069453.23</v>
      </c>
      <c r="L41" s="93">
        <f t="shared" si="6"/>
        <v>-100</v>
      </c>
      <c r="M41" s="73" t="s">
        <v>129</v>
      </c>
    </row>
    <row r="42" spans="1:16357" ht="15" customHeight="1">
      <c r="A42" s="18">
        <v>462</v>
      </c>
      <c r="B42" s="19" t="s">
        <v>45</v>
      </c>
      <c r="C42" s="20">
        <f>+'Centralna država-ek klas'!C59+'Lokalna država-ek klas '!C52</f>
        <v>1168915.48</v>
      </c>
      <c r="D42" s="40">
        <f t="shared" si="1"/>
        <v>1.8931031645774626E-2</v>
      </c>
      <c r="E42" s="20">
        <f>+'Centralna država-ek klas'!E59+'Lokalna država-ek klas '!E52</f>
        <v>0.48</v>
      </c>
      <c r="F42" s="40">
        <f t="shared" si="0"/>
        <v>7.7737829171120401E-9</v>
      </c>
      <c r="G42" s="20">
        <f t="shared" si="2"/>
        <v>1168915</v>
      </c>
      <c r="H42" s="108">
        <f t="shared" si="3"/>
        <v>243523958.33333334</v>
      </c>
      <c r="I42" s="20">
        <f>+'Centralna država-ek klas'!I59+'Lokalna država-ek klas '!I52</f>
        <v>0</v>
      </c>
      <c r="J42" s="40">
        <f t="shared" si="4"/>
        <v>0</v>
      </c>
      <c r="K42" s="20">
        <f t="shared" si="5"/>
        <v>1168915.48</v>
      </c>
      <c r="L42" s="93" t="e">
        <f t="shared" si="6"/>
        <v>#DIV/0!</v>
      </c>
      <c r="M42" s="73" t="s">
        <v>130</v>
      </c>
    </row>
    <row r="43" spans="1:16357" ht="15" customHeight="1">
      <c r="A43" s="18">
        <v>463</v>
      </c>
      <c r="B43" s="19" t="s">
        <v>46</v>
      </c>
      <c r="C43" s="20">
        <f>+'Centralna država-ek klas'!C60+'Lokalna država-ek klas '!C53</f>
        <v>18011238.300000001</v>
      </c>
      <c r="D43" s="40">
        <f t="shared" si="1"/>
        <v>0.29169886794286271</v>
      </c>
      <c r="E43" s="20">
        <f>+'Centralna država-ek klas'!E60+'Lokalna država-ek klas '!E53</f>
        <v>12138030.575000014</v>
      </c>
      <c r="F43" s="40">
        <f t="shared" si="0"/>
        <v>0.19658003069024738</v>
      </c>
      <c r="G43" s="20">
        <f t="shared" si="2"/>
        <v>5873207.7249999866</v>
      </c>
      <c r="H43" s="93">
        <f t="shared" si="3"/>
        <v>48.386825924600032</v>
      </c>
      <c r="I43" s="20">
        <f>+'Centralna država-ek klas'!I60+'Lokalna država-ek klas '!I53</f>
        <v>36835209.409999996</v>
      </c>
      <c r="J43" s="40">
        <f t="shared" si="4"/>
        <v>0.63544468039996815</v>
      </c>
      <c r="K43" s="20">
        <f t="shared" si="5"/>
        <v>-18823971.109999996</v>
      </c>
      <c r="L43" s="93">
        <f t="shared" si="6"/>
        <v>-51.103201017474539</v>
      </c>
      <c r="M43" s="73" t="s">
        <v>131</v>
      </c>
    </row>
    <row r="44" spans="1:16357" ht="15" customHeight="1">
      <c r="A44" s="18">
        <v>47</v>
      </c>
      <c r="B44" s="19" t="s">
        <v>47</v>
      </c>
      <c r="C44" s="20">
        <f>+'Centralna država-ek klas'!C61+'Lokalna država-ek klas '!C54</f>
        <v>2523604.79</v>
      </c>
      <c r="D44" s="40">
        <f t="shared" si="1"/>
        <v>4.0870741262591909E-2</v>
      </c>
      <c r="E44" s="20">
        <f>+'Centralna država-ek klas'!E61+'Lokalna država-ek klas '!E54</f>
        <v>9843645.5899999999</v>
      </c>
      <c r="F44" s="40">
        <f t="shared" si="0"/>
        <v>0.15942159152009847</v>
      </c>
      <c r="G44" s="20">
        <f t="shared" si="2"/>
        <v>-7320040.7999999998</v>
      </c>
      <c r="H44" s="93">
        <f t="shared" si="3"/>
        <v>-74.363107987515434</v>
      </c>
      <c r="I44" s="20">
        <f>+'Centralna država-ek klas'!I61+'Lokalna država-ek klas '!I54</f>
        <v>2676091.5099999998</v>
      </c>
      <c r="J44" s="40">
        <f t="shared" si="4"/>
        <v>4.6165289719552E-2</v>
      </c>
      <c r="K44" s="20">
        <f t="shared" si="5"/>
        <v>-152486.71999999974</v>
      </c>
      <c r="L44" s="93">
        <f t="shared" si="6"/>
        <v>-5.698113066395095</v>
      </c>
      <c r="M44" s="73" t="s">
        <v>132</v>
      </c>
      <c r="Q44" s="107"/>
    </row>
    <row r="45" spans="1:16357" s="38" customFormat="1" ht="15" customHeight="1">
      <c r="A45" s="35"/>
      <c r="B45" s="36" t="s">
        <v>77</v>
      </c>
      <c r="C45" s="37">
        <f>+C6-C27</f>
        <v>62775942.480000019</v>
      </c>
      <c r="D45" s="44">
        <f t="shared" si="1"/>
        <v>1.0166803109513169</v>
      </c>
      <c r="E45" s="37">
        <f>+E6-E27</f>
        <v>-111012786.12935781</v>
      </c>
      <c r="F45" s="44">
        <f t="shared" si="0"/>
        <v>-1.7978943758196129</v>
      </c>
      <c r="G45" s="37">
        <f>C45-E45</f>
        <v>173788728.60935783</v>
      </c>
      <c r="H45" s="105">
        <f t="shared" si="3"/>
        <v>-156.54838930612033</v>
      </c>
      <c r="I45" s="37">
        <f>+I6-I27</f>
        <v>-28458423.190076411</v>
      </c>
      <c r="J45" s="44">
        <f t="shared" si="4"/>
        <v>-0.49093663150984507</v>
      </c>
      <c r="K45" s="37">
        <f t="shared" si="5"/>
        <v>91234365.67007643</v>
      </c>
      <c r="L45" s="105">
        <f t="shared" si="6"/>
        <v>-320.5882668224931</v>
      </c>
      <c r="M45" s="81" t="s">
        <v>134</v>
      </c>
      <c r="N45" s="1"/>
      <c r="O45" s="1"/>
      <c r="P45" s="107"/>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57</v>
      </c>
      <c r="C46" s="20">
        <f>+'Centralna država-ek klas'!C63+'Lokalna država-ek klas '!C56</f>
        <v>0</v>
      </c>
      <c r="D46" s="40">
        <f t="shared" si="1"/>
        <v>0</v>
      </c>
      <c r="E46" s="20">
        <f>+'Centralna država-ek klas'!E63+'Lokalna država-ek klas '!E56</f>
        <v>0</v>
      </c>
      <c r="F46" s="40">
        <f t="shared" si="0"/>
        <v>0</v>
      </c>
      <c r="G46" s="20">
        <f t="shared" si="2"/>
        <v>0</v>
      </c>
      <c r="H46" s="93" t="e">
        <f t="shared" si="3"/>
        <v>#DIV/0!</v>
      </c>
      <c r="I46" s="20">
        <f>+'Centralna država-ek klas'!I63+'Lokalna država-ek klas '!I56</f>
        <v>0</v>
      </c>
      <c r="J46" s="40">
        <f t="shared" si="4"/>
        <v>0</v>
      </c>
      <c r="K46" s="20">
        <f t="shared" si="5"/>
        <v>0</v>
      </c>
      <c r="L46" s="93" t="e">
        <f t="shared" si="6"/>
        <v>#DIV/0!</v>
      </c>
      <c r="M46" s="73" t="s">
        <v>133</v>
      </c>
    </row>
    <row r="47" spans="1:16357" s="38" customFormat="1" ht="15" hidden="1" customHeight="1">
      <c r="A47" s="35"/>
      <c r="B47" s="36" t="s">
        <v>59</v>
      </c>
      <c r="C47" s="37">
        <f>+C45-C46</f>
        <v>62775942.480000019</v>
      </c>
      <c r="D47" s="44">
        <f t="shared" si="1"/>
        <v>1.0166803109513169</v>
      </c>
      <c r="E47" s="37">
        <f>+E45-E46</f>
        <v>-111012786.12935781</v>
      </c>
      <c r="F47" s="44">
        <f t="shared" si="0"/>
        <v>-1.7978943758196129</v>
      </c>
      <c r="G47" s="37">
        <f t="shared" si="2"/>
        <v>173788728.60935783</v>
      </c>
      <c r="H47" s="105">
        <f t="shared" si="3"/>
        <v>-156.54838930612033</v>
      </c>
      <c r="I47" s="37">
        <f>+I45-I46</f>
        <v>-28458423.190076411</v>
      </c>
      <c r="J47" s="44">
        <f t="shared" si="4"/>
        <v>-0.49093663150984507</v>
      </c>
      <c r="K47" s="37">
        <f t="shared" si="5"/>
        <v>91234365.67007643</v>
      </c>
      <c r="L47" s="105">
        <f t="shared" si="6"/>
        <v>-320.5882668224931</v>
      </c>
      <c r="M47" s="81" t="s">
        <v>137</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75</v>
      </c>
      <c r="C48" s="37">
        <f>+C47+C34</f>
        <v>71274441.560000017</v>
      </c>
      <c r="D48" s="44">
        <f t="shared" si="1"/>
        <v>1.1543167421371427</v>
      </c>
      <c r="E48" s="37">
        <f>+E47+E34</f>
        <v>-100409869.10935782</v>
      </c>
      <c r="F48" s="44">
        <f t="shared" si="0"/>
        <v>-1.6261760941495451</v>
      </c>
      <c r="G48" s="37">
        <f>+C48-E48</f>
        <v>171684310.66935784</v>
      </c>
      <c r="H48" s="105">
        <f t="shared" si="3"/>
        <v>-170.98350211210214</v>
      </c>
      <c r="I48" s="37">
        <f>+I47+I34</f>
        <v>-22016686.020076409</v>
      </c>
      <c r="J48" s="44">
        <f t="shared" si="4"/>
        <v>-0.37981013914626477</v>
      </c>
      <c r="K48" s="37">
        <f t="shared" si="5"/>
        <v>93291127.580076426</v>
      </c>
      <c r="L48" s="105">
        <f t="shared" si="6"/>
        <v>-423.72920018483626</v>
      </c>
      <c r="M48" s="81" t="s">
        <v>136</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76</v>
      </c>
      <c r="C49" s="37">
        <f>+C6-(C27-C40)</f>
        <v>90168368.290000021</v>
      </c>
      <c r="D49" s="44">
        <f t="shared" si="1"/>
        <v>1.4603110855763939</v>
      </c>
      <c r="E49" s="37">
        <f>+E6-(E27-E40)</f>
        <v>-11676519.38435781</v>
      </c>
      <c r="F49" s="44">
        <f t="shared" si="0"/>
        <v>-0.18910568108635067</v>
      </c>
      <c r="G49" s="37">
        <f t="shared" si="2"/>
        <v>101844887.67435783</v>
      </c>
      <c r="H49" s="105">
        <f t="shared" si="3"/>
        <v>-872.2195743604218</v>
      </c>
      <c r="I49" s="37">
        <f>+I6-(I27-I40)</f>
        <v>21436057.589923561</v>
      </c>
      <c r="J49" s="44">
        <f t="shared" si="4"/>
        <v>0.36979371048631399</v>
      </c>
      <c r="K49" s="37">
        <f t="shared" si="5"/>
        <v>68732310.700076461</v>
      </c>
      <c r="L49" s="105">
        <f t="shared" si="6"/>
        <v>320.63876676831393</v>
      </c>
      <c r="M49" s="81" t="s">
        <v>135</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46698456.389999993</v>
      </c>
      <c r="D50" s="44">
        <f t="shared" si="1"/>
        <v>0.75629929695850728</v>
      </c>
      <c r="E50" s="37">
        <f>+E51+E52+E53</f>
        <v>49733345.590000004</v>
      </c>
      <c r="F50" s="44">
        <f t="shared" si="0"/>
        <v>0.80545048407994047</v>
      </c>
      <c r="G50" s="37">
        <f t="shared" si="2"/>
        <v>-3034889.2000000104</v>
      </c>
      <c r="H50" s="105">
        <f t="shared" si="3"/>
        <v>-6.1023226247828433</v>
      </c>
      <c r="I50" s="37">
        <f>+I51+I52+I53</f>
        <v>56468726.690000005</v>
      </c>
      <c r="J50" s="44">
        <f t="shared" si="4"/>
        <v>0.97414274437052017</v>
      </c>
      <c r="K50" s="37">
        <f t="shared" si="5"/>
        <v>-9770270.3000000119</v>
      </c>
      <c r="L50" s="105">
        <f t="shared" si="6"/>
        <v>-17.302090683993086</v>
      </c>
      <c r="M50" s="81" t="s">
        <v>138</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52</v>
      </c>
      <c r="C51" s="23">
        <f>+'Centralna država-ek klas'!C68+'Lokalna država-ek klas '!C61</f>
        <v>7680942.2599999998</v>
      </c>
      <c r="D51" s="41">
        <f t="shared" si="1"/>
        <v>0.12439578693356655</v>
      </c>
      <c r="E51" s="23">
        <f>+'Centralna država-ek klas'!E68+'Lokalna država-ek klas '!E61</f>
        <v>8209796.4800000004</v>
      </c>
      <c r="F51" s="41">
        <f t="shared" si="0"/>
        <v>0.13296078256081365</v>
      </c>
      <c r="G51" s="23">
        <f t="shared" si="2"/>
        <v>-528854.22000000067</v>
      </c>
      <c r="H51" s="98">
        <f t="shared" si="3"/>
        <v>-6.4417458007436608</v>
      </c>
      <c r="I51" s="23">
        <f>+'Centralna država-ek klas'!I68+'Lokalna država-ek klas '!I61</f>
        <v>9338785.2800000012</v>
      </c>
      <c r="J51" s="41">
        <f t="shared" si="4"/>
        <v>0.16110350728622416</v>
      </c>
      <c r="K51" s="23">
        <f t="shared" si="5"/>
        <v>-1657843.0200000014</v>
      </c>
      <c r="L51" s="98">
        <f t="shared" si="6"/>
        <v>-17.752234046439071</v>
      </c>
      <c r="M51" s="74" t="s">
        <v>139</v>
      </c>
    </row>
    <row r="52" spans="1:16357" ht="15" customHeight="1">
      <c r="A52" s="21">
        <v>4612</v>
      </c>
      <c r="B52" s="22" t="s">
        <v>53</v>
      </c>
      <c r="C52" s="23">
        <f>+'Centralna država-ek klas'!C69+'Lokalna država-ek klas '!C62</f>
        <v>39017514.129999995</v>
      </c>
      <c r="D52" s="41">
        <f t="shared" si="1"/>
        <v>0.63190351002494083</v>
      </c>
      <c r="E52" s="23">
        <f>+'Centralna država-ek klas'!E69+'Lokalna država-ek klas '!E62</f>
        <v>41523549.109999999</v>
      </c>
      <c r="F52" s="41">
        <f t="shared" si="0"/>
        <v>0.67248970151912668</v>
      </c>
      <c r="G52" s="23">
        <f t="shared" si="2"/>
        <v>-2506034.9800000042</v>
      </c>
      <c r="H52" s="98">
        <f t="shared" si="3"/>
        <v>-6.0352138333871039</v>
      </c>
      <c r="I52" s="23">
        <f>+'Centralna država-ek klas'!I69+'Lokalna država-ek klas '!I62</f>
        <v>47129941.410000004</v>
      </c>
      <c r="J52" s="41">
        <f t="shared" si="4"/>
        <v>0.81303923708429593</v>
      </c>
      <c r="K52" s="23">
        <f t="shared" si="5"/>
        <v>-8112427.2800000086</v>
      </c>
      <c r="L52" s="98">
        <f t="shared" si="6"/>
        <v>-17.212894897167686</v>
      </c>
      <c r="M52" s="74" t="s">
        <v>140</v>
      </c>
    </row>
    <row r="53" spans="1:16357" ht="15" hidden="1" customHeight="1">
      <c r="A53" s="18">
        <v>463</v>
      </c>
      <c r="B53" s="19" t="s">
        <v>46</v>
      </c>
      <c r="C53" s="20">
        <v>0</v>
      </c>
      <c r="D53" s="40">
        <f t="shared" ref="D53" si="7">+C53/$C$2*100</f>
        <v>0</v>
      </c>
      <c r="E53" s="20">
        <v>0</v>
      </c>
      <c r="F53" s="40">
        <f t="shared" ref="F53" si="8">+E53/$E$2*100</f>
        <v>0</v>
      </c>
      <c r="G53" s="20">
        <f t="shared" ref="G53" si="9">+C53-E53</f>
        <v>0</v>
      </c>
      <c r="H53" s="93" t="e">
        <f t="shared" ref="H53" si="10">+C53/E53*100-100</f>
        <v>#DIV/0!</v>
      </c>
      <c r="I53" s="20">
        <f>+'Lokalna država-ek klas '!I63</f>
        <v>0</v>
      </c>
      <c r="J53" s="40">
        <f t="shared" ref="J53" si="11">+I53/$I$2*100</f>
        <v>0</v>
      </c>
      <c r="K53" s="20">
        <f t="shared" ref="K53" si="12">+C53-I53</f>
        <v>0</v>
      </c>
      <c r="L53" s="93" t="e">
        <f t="shared" ref="L53" si="13">+C53/I53*100-100</f>
        <v>#DIV/0!</v>
      </c>
      <c r="M53" s="73" t="s">
        <v>131</v>
      </c>
    </row>
    <row r="54" spans="1:16357" s="38" customFormat="1" ht="15" customHeight="1">
      <c r="A54" s="35">
        <v>4418</v>
      </c>
      <c r="B54" s="36" t="s">
        <v>63</v>
      </c>
      <c r="C54" s="37">
        <f>+'Centralna država-ek klas'!C70+'Lokalna država-ek klas '!C64</f>
        <v>496372.98</v>
      </c>
      <c r="D54" s="44">
        <f t="shared" si="1"/>
        <v>8.0389495675833242E-3</v>
      </c>
      <c r="E54" s="37">
        <f>+'Centralna država-ek klas'!E70+'Lokalna država-ek klas '!E64</f>
        <v>399000.01</v>
      </c>
      <c r="F54" s="44">
        <f t="shared" ref="F54:F63" si="14">+E54/$E$2*100</f>
        <v>6.4619572118031947E-3</v>
      </c>
      <c r="G54" s="37">
        <f t="shared" si="2"/>
        <v>97372.969999999972</v>
      </c>
      <c r="H54" s="105">
        <f t="shared" si="3"/>
        <v>24.404252521196668</v>
      </c>
      <c r="I54" s="37">
        <f>+'Centralna država-ek klas'!I70+'Lokalna država-ek klas '!I64</f>
        <v>0</v>
      </c>
      <c r="J54" s="44">
        <f t="shared" si="4"/>
        <v>0</v>
      </c>
      <c r="K54" s="37">
        <f t="shared" si="5"/>
        <v>496372.98</v>
      </c>
      <c r="L54" s="105" t="e">
        <f t="shared" si="6"/>
        <v>#DIV/0!</v>
      </c>
      <c r="M54" s="81" t="s">
        <v>141</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v>45</v>
      </c>
      <c r="B55" s="36" t="s">
        <v>44</v>
      </c>
      <c r="C55" s="37">
        <f>+'Centralna država-ek klas'!C71+'Lokalna država-ek klas '!C65</f>
        <v>1055290.22</v>
      </c>
      <c r="D55" s="44">
        <f t="shared" si="1"/>
        <v>1.709082726006543E-2</v>
      </c>
      <c r="E55" s="37">
        <f>+'Centralna država-ek klas'!E71+'Lokalna država-ek klas '!E65</f>
        <v>0</v>
      </c>
      <c r="F55" s="44">
        <f t="shared" si="14"/>
        <v>0</v>
      </c>
      <c r="G55" s="37">
        <f t="shared" si="2"/>
        <v>1055290.22</v>
      </c>
      <c r="H55" s="105" t="e">
        <f t="shared" si="3"/>
        <v>#DIV/0!</v>
      </c>
      <c r="I55" s="37">
        <f>+'Centralna država-ek klas'!I71+'Lokalna država-ek klas '!I65</f>
        <v>6327172.6400000006</v>
      </c>
      <c r="J55" s="44">
        <f t="shared" si="4"/>
        <v>0.10915013815473849</v>
      </c>
      <c r="K55" s="37">
        <f t="shared" si="5"/>
        <v>-5271882.4200000009</v>
      </c>
      <c r="L55" s="105">
        <f t="shared" si="6"/>
        <v>-83.321298784728597</v>
      </c>
      <c r="M55" s="81" t="s">
        <v>129</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54</v>
      </c>
      <c r="C56" s="37">
        <f>+C47-C50-C54-C55</f>
        <v>14525822.890000025</v>
      </c>
      <c r="D56" s="44">
        <f t="shared" si="1"/>
        <v>0.23525123716516089</v>
      </c>
      <c r="E56" s="37">
        <f>+E47-E50-E54-E55</f>
        <v>-161145131.72935781</v>
      </c>
      <c r="F56" s="44">
        <f t="shared" si="14"/>
        <v>-2.6098068171113562</v>
      </c>
      <c r="G56" s="37">
        <f t="shared" ref="G56:G63" si="15">+C56-E56</f>
        <v>175670954.61935782</v>
      </c>
      <c r="H56" s="105">
        <f t="shared" ref="H56:H63" si="16">+C56/E56*100-100</f>
        <v>-109.01412455599096</v>
      </c>
      <c r="I56" s="37">
        <f>+I47-I50-I54-I55</f>
        <v>-91254322.520076409</v>
      </c>
      <c r="J56" s="44">
        <f t="shared" si="4"/>
        <v>-1.5742295140351037</v>
      </c>
      <c r="K56" s="37">
        <f t="shared" ref="K56:K63" si="17">+C56-I56</f>
        <v>105780145.41007644</v>
      </c>
      <c r="L56" s="105">
        <f t="shared" ref="L56:L63" si="18">+C56/I56*100-100</f>
        <v>-115.91795598154188</v>
      </c>
      <c r="M56" s="81" t="s">
        <v>142</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s="38" customFormat="1" ht="15" customHeight="1">
      <c r="A57" s="35"/>
      <c r="B57" s="36" t="s">
        <v>48</v>
      </c>
      <c r="C57" s="37">
        <f>+SUM(C58:C63)+C46</f>
        <v>-14525822.89000003</v>
      </c>
      <c r="D57" s="44">
        <f t="shared" ref="D57:D63" si="19">+C57/$C$2*100</f>
        <v>-0.235251237165161</v>
      </c>
      <c r="E57" s="37">
        <f>+SUM(E58:E63)+E46</f>
        <v>161145131.72935781</v>
      </c>
      <c r="F57" s="44">
        <f t="shared" si="14"/>
        <v>2.6098068171113562</v>
      </c>
      <c r="G57" s="37">
        <f t="shared" si="15"/>
        <v>-175670954.61935782</v>
      </c>
      <c r="H57" s="105">
        <f t="shared" si="16"/>
        <v>-109.01412455599096</v>
      </c>
      <c r="I57" s="37">
        <f>+SUM(I58:I63)+I46</f>
        <v>91254322.520076409</v>
      </c>
      <c r="J57" s="44">
        <f t="shared" ref="J57:J63" si="20">+I57/$I$2*100</f>
        <v>1.5742295140351037</v>
      </c>
      <c r="K57" s="37">
        <f t="shared" si="17"/>
        <v>-105780145.41007644</v>
      </c>
      <c r="L57" s="105">
        <f t="shared" si="18"/>
        <v>-115.91795598154189</v>
      </c>
      <c r="M57" s="81" t="s">
        <v>143</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row>
    <row r="58" spans="1:16357">
      <c r="A58" s="21">
        <v>7511</v>
      </c>
      <c r="B58" s="22" t="s">
        <v>55</v>
      </c>
      <c r="C58" s="23">
        <f>+'Centralna država-ek klas'!C74+'Lokalna država-ek klas '!C68</f>
        <v>1303604.3400000001</v>
      </c>
      <c r="D58" s="41">
        <f t="shared" si="19"/>
        <v>2.1112369060343989E-2</v>
      </c>
      <c r="E58" s="23">
        <f>+'Centralna država-ek klas'!E74+'Lokalna država-ek klas '!E68</f>
        <v>100765000</v>
      </c>
      <c r="F58" s="41">
        <f t="shared" si="14"/>
        <v>1.6319275742558221</v>
      </c>
      <c r="G58" s="23">
        <f t="shared" si="15"/>
        <v>-99461395.659999996</v>
      </c>
      <c r="H58" s="98">
        <f t="shared" si="16"/>
        <v>-98.706292522205132</v>
      </c>
      <c r="I58" s="23">
        <f>+'Centralna država-ek klas'!I74+'Lokalna država-ek klas '!I68</f>
        <v>2369632.2400000002</v>
      </c>
      <c r="J58" s="41">
        <f t="shared" si="20"/>
        <v>4.0878556835446563E-2</v>
      </c>
      <c r="K58" s="23">
        <f t="shared" si="17"/>
        <v>-1066027.9000000001</v>
      </c>
      <c r="L58" s="98">
        <f t="shared" si="18"/>
        <v>-44.987060945794695</v>
      </c>
      <c r="M58" s="74" t="s">
        <v>144</v>
      </c>
    </row>
    <row r="59" spans="1:16357" ht="15" customHeight="1">
      <c r="A59" s="21">
        <v>7512</v>
      </c>
      <c r="B59" s="22" t="s">
        <v>49</v>
      </c>
      <c r="C59" s="23">
        <f>+'Centralna država-ek klas'!C75+'Lokalna država-ek klas '!C69</f>
        <v>102620208.97</v>
      </c>
      <c r="D59" s="41">
        <f t="shared" si="19"/>
        <v>1.6619733905030285</v>
      </c>
      <c r="E59" s="23">
        <f>+'Centralna država-ek klas'!E75+'Lokalna država-ek klas '!E69</f>
        <v>1887000</v>
      </c>
      <c r="F59" s="41">
        <f t="shared" si="14"/>
        <v>3.0560684092896709E-2</v>
      </c>
      <c r="G59" s="23">
        <f t="shared" si="15"/>
        <v>100733208.97</v>
      </c>
      <c r="H59" s="98">
        <f t="shared" si="16"/>
        <v>5338.2728653948061</v>
      </c>
      <c r="I59" s="23">
        <f>+'Centralna država-ek klas'!I75+'Lokalna država-ek klas '!I69</f>
        <v>31201072.250000004</v>
      </c>
      <c r="J59" s="41">
        <f t="shared" si="20"/>
        <v>0.53825010639562343</v>
      </c>
      <c r="K59" s="23">
        <f t="shared" si="17"/>
        <v>71419136.719999999</v>
      </c>
      <c r="L59" s="98">
        <f t="shared" si="18"/>
        <v>228.89962289677396</v>
      </c>
      <c r="M59" s="74" t="s">
        <v>145</v>
      </c>
    </row>
    <row r="60" spans="1:16357" ht="15" customHeight="1">
      <c r="A60" s="18">
        <v>72</v>
      </c>
      <c r="B60" s="19" t="s">
        <v>172</v>
      </c>
      <c r="C60" s="20">
        <f>+'Centralna država-ek klas'!C76+'Lokalna država-ek klas '!C70</f>
        <v>1515482.9300000002</v>
      </c>
      <c r="D60" s="40">
        <f t="shared" si="19"/>
        <v>2.4543823567518549E-2</v>
      </c>
      <c r="E60" s="20">
        <f>+'Centralna država-ek klas'!E76+'Lokalna država-ek klas '!E70</f>
        <v>5421750</v>
      </c>
      <c r="F60" s="40">
        <f t="shared" si="14"/>
        <v>8.7807307355942082E-2</v>
      </c>
      <c r="G60" s="20">
        <f t="shared" si="15"/>
        <v>-3906267.07</v>
      </c>
      <c r="H60" s="93">
        <f t="shared" si="16"/>
        <v>-72.048085396781488</v>
      </c>
      <c r="I60" s="20">
        <f>+'Centralna država-ek klas'!I76+'Lokalna država-ek klas '!I70</f>
        <v>14386437.809999999</v>
      </c>
      <c r="J60" s="40">
        <f t="shared" si="20"/>
        <v>0.24818062725028683</v>
      </c>
      <c r="K60" s="20">
        <f t="shared" si="17"/>
        <v>-12870954.879999999</v>
      </c>
      <c r="L60" s="93">
        <f t="shared" si="18"/>
        <v>-89.465891765461294</v>
      </c>
      <c r="M60" s="73" t="s">
        <v>146</v>
      </c>
    </row>
    <row r="61" spans="1:16357" ht="15" customHeight="1">
      <c r="A61" s="28">
        <v>73</v>
      </c>
      <c r="B61" s="19" t="s">
        <v>192</v>
      </c>
      <c r="C61" s="20">
        <f>+'Centralna država-ek klas'!C77+'Lokalna država-ek klas '!C71</f>
        <v>3292589.53</v>
      </c>
      <c r="D61" s="40">
        <f t="shared" si="19"/>
        <v>5.3324742169533243E-2</v>
      </c>
      <c r="E61" s="20">
        <f>+'Centralna država-ek klas'!E77+'Lokalna država-ek klas '!E71</f>
        <v>0</v>
      </c>
      <c r="F61" s="40">
        <f t="shared" si="14"/>
        <v>0</v>
      </c>
      <c r="G61" s="20">
        <f t="shared" si="15"/>
        <v>3292589.53</v>
      </c>
      <c r="H61" s="93" t="e">
        <f t="shared" si="16"/>
        <v>#DIV/0!</v>
      </c>
      <c r="I61" s="20">
        <f>+'Centralna država-ek klas'!I77+'Lokalna država-ek klas '!I71</f>
        <v>1272821.3999999999</v>
      </c>
      <c r="J61" s="40">
        <f t="shared" si="20"/>
        <v>2.1957458656653255E-2</v>
      </c>
      <c r="K61" s="20">
        <f t="shared" si="17"/>
        <v>2019768.13</v>
      </c>
      <c r="L61" s="93">
        <f t="shared" si="18"/>
        <v>158.68433151736764</v>
      </c>
      <c r="M61" s="73" t="s">
        <v>108</v>
      </c>
    </row>
    <row r="62" spans="1:16357" ht="15" customHeight="1">
      <c r="A62" s="28"/>
      <c r="B62" s="29" t="s">
        <v>152</v>
      </c>
      <c r="C62" s="30">
        <f>+'Lokalna država-ek klas '!C72</f>
        <v>2297414.9</v>
      </c>
      <c r="D62" s="40">
        <f t="shared" si="19"/>
        <v>3.720750979820555E-2</v>
      </c>
      <c r="E62" s="30">
        <f>+'Lokalna država-ek klas '!E72</f>
        <v>2449335</v>
      </c>
      <c r="F62" s="40">
        <f t="shared" si="14"/>
        <v>3.9667913711009618E-2</v>
      </c>
      <c r="G62" s="20">
        <f t="shared" si="15"/>
        <v>-151920.10000000009</v>
      </c>
      <c r="H62" s="93">
        <f t="shared" si="16"/>
        <v>-6.2025039449483188</v>
      </c>
      <c r="I62" s="30">
        <f>+'Lokalna država-ek klas '!I72</f>
        <v>1250736.0299999998</v>
      </c>
      <c r="J62" s="40">
        <f t="shared" si="20"/>
        <v>2.1576463649268959E-2</v>
      </c>
      <c r="K62" s="20">
        <f t="shared" si="17"/>
        <v>1046678.8700000001</v>
      </c>
      <c r="L62" s="93">
        <f t="shared" si="18"/>
        <v>83.685033843632084</v>
      </c>
      <c r="M62" s="76" t="s">
        <v>153</v>
      </c>
    </row>
    <row r="63" spans="1:16357" ht="15" customHeight="1" thickBot="1">
      <c r="A63" s="24"/>
      <c r="B63" s="25" t="s">
        <v>50</v>
      </c>
      <c r="C63" s="26">
        <f>+-C56-(SUM(C58:C62)+C46)</f>
        <v>-125555123.56000005</v>
      </c>
      <c r="D63" s="42">
        <f t="shared" si="19"/>
        <v>-2.0334130722637909</v>
      </c>
      <c r="E63" s="26">
        <f>+-E56-SUM(E58:E62)</f>
        <v>50622046.729357809</v>
      </c>
      <c r="F63" s="42">
        <f t="shared" si="14"/>
        <v>0.81984333769568563</v>
      </c>
      <c r="G63" s="26">
        <f t="shared" si="15"/>
        <v>-176177170.28935784</v>
      </c>
      <c r="H63" s="99">
        <f t="shared" si="16"/>
        <v>-348.02458942693329</v>
      </c>
      <c r="I63" s="26">
        <f>+-I56-(SUM(I58:I62)+I46)</f>
        <v>40773622.790076412</v>
      </c>
      <c r="J63" s="42">
        <f t="shared" si="20"/>
        <v>0.70338630124782464</v>
      </c>
      <c r="K63" s="26">
        <f t="shared" si="17"/>
        <v>-166328746.35007647</v>
      </c>
      <c r="L63" s="99">
        <f t="shared" si="18"/>
        <v>-407.93222423825915</v>
      </c>
      <c r="M63" s="77" t="s">
        <v>147</v>
      </c>
    </row>
    <row r="64" spans="1:16357" ht="13.5" customHeight="1"/>
  </sheetData>
  <sheetProtection algorithmName="SHA-512" hashValue="eww0WKi1CC5VC4kBjuAQoT9u10pzziiz7FNn4To6MHl52yBV0zGlg4h73/SDraaVETraBRc4GnTFFqxvLCgrlA==" saltValue="IfRl2zbAgNPCJUKhURYK9w=="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22"/>
      <c r="C4" s="122" t="s">
        <v>174</v>
      </c>
      <c r="D4" s="124" t="s">
        <v>175</v>
      </c>
    </row>
    <row r="5" spans="2:4">
      <c r="B5" s="123"/>
      <c r="C5" s="123"/>
      <c r="D5" s="125"/>
    </row>
    <row r="6" spans="2:4" ht="13.5">
      <c r="B6" s="22" t="s">
        <v>178</v>
      </c>
      <c r="C6" s="23">
        <v>51122438.960000001</v>
      </c>
      <c r="D6" s="23">
        <v>50118940.61699906</v>
      </c>
    </row>
    <row r="7" spans="2:4" ht="13.5">
      <c r="B7" s="22" t="s">
        <v>177</v>
      </c>
      <c r="C7" s="23">
        <v>59697131.339999996</v>
      </c>
      <c r="D7" s="23">
        <v>57763326.64507816</v>
      </c>
    </row>
    <row r="8" spans="2:4" ht="13.5">
      <c r="B8" s="22" t="s">
        <v>176</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Milena Milovic</cp:lastModifiedBy>
  <cp:lastPrinted>2021-05-19T06:53:11Z</cp:lastPrinted>
  <dcterms:created xsi:type="dcterms:W3CDTF">2008-03-17T08:49:23Z</dcterms:created>
  <dcterms:modified xsi:type="dcterms:W3CDTF">2023-06-05T11:22:31Z</dcterms:modified>
</cp:coreProperties>
</file>