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HeWq307/5knq7myKuX3Opai69zem5mn85O2xwNj3PjE9gsCswuI7T+DP6xvSTPbHE+aW2bHfsKCRiHeBEdeJLA==" workbookSaltValue="moV8+9wztn+xsDhn26G3Bw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Pregled" sheetId="1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9" l="1"/>
  <c r="B7" i="11" l="1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5" i="11"/>
  <c r="K56" i="11"/>
  <c r="K57" i="11"/>
  <c r="K58" i="11"/>
  <c r="K61" i="11"/>
  <c r="K62" i="11"/>
  <c r="K63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G50" i="11"/>
  <c r="G52" i="11"/>
  <c r="G58" i="11"/>
  <c r="G61" i="11"/>
  <c r="G19" i="1"/>
  <c r="G15" i="1"/>
  <c r="G11" i="1"/>
  <c r="S121" i="25" l="1"/>
  <c r="B138" i="25" l="1"/>
  <c r="A138" i="25"/>
  <c r="S137" i="25"/>
  <c r="T137" i="25" s="1"/>
  <c r="B137" i="25"/>
  <c r="A137" i="25"/>
  <c r="S136" i="25"/>
  <c r="T136" i="25" s="1"/>
  <c r="B136" i="25"/>
  <c r="A136" i="25"/>
  <c r="S135" i="25"/>
  <c r="T135" i="25" s="1"/>
  <c r="B135" i="25"/>
  <c r="A135" i="25"/>
  <c r="B134" i="25"/>
  <c r="A134" i="25"/>
  <c r="B133" i="25"/>
  <c r="A133" i="25"/>
  <c r="S132" i="25"/>
  <c r="T132" i="25" s="1"/>
  <c r="B132" i="25"/>
  <c r="A132" i="25"/>
  <c r="S131" i="25"/>
  <c r="T131" i="25" s="1"/>
  <c r="B131" i="25"/>
  <c r="A131" i="25"/>
  <c r="S130" i="25"/>
  <c r="T130" i="25" s="1"/>
  <c r="B130" i="25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B129" i="25"/>
  <c r="A129" i="25"/>
  <c r="B128" i="25"/>
  <c r="A128" i="25"/>
  <c r="B127" i="25"/>
  <c r="A127" i="25"/>
  <c r="S126" i="25"/>
  <c r="T126" i="25" s="1"/>
  <c r="B126" i="25"/>
  <c r="A126" i="25"/>
  <c r="S125" i="25"/>
  <c r="T125" i="25" s="1"/>
  <c r="B125" i="25"/>
  <c r="A125" i="25"/>
  <c r="S124" i="25"/>
  <c r="T124" i="25" s="1"/>
  <c r="B124" i="25"/>
  <c r="A124" i="25"/>
  <c r="S123" i="25"/>
  <c r="T123" i="25" s="1"/>
  <c r="B123" i="25"/>
  <c r="A123" i="25"/>
  <c r="S122" i="25"/>
  <c r="T122" i="25" s="1"/>
  <c r="B122" i="25"/>
  <c r="A122" i="25"/>
  <c r="T121" i="25"/>
  <c r="B121" i="25"/>
  <c r="A121" i="25"/>
  <c r="S120" i="25"/>
  <c r="T120" i="25" s="1"/>
  <c r="B120" i="25"/>
  <c r="A120" i="25"/>
  <c r="S119" i="25"/>
  <c r="T119" i="25" s="1"/>
  <c r="B119" i="25"/>
  <c r="A119" i="25"/>
  <c r="S118" i="25"/>
  <c r="T118" i="25" s="1"/>
  <c r="B118" i="25"/>
  <c r="A118" i="25"/>
  <c r="S117" i="25"/>
  <c r="T117" i="25" s="1"/>
  <c r="B117" i="25"/>
  <c r="A117" i="25"/>
  <c r="S116" i="25"/>
  <c r="T116" i="25" s="1"/>
  <c r="B116" i="25"/>
  <c r="A116" i="25"/>
  <c r="S115" i="25"/>
  <c r="T115" i="25" s="1"/>
  <c r="B115" i="25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B114" i="25"/>
  <c r="A114" i="25"/>
  <c r="S113" i="25"/>
  <c r="T113" i="25" s="1"/>
  <c r="B113" i="25"/>
  <c r="A113" i="25"/>
  <c r="S112" i="25"/>
  <c r="T112" i="25" s="1"/>
  <c r="B112" i="25"/>
  <c r="A112" i="25"/>
  <c r="S111" i="25"/>
  <c r="T111" i="25" s="1"/>
  <c r="B111" i="25"/>
  <c r="A111" i="25"/>
  <c r="S110" i="25"/>
  <c r="T110" i="25" s="1"/>
  <c r="B110" i="25"/>
  <c r="A110" i="25"/>
  <c r="S109" i="25"/>
  <c r="T109" i="25" s="1"/>
  <c r="B109" i="25"/>
  <c r="A109" i="25"/>
  <c r="S108" i="25"/>
  <c r="T108" i="25" s="1"/>
  <c r="B108" i="25"/>
  <c r="A108" i="25"/>
  <c r="S107" i="25"/>
  <c r="T107" i="25" s="1"/>
  <c r="B107" i="25"/>
  <c r="A107" i="25"/>
  <c r="S106" i="25"/>
  <c r="T106" i="25" s="1"/>
  <c r="B106" i="25"/>
  <c r="A106" i="25"/>
  <c r="S105" i="25"/>
  <c r="T105" i="25" s="1"/>
  <c r="B105" i="25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B104" i="25"/>
  <c r="A104" i="25"/>
  <c r="B103" i="25"/>
  <c r="A103" i="25"/>
  <c r="S102" i="25"/>
  <c r="T102" i="25" s="1"/>
  <c r="B102" i="25"/>
  <c r="A102" i="25"/>
  <c r="S101" i="25"/>
  <c r="T101" i="25" s="1"/>
  <c r="B101" i="25"/>
  <c r="A101" i="25"/>
  <c r="S100" i="25"/>
  <c r="T100" i="25" s="1"/>
  <c r="B100" i="25"/>
  <c r="A100" i="25"/>
  <c r="S99" i="25"/>
  <c r="T99" i="25" s="1"/>
  <c r="B99" i="25"/>
  <c r="A99" i="25"/>
  <c r="S98" i="25"/>
  <c r="T98" i="25" s="1"/>
  <c r="B98" i="25"/>
  <c r="A98" i="25"/>
  <c r="S97" i="25"/>
  <c r="T97" i="25" s="1"/>
  <c r="B97" i="25"/>
  <c r="A97" i="25"/>
  <c r="S96" i="25"/>
  <c r="T96" i="25" s="1"/>
  <c r="B96" i="25"/>
  <c r="A96" i="25"/>
  <c r="S95" i="25"/>
  <c r="T95" i="25" s="1"/>
  <c r="B95" i="25"/>
  <c r="A95" i="25"/>
  <c r="S94" i="25"/>
  <c r="T94" i="25" s="1"/>
  <c r="B94" i="25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B93" i="25"/>
  <c r="A93" i="25"/>
  <c r="S92" i="25"/>
  <c r="T92" i="25" s="1"/>
  <c r="B92" i="25"/>
  <c r="A92" i="25"/>
  <c r="S91" i="25"/>
  <c r="T91" i="25" s="1"/>
  <c r="B91" i="25"/>
  <c r="A91" i="25"/>
  <c r="S90" i="25"/>
  <c r="T90" i="25" s="1"/>
  <c r="B90" i="25"/>
  <c r="A90" i="25"/>
  <c r="S89" i="25"/>
  <c r="T89" i="25" s="1"/>
  <c r="B89" i="25"/>
  <c r="A89" i="25"/>
  <c r="S88" i="25"/>
  <c r="T88" i="25" s="1"/>
  <c r="B88" i="25"/>
  <c r="A88" i="25"/>
  <c r="S87" i="25"/>
  <c r="T87" i="25" s="1"/>
  <c r="B87" i="25"/>
  <c r="A87" i="25"/>
  <c r="S86" i="25"/>
  <c r="T86" i="25" s="1"/>
  <c r="B86" i="25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B85" i="25"/>
  <c r="A85" i="25"/>
  <c r="P84" i="25"/>
  <c r="L84" i="25"/>
  <c r="H84" i="25"/>
  <c r="B84" i="25"/>
  <c r="A84" i="25"/>
  <c r="T83" i="25"/>
  <c r="T82" i="25"/>
  <c r="S82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B64" i="25"/>
  <c r="S63" i="25"/>
  <c r="B63" i="25"/>
  <c r="S62" i="25"/>
  <c r="B62" i="25"/>
  <c r="S61" i="25"/>
  <c r="T61" i="25" s="1"/>
  <c r="B61" i="25"/>
  <c r="B60" i="25"/>
  <c r="B59" i="25"/>
  <c r="S58" i="25"/>
  <c r="T58" i="25" s="1"/>
  <c r="B58" i="25"/>
  <c r="S57" i="25"/>
  <c r="B57" i="25"/>
  <c r="S56" i="25"/>
  <c r="B56" i="25"/>
  <c r="R55" i="25"/>
  <c r="Q55" i="25"/>
  <c r="P55" i="25"/>
  <c r="O55" i="25"/>
  <c r="N55" i="25"/>
  <c r="M55" i="25"/>
  <c r="L55" i="25"/>
  <c r="K55" i="25"/>
  <c r="J55" i="25"/>
  <c r="I55" i="25"/>
  <c r="H55" i="25"/>
  <c r="N55" i="11" s="1"/>
  <c r="G55" i="25"/>
  <c r="B55" i="25"/>
  <c r="B54" i="25"/>
  <c r="B53" i="25"/>
  <c r="S52" i="25"/>
  <c r="T52" i="25" s="1"/>
  <c r="B52" i="25"/>
  <c r="S51" i="25"/>
  <c r="B51" i="25"/>
  <c r="S50" i="25"/>
  <c r="T50" i="25" s="1"/>
  <c r="B50" i="25"/>
  <c r="S49" i="25"/>
  <c r="B49" i="25"/>
  <c r="S48" i="25"/>
  <c r="B48" i="25"/>
  <c r="S47" i="25"/>
  <c r="B47" i="25"/>
  <c r="S46" i="25"/>
  <c r="B46" i="25"/>
  <c r="S45" i="25"/>
  <c r="B45" i="25"/>
  <c r="S44" i="25"/>
  <c r="B44" i="25"/>
  <c r="S43" i="25"/>
  <c r="B43" i="25"/>
  <c r="S42" i="25"/>
  <c r="B42" i="25"/>
  <c r="S41" i="25"/>
  <c r="B41" i="25"/>
  <c r="R40" i="25"/>
  <c r="Q40" i="25"/>
  <c r="P40" i="25"/>
  <c r="O40" i="25"/>
  <c r="N40" i="25"/>
  <c r="M40" i="25"/>
  <c r="L40" i="25"/>
  <c r="K40" i="25"/>
  <c r="J40" i="25"/>
  <c r="I40" i="25"/>
  <c r="I29" i="25" s="1"/>
  <c r="H40" i="25"/>
  <c r="N40" i="11" s="1"/>
  <c r="G40" i="25"/>
  <c r="B40" i="25"/>
  <c r="S39" i="25"/>
  <c r="B39" i="25"/>
  <c r="S38" i="25"/>
  <c r="B38" i="25"/>
  <c r="S37" i="25"/>
  <c r="B37" i="25"/>
  <c r="S36" i="25"/>
  <c r="B36" i="25"/>
  <c r="S35" i="25"/>
  <c r="B35" i="25"/>
  <c r="S34" i="25"/>
  <c r="B34" i="25"/>
  <c r="S33" i="25"/>
  <c r="B33" i="25"/>
  <c r="S32" i="25"/>
  <c r="G32" i="11" s="1"/>
  <c r="B32" i="25"/>
  <c r="S31" i="25"/>
  <c r="B31" i="25"/>
  <c r="R30" i="25"/>
  <c r="Q30" i="25"/>
  <c r="P30" i="25"/>
  <c r="O30" i="25"/>
  <c r="O29" i="25" s="1"/>
  <c r="N30" i="25"/>
  <c r="M30" i="25"/>
  <c r="M29" i="25" s="1"/>
  <c r="L30" i="25"/>
  <c r="K30" i="25"/>
  <c r="K29" i="25" s="1"/>
  <c r="J30" i="25"/>
  <c r="I30" i="25"/>
  <c r="H30" i="25"/>
  <c r="N30" i="11" s="1"/>
  <c r="G30" i="25"/>
  <c r="B30" i="25"/>
  <c r="Q29" i="25"/>
  <c r="B29" i="25"/>
  <c r="S28" i="25"/>
  <c r="B28" i="25"/>
  <c r="S27" i="25"/>
  <c r="B27" i="25"/>
  <c r="S26" i="25"/>
  <c r="B26" i="25"/>
  <c r="S25" i="25"/>
  <c r="B25" i="25"/>
  <c r="S24" i="25"/>
  <c r="B24" i="25"/>
  <c r="S23" i="25"/>
  <c r="B23" i="25"/>
  <c r="S22" i="25"/>
  <c r="B22" i="25"/>
  <c r="S21" i="25"/>
  <c r="B21" i="25"/>
  <c r="S20" i="25"/>
  <c r="B20" i="25"/>
  <c r="R19" i="25"/>
  <c r="Q19" i="25"/>
  <c r="P19" i="25"/>
  <c r="O19" i="25"/>
  <c r="N19" i="25"/>
  <c r="M19" i="25"/>
  <c r="L19" i="25"/>
  <c r="K19" i="25"/>
  <c r="J19" i="25"/>
  <c r="I19" i="25"/>
  <c r="H19" i="25"/>
  <c r="N19" i="11" s="1"/>
  <c r="G19" i="25"/>
  <c r="B19" i="25"/>
  <c r="S18" i="25"/>
  <c r="B18" i="25"/>
  <c r="S17" i="25"/>
  <c r="B17" i="25"/>
  <c r="S16" i="25"/>
  <c r="B16" i="25"/>
  <c r="S15" i="25"/>
  <c r="B15" i="25"/>
  <c r="S14" i="25"/>
  <c r="B14" i="25"/>
  <c r="S13" i="25"/>
  <c r="B13" i="25"/>
  <c r="S12" i="25"/>
  <c r="B12" i="25"/>
  <c r="R11" i="25"/>
  <c r="R10" i="25" s="1"/>
  <c r="Q11" i="25"/>
  <c r="P11" i="25"/>
  <c r="O11" i="25"/>
  <c r="N11" i="25"/>
  <c r="M11" i="25"/>
  <c r="L11" i="25"/>
  <c r="K11" i="25"/>
  <c r="J11" i="25"/>
  <c r="J10" i="25" s="1"/>
  <c r="I11" i="25"/>
  <c r="H11" i="25"/>
  <c r="N11" i="11" s="1"/>
  <c r="G11" i="25"/>
  <c r="G10" i="25" s="1"/>
  <c r="B11" i="25"/>
  <c r="N10" i="25"/>
  <c r="B10" i="25"/>
  <c r="T9" i="25"/>
  <c r="S8" i="25"/>
  <c r="R8" i="25"/>
  <c r="R82" i="25" s="1"/>
  <c r="Q8" i="25"/>
  <c r="Q82" i="25" s="1"/>
  <c r="P8" i="25"/>
  <c r="P82" i="25" s="1"/>
  <c r="O8" i="25"/>
  <c r="O82" i="25" s="1"/>
  <c r="N8" i="25"/>
  <c r="N82" i="25" s="1"/>
  <c r="M8" i="25"/>
  <c r="M82" i="25" s="1"/>
  <c r="L8" i="25"/>
  <c r="L82" i="25" s="1"/>
  <c r="K8" i="25"/>
  <c r="K82" i="25" s="1"/>
  <c r="J8" i="25"/>
  <c r="J82" i="25" s="1"/>
  <c r="I8" i="25"/>
  <c r="I82" i="25" s="1"/>
  <c r="H8" i="25"/>
  <c r="H82" i="25" s="1"/>
  <c r="G8" i="25"/>
  <c r="G82" i="25" s="1"/>
  <c r="S7" i="25"/>
  <c r="S81" i="25" s="1"/>
  <c r="B7" i="25"/>
  <c r="R5" i="25"/>
  <c r="Q5" i="25"/>
  <c r="P5" i="25"/>
  <c r="O5" i="25"/>
  <c r="N5" i="25"/>
  <c r="M5" i="25"/>
  <c r="L5" i="25"/>
  <c r="K5" i="25"/>
  <c r="J5" i="25"/>
  <c r="I5" i="25"/>
  <c r="H5" i="25"/>
  <c r="G5" i="25"/>
  <c r="E4" i="25"/>
  <c r="E3" i="25"/>
  <c r="E2" i="25"/>
  <c r="T62" i="25" l="1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Q103" i="25"/>
  <c r="H103" i="25"/>
  <c r="J103" i="25"/>
  <c r="L103" i="25"/>
  <c r="N103" i="25"/>
  <c r="P103" i="25"/>
  <c r="R103" i="25"/>
  <c r="S85" i="25"/>
  <c r="T85" i="25" s="1"/>
  <c r="S114" i="25"/>
  <c r="T114" i="25" s="1"/>
  <c r="K103" i="25"/>
  <c r="O103" i="25"/>
  <c r="S30" i="25"/>
  <c r="I10" i="25"/>
  <c r="K10" i="25"/>
  <c r="K53" i="25" s="1"/>
  <c r="K59" i="25" s="1"/>
  <c r="K64" i="25" s="1"/>
  <c r="K60" i="25" s="1"/>
  <c r="M10" i="25"/>
  <c r="O10" i="25"/>
  <c r="O53" i="25" s="1"/>
  <c r="O59" i="25" s="1"/>
  <c r="O64" i="25" s="1"/>
  <c r="O60" i="25" s="1"/>
  <c r="Q10" i="25"/>
  <c r="L10" i="25"/>
  <c r="P10" i="25"/>
  <c r="H10" i="25"/>
  <c r="N10" i="11" s="1"/>
  <c r="G84" i="25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N29" i="11" s="1"/>
  <c r="J29" i="25"/>
  <c r="J53" i="25" s="1"/>
  <c r="L29" i="25"/>
  <c r="N29" i="25"/>
  <c r="N53" i="25" s="1"/>
  <c r="P29" i="25"/>
  <c r="P53" i="25" s="1"/>
  <c r="R29" i="25"/>
  <c r="R53" i="25" s="1"/>
  <c r="S40" i="25"/>
  <c r="I53" i="25"/>
  <c r="I54" i="25" s="1"/>
  <c r="M53" i="25"/>
  <c r="M54" i="25" s="1"/>
  <c r="Q53" i="25"/>
  <c r="Q54" i="25" s="1"/>
  <c r="G29" i="25"/>
  <c r="S19" i="25"/>
  <c r="S11" i="25"/>
  <c r="S55" i="25"/>
  <c r="S93" i="25"/>
  <c r="T93" i="25" s="1"/>
  <c r="S104" i="25"/>
  <c r="T104" i="25" s="1"/>
  <c r="S129" i="25"/>
  <c r="T129" i="25" s="1"/>
  <c r="T55" i="25" l="1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8" i="25" s="1"/>
  <c r="K134" i="25" s="1"/>
  <c r="L127" i="25"/>
  <c r="L133" i="25" s="1"/>
  <c r="L138" i="25" s="1"/>
  <c r="L134" i="25" s="1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G53" i="25"/>
  <c r="G127" i="25"/>
  <c r="Q59" i="25"/>
  <c r="Q64" i="25" s="1"/>
  <c r="Q60" i="25" s="1"/>
  <c r="I59" i="25"/>
  <c r="I64" i="25" s="1"/>
  <c r="I60" i="25" s="1"/>
  <c r="M59" i="25"/>
  <c r="M64" i="25" s="1"/>
  <c r="M60" i="25" s="1"/>
  <c r="L53" i="25"/>
  <c r="L54" i="25" s="1"/>
  <c r="O54" i="25"/>
  <c r="S10" i="25"/>
  <c r="H53" i="25"/>
  <c r="M133" i="25"/>
  <c r="M138" i="25" s="1"/>
  <c r="M134" i="25" s="1"/>
  <c r="I128" i="25"/>
  <c r="S84" i="25"/>
  <c r="T84" i="25" s="1"/>
  <c r="Q128" i="25"/>
  <c r="S103" i="25"/>
  <c r="T103" i="25" s="1"/>
  <c r="S29" i="25"/>
  <c r="P59" i="25"/>
  <c r="P64" i="25" s="1"/>
  <c r="P60" i="25" s="1"/>
  <c r="P54" i="25"/>
  <c r="K54" i="25"/>
  <c r="N54" i="25"/>
  <c r="N59" i="25"/>
  <c r="N64" i="25" s="1"/>
  <c r="N60" i="25" s="1"/>
  <c r="G59" i="25"/>
  <c r="R54" i="25"/>
  <c r="R59" i="25"/>
  <c r="R64" i="25" s="1"/>
  <c r="R60" i="25" s="1"/>
  <c r="J54" i="25"/>
  <c r="J59" i="25"/>
  <c r="J64" i="25" s="1"/>
  <c r="J60" i="25" s="1"/>
  <c r="S53" i="20"/>
  <c r="T29" i="25" l="1"/>
  <c r="G29" i="11"/>
  <c r="G16" i="1" s="1"/>
  <c r="H16" i="1" s="1"/>
  <c r="H54" i="25"/>
  <c r="N54" i="11" s="1"/>
  <c r="N53" i="11"/>
  <c r="T10" i="25"/>
  <c r="G10" i="11"/>
  <c r="G12" i="1" s="1"/>
  <c r="H12" i="1" s="1"/>
  <c r="O133" i="25"/>
  <c r="O138" i="25" s="1"/>
  <c r="O134" i="25" s="1"/>
  <c r="G54" i="25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L59" i="25"/>
  <c r="L64" i="25" s="1"/>
  <c r="L60" i="25" s="1"/>
  <c r="H59" i="25"/>
  <c r="S53" i="25"/>
  <c r="G64" i="25"/>
  <c r="G5" i="22"/>
  <c r="H5" i="22"/>
  <c r="I5" i="22"/>
  <c r="J5" i="22"/>
  <c r="K5" i="22"/>
  <c r="L5" i="22"/>
  <c r="M5" i="22"/>
  <c r="N5" i="22"/>
  <c r="O5" i="22"/>
  <c r="H64" i="25" l="1"/>
  <c r="S64" i="25" s="1"/>
  <c r="N59" i="11"/>
  <c r="T53" i="25"/>
  <c r="G53" i="11"/>
  <c r="G20" i="1" s="1"/>
  <c r="H20" i="1" s="1"/>
  <c r="S54" i="25"/>
  <c r="S133" i="25"/>
  <c r="T133" i="25" s="1"/>
  <c r="S128" i="25"/>
  <c r="T128" i="25" s="1"/>
  <c r="G138" i="25"/>
  <c r="S59" i="25"/>
  <c r="G60" i="25"/>
  <c r="P19" i="22"/>
  <c r="T54" i="25" l="1"/>
  <c r="G54" i="11"/>
  <c r="T64" i="25"/>
  <c r="G64" i="11"/>
  <c r="T59" i="25"/>
  <c r="G59" i="11"/>
  <c r="H60" i="25"/>
  <c r="N60" i="11" s="1"/>
  <c r="N64" i="11"/>
  <c r="S138" i="25"/>
  <c r="T138" i="25" s="1"/>
  <c r="G134" i="25"/>
  <c r="S121" i="22"/>
  <c r="S60" i="25" l="1"/>
  <c r="T60" i="25" s="1"/>
  <c r="S134" i="25"/>
  <c r="T134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K10" i="11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O54" i="22"/>
  <c r="J53" i="22"/>
  <c r="A145" i="19"/>
  <c r="A144" i="19"/>
  <c r="A151" i="19"/>
  <c r="A157" i="19"/>
  <c r="A152" i="19"/>
  <c r="A153" i="19"/>
  <c r="G54" i="22" l="1"/>
  <c r="K54" i="11" s="1"/>
  <c r="K53" i="11"/>
  <c r="T29" i="22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K59" i="11" s="1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K64" i="11" s="1"/>
  <c r="J29" i="11"/>
  <c r="I29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M60" i="22"/>
  <c r="J60" i="22"/>
  <c r="T128" i="22"/>
  <c r="T133" i="22"/>
  <c r="I134" i="22"/>
  <c r="H60" i="22"/>
  <c r="I53" i="11"/>
  <c r="S64" i="22"/>
  <c r="T64" i="22" s="1"/>
  <c r="J53" i="11"/>
  <c r="G60" i="22"/>
  <c r="K60" i="11" s="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J59" i="11"/>
  <c r="I59" i="11"/>
  <c r="S134" i="22"/>
  <c r="Q60" i="11"/>
  <c r="GB35" i="6"/>
  <c r="GB28" i="6"/>
  <c r="GB23" i="6"/>
  <c r="GB18" i="6"/>
  <c r="GB10" i="6"/>
  <c r="J60" i="11" l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CM190" i="6"/>
  <c r="CN190" i="6"/>
  <c r="CP190" i="6"/>
  <c r="CQ190" i="6"/>
  <c r="G275" i="2"/>
  <c r="G274" i="2"/>
  <c r="G269" i="2"/>
  <c r="D11" i="1" s="1"/>
  <c r="G271" i="2"/>
  <c r="D19" i="1" s="1"/>
  <c r="G245" i="2"/>
  <c r="R8" i="3"/>
  <c r="R8" i="11"/>
  <c r="G270" i="2"/>
  <c r="D15" i="1" s="1"/>
  <c r="E253" i="2" l="1"/>
  <c r="G253" i="2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<sst xmlns="http://schemas.openxmlformats.org/spreadsheetml/2006/main" count="1770" uniqueCount="840">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</sst>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februar 2022. godine iznosili su 232,0 mil. € ili 4,4%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15,7 mil. € ili 7,3%. U odnosu na prethodnu godinu prihodi su veći za 37,7 mil. € ili 19,4%.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februar 2022. godine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286,4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5,4% BDP-a i manji su za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0,9 mil. € ili 0,3% u odnosu na prethodnu godinu. U odnosu na planirane, izdaci su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za 51,1 mil. € ili 15,1%. U periodu januar - februar 2022. godini </a:t>
          </a:r>
          <a:r>
            <a:rPr lang="sr-Latn-M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54,5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1,0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BDP-a, što je za 66,8 mil. € ili 55,1% niže od planiranog, odnosno 38,6 mil. € ili 41,5% niže od zabilježenog u istom periodu 2021.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2022-02</v>
      </c>
      <c r="O6" s="143" t="str">
        <f>+CONCATENATE(N6,"p")</f>
        <v>2022-02p</v>
      </c>
      <c r="P6" s="130"/>
      <c r="Q6" s="130"/>
      <c r="R6" s="143" t="str">
        <f>+IF(Master!B3-10&gt;=0,CONCATENATE(Master!B4-1,"-",Master!B3),CONCATENATE(Master!B4-1,"-0",Master!B3))</f>
        <v>2021-02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Feb 2021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Februar 2021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Ostali državni porezi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Doprinosi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Doprinosi za penzijsko i invalidsko osiguranje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Doprinosi za zdravstveno osiguranje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Doprinosi za osiguranje od nezaposlenosti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Ostali doprinosi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Takse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Naknade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Ostali prihodi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Primici od otplate kredita i sredstva prenesena iz prethodne godine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Izdaci budžeta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Tekući izdaci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Tekuća budžetska potrošnja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Bruto zarade i doprinosi na teret poslodavca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Ostala lična primanja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Rashodi za materijal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Rashodi za usluge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Rashodi za tekuće održavanje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Kamate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Renta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Subvencije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Ostali izdaci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Transferi za socijalnu zaštitu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Prava iz oblasti socijalne zaštite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Sredstva za tehnološke viškove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Prava iz oblasti penzijskog i invalidskog osiguranja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Ostala prava iz oblasti zdravstvene zaštite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Ostala prava iz zdravstvenog osiguranja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Transferi institucijama, pojedincima, nevladinom i javnom sektoru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Kapitalni izdaci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Pozajmice i krediti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Rezerve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Otplata garancija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Otplata obaveza iz prethodnog perioda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Neto povećanje obaveza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Otplata dugova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Otplata hartija od vrijednosti i kredita rezidentima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Otplata hartija od vrijednosti i kredita nerezidentima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Nedostajuća sredstva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Finansiranje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Pozajmice i krediti od domaćih izvora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Pozajmice i krediti od inostranih izvora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Primici od prodaje imovine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245" activePane="bottomLeft" state="frozen"/>
      <selection pane="bottomLeft" activeCell="E253" sqref="E253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Februar</v>
      </c>
    </row>
    <row r="245" spans="4:7">
      <c r="D245" s="49"/>
      <c r="E245" s="9"/>
      <c r="F245" s="10"/>
      <c r="G245" s="52" t="str">
        <f>+CONCATENATE("Jan - ",LEFT(G244,3))</f>
        <v>Jan - Feb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Feb</v>
      </c>
      <c r="F253" s="10" t="str">
        <f>+CONCATENATE("Analytics for period ",G245)</f>
        <v>Analytics for period Jan - Feb</v>
      </c>
      <c r="G253" s="52" t="str">
        <f>+IF(ISBLANK(IF($B$2=1,E253,F253)),"",IF($B$2=1,E253,F253))</f>
        <v>Analitika za period Jan - Feb</v>
      </c>
    </row>
    <row r="254" spans="4:7">
      <c r="D254" s="46"/>
      <c r="E254" s="9" t="str">
        <f>+CONCATENATE("Analitika za period ",G244)</f>
        <v>Analitika za period Februar</v>
      </c>
      <c r="F254" s="10" t="str">
        <f>+CONCATENATE("Analytics for period ",G244)</f>
        <v>Analytics for period Februar</v>
      </c>
      <c r="G254" s="52" t="str">
        <f>+IF(ISBLANK(IF($B$2=1,E254,F254)),"",IF($B$2=1,E254,F254))</f>
        <v>Analitika za period Februar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Februar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Februar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Februar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Februar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Februar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Februar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zoomScaleNormal="10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Februar</v>
      </c>
      <c r="E11" s="135"/>
      <c r="F11" s="135"/>
      <c r="G11" s="137" t="str">
        <f>+Master!G273</f>
        <v>Prihodi za period Januar - Februar</v>
      </c>
      <c r="H11" s="135"/>
      <c r="I11" s="135"/>
      <c r="J11" s="135"/>
      <c r="K11" s="136"/>
    </row>
    <row r="12" spans="3:11">
      <c r="C12" s="134"/>
      <c r="D12" s="138">
        <f>+'Analitika 2022'!N10</f>
        <v>124160048.79000001</v>
      </c>
      <c r="E12" s="455">
        <f>+D12/'2022'!T7</f>
        <v>2.3398169906151064E-2</v>
      </c>
      <c r="F12" s="135"/>
      <c r="G12" s="138">
        <f>+'Analitika 2022'!G10</f>
        <v>231963965.22</v>
      </c>
      <c r="H12" s="455">
        <f>+G12/'2022'!T7</f>
        <v>4.3713999174581637E-2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Februar</v>
      </c>
      <c r="E15" s="135"/>
      <c r="F15" s="135"/>
      <c r="G15" s="137" t="str">
        <f>+Master!G274</f>
        <v>Rashodi za period Januar - Februar</v>
      </c>
      <c r="H15" s="135"/>
      <c r="I15" s="135"/>
      <c r="J15" s="135"/>
      <c r="K15" s="136"/>
    </row>
    <row r="16" spans="3:11">
      <c r="C16" s="134"/>
      <c r="D16" s="138">
        <f>+'Analitika 2022'!N29</f>
        <v>150830698.81999999</v>
      </c>
      <c r="E16" s="455">
        <f>+D16/'2022'!T7</f>
        <v>2.8424298737373736E-2</v>
      </c>
      <c r="F16" s="135"/>
      <c r="G16" s="138">
        <f>+'Analitika 2022'!G29</f>
        <v>286355744.23000002</v>
      </c>
      <c r="H16" s="455">
        <f>+G16/'2022'!T7</f>
        <v>5.3964221360998044E-2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810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Februar</v>
      </c>
      <c r="E19" s="135"/>
      <c r="F19" s="135"/>
      <c r="G19" s="137" t="str">
        <f>+Master!G275</f>
        <v>Suficit/Deficit za period Januar - Februar</v>
      </c>
      <c r="H19" s="135"/>
      <c r="I19" s="135"/>
      <c r="J19" s="135"/>
      <c r="K19" s="136"/>
    </row>
    <row r="20" spans="3:12">
      <c r="C20" s="134"/>
      <c r="D20" s="138">
        <f>+'Analitika 2022'!N53</f>
        <v>-26670650.029999986</v>
      </c>
      <c r="E20" s="455">
        <f>+D20/'2022'!T7</f>
        <v>-5.0261288312226718E-3</v>
      </c>
      <c r="F20" s="135"/>
      <c r="G20" s="138">
        <f>+'Analitika 2022'!G53</f>
        <v>-54391779.00999999</v>
      </c>
      <c r="H20" s="455">
        <f>+G20/'2022'!T7</f>
        <v>-1.0250222186416401E-2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810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kVOEwLe1wcUIRYKxq7O4XTqvCOXNKu15ktVIZgKzO3hdIw1yg8LT4rhg3/hiVEC27TXw6kCg2vYIvcNNdvQm/A==" saltValue="i/1Rkn3nIgYb4T0C8wgLi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abSelected="1" zoomScaleNormal="10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 i socijalnog staranja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P4" s="484"/>
      <c r="Q4" s="484"/>
    </row>
    <row r="5" spans="1:20" s="1" customFormat="1">
      <c r="B5" s="484"/>
      <c r="G5" s="355"/>
      <c r="H5" s="355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2022-02</v>
      </c>
      <c r="O6" s="143" t="str">
        <f>+CONCATENATE(N6,"p")</f>
        <v>2022-02p</v>
      </c>
      <c r="P6" s="130"/>
      <c r="Q6" s="130"/>
      <c r="R6" s="143" t="str">
        <f>+IF(Master!B3-10&gt;=0,CONCATENATE(Master!B4-1,"-",Master!B3),CONCATENATE(Master!B4-1,"-0",Master!B3))</f>
        <v>2021-02</v>
      </c>
      <c r="S6" s="130"/>
      <c r="T6" s="130"/>
    </row>
    <row r="7" spans="1:20" ht="14.25" customHeight="1">
      <c r="A7" s="144"/>
      <c r="B7" s="506" t="str">
        <f>+Master!G253</f>
        <v>Analitika za period Jan - Feb</v>
      </c>
      <c r="C7" s="507"/>
      <c r="D7" s="507"/>
      <c r="E7" s="507"/>
      <c r="F7" s="507"/>
      <c r="G7" s="515" t="str">
        <f>+Master!G245</f>
        <v>Jan - Feb</v>
      </c>
      <c r="H7" s="516"/>
      <c r="I7" s="516"/>
      <c r="J7" s="516"/>
      <c r="K7" s="516"/>
      <c r="L7" s="516"/>
      <c r="M7" s="517"/>
      <c r="N7" s="518" t="str">
        <f>+Master!G244</f>
        <v>Februar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7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Feb 2021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Februar 2021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Prihodi budžeta</v>
      </c>
      <c r="C10" s="527"/>
      <c r="D10" s="527"/>
      <c r="E10" s="527"/>
      <c r="F10" s="527"/>
      <c r="G10" s="151">
        <f>'2022'!S10</f>
        <v>231963965.22</v>
      </c>
      <c r="H10" s="151">
        <f>SUM('2022'!G84:H84)</f>
        <v>216273030.07672074</v>
      </c>
      <c r="I10" s="152">
        <f>+G10-H10</f>
        <v>15690935.143279254</v>
      </c>
      <c r="J10" s="154">
        <f>IF(+IF(ISERROR(G10/H10),"…",G10/H10-1)&gt;200%,"...",IF(ISERROR(G10/H10),"…",G10/H10-1))</f>
        <v>7.255151110479674E-2</v>
      </c>
      <c r="K10" s="151">
        <f>SUM('2021'!G10:H10)</f>
        <v>194247206.59</v>
      </c>
      <c r="L10" s="152">
        <f>+G10-K10</f>
        <v>37716758.629999995</v>
      </c>
      <c r="M10" s="154">
        <f>IF(+IF(ISERROR(G10/K10),"…",G10/K10-1)&gt;200%,"...",IF(ISERROR(G10/K10),"…",G10/K10-1))</f>
        <v>0.19416885983647236</v>
      </c>
      <c r="N10" s="151">
        <f>'2022'!H10</f>
        <v>124160048.79000001</v>
      </c>
      <c r="O10" s="151">
        <f>'2022'!H84</f>
        <v>112389437.34253797</v>
      </c>
      <c r="P10" s="152">
        <f>+N10-O10</f>
        <v>11770611.447462037</v>
      </c>
      <c r="Q10" s="154">
        <f>IF(+IF(ISERROR(N10/O10),"…",N10/O10-1)&gt;200%,"...",IF(ISERROR(N10/O10),"…",N10/O10-1))</f>
        <v>0.10473058434831239</v>
      </c>
      <c r="R10" s="151">
        <f>'2021'!H10</f>
        <v>105602053.27</v>
      </c>
      <c r="S10" s="152">
        <f>+N10-R10</f>
        <v>18557995.520000011</v>
      </c>
      <c r="T10" s="154">
        <f>IF(+IF(ISERROR(N10/R10),"…",N10/R10-1)&gt;200%,"...",IF(ISERROR(N10/R10),"…",N10/R10-1))</f>
        <v>0.1757351769719051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277">
        <f>'2022'!S11</f>
        <v>163775480.63</v>
      </c>
      <c r="H11" s="277">
        <f>SUM('2022'!G85:H85)</f>
        <v>145725508.30797005</v>
      </c>
      <c r="I11" s="158">
        <f t="shared" ref="I11:I57" si="0">+G11-H11</f>
        <v>18049972.322029948</v>
      </c>
      <c r="J11" s="160">
        <f t="shared" ref="J11:J64" si="1">IF(+IF(ISERROR(G11/H11-1),"…",G11/H11-1)&gt;200%,"...",IF(ISERROR(G11/H11-1),"…",G11/H11-1))</f>
        <v>0.1238628194309257</v>
      </c>
      <c r="K11" s="277">
        <f>SUM('2021'!G11:H11)</f>
        <v>128846486.86000001</v>
      </c>
      <c r="L11" s="158">
        <f>+G11-K11</f>
        <v>34928993.769999981</v>
      </c>
      <c r="M11" s="160">
        <f t="shared" ref="M11:M64" si="2">IF(+IF(ISERROR(G11/K11),"…",G11/K11-1)&gt;200%,"...",IF(ISERROR(G11/K11),"…",G11/K11-1))</f>
        <v>0.27108999726125682</v>
      </c>
      <c r="N11" s="277">
        <f>'2022'!H11</f>
        <v>83215985.099999994</v>
      </c>
      <c r="O11" s="277">
        <f>'2022'!H85</f>
        <v>68739316.006660998</v>
      </c>
      <c r="P11" s="158">
        <f>+N11-O11</f>
        <v>14476669.093338996</v>
      </c>
      <c r="Q11" s="160">
        <f t="shared" ref="Q11:Q64" si="3">IF(+IF(ISERROR(N11/O11),"…",N11/O11-1)&gt;200%,"...",IF(ISERROR(N11/O11),"…",N11/O11-1))</f>
        <v>0.21060246063455401</v>
      </c>
      <c r="R11" s="277">
        <f>'2021'!H11</f>
        <v>61433590.359999999</v>
      </c>
      <c r="S11" s="158">
        <f t="shared" ref="S11:S57" si="4">+N11-R11</f>
        <v>21782394.739999995</v>
      </c>
      <c r="T11" s="160">
        <f t="shared" ref="T11:T64" si="5">IF(+IF(ISERROR(N11/R11),"…",N11/R11-1)&gt;200%,"...",IF(ISERROR(N11/R11),"…",N11/R11-1))</f>
        <v>0.35456815420286292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'2022'!S12</f>
        <v>13812566.379999999</v>
      </c>
      <c r="H12" s="163">
        <f>SUM('2022'!G86:H86)</f>
        <v>14948455.394691501</v>
      </c>
      <c r="I12" s="164">
        <f t="shared" si="0"/>
        <v>-1135889.0146915019</v>
      </c>
      <c r="J12" s="166">
        <f t="shared" si="1"/>
        <v>-7.5987049143209751E-2</v>
      </c>
      <c r="K12" s="163">
        <f>SUM('2021'!G12:H12)</f>
        <v>12336956.059999999</v>
      </c>
      <c r="L12" s="164">
        <f>+G12-K12</f>
        <v>1475610.3200000003</v>
      </c>
      <c r="M12" s="166">
        <f t="shared" si="2"/>
        <v>0.11960894671452693</v>
      </c>
      <c r="N12" s="163">
        <f>'2022'!H12</f>
        <v>7672775.8099999996</v>
      </c>
      <c r="O12" s="163">
        <f>'2022'!H86</f>
        <v>8911478.3177045882</v>
      </c>
      <c r="P12" s="164">
        <f t="shared" ref="P12:P57" si="6">+N12-O12</f>
        <v>-1238702.5077045886</v>
      </c>
      <c r="Q12" s="166">
        <f t="shared" si="3"/>
        <v>-0.13900078792130788</v>
      </c>
      <c r="R12" s="163">
        <f>'2021'!H12</f>
        <v>8360437.5599999996</v>
      </c>
      <c r="S12" s="164">
        <f t="shared" si="4"/>
        <v>-687661.75</v>
      </c>
      <c r="T12" s="166">
        <f t="shared" si="5"/>
        <v>-8.2251885151331749E-2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'2022'!S13</f>
        <v>2569018.79</v>
      </c>
      <c r="H13" s="163">
        <f>SUM('2022'!G87:H87)</f>
        <v>2724391.6589606176</v>
      </c>
      <c r="I13" s="164">
        <f t="shared" si="0"/>
        <v>-155372.86896061758</v>
      </c>
      <c r="J13" s="166">
        <f t="shared" si="1"/>
        <v>-5.7030298286808723E-2</v>
      </c>
      <c r="K13" s="163">
        <f>SUM('2021'!G13:H13)</f>
        <v>2396151.0099999998</v>
      </c>
      <c r="L13" s="164">
        <f t="shared" ref="L13:L57" si="7">+G13-K13</f>
        <v>172867.78000000026</v>
      </c>
      <c r="M13" s="166">
        <f t="shared" si="2"/>
        <v>7.2143942213391821E-2</v>
      </c>
      <c r="N13" s="163">
        <f>'2022'!H13</f>
        <v>2173083.29</v>
      </c>
      <c r="O13" s="163">
        <f>'2022'!H87</f>
        <v>2338219.2077789549</v>
      </c>
      <c r="P13" s="164">
        <f t="shared" si="6"/>
        <v>-165135.91777895484</v>
      </c>
      <c r="Q13" s="166">
        <f t="shared" si="3"/>
        <v>-7.0624651969998786E-2</v>
      </c>
      <c r="R13" s="163">
        <f>'2021'!H13</f>
        <v>1616177.79</v>
      </c>
      <c r="S13" s="164">
        <f t="shared" si="4"/>
        <v>556905.5</v>
      </c>
      <c r="T13" s="166">
        <f t="shared" si="5"/>
        <v>0.34458182970080298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'2022'!S14</f>
        <v>314533.99</v>
      </c>
      <c r="H14" s="163">
        <f>SUM('2022'!G88:H88)</f>
        <v>277562.07143038308</v>
      </c>
      <c r="I14" s="164">
        <f t="shared" si="0"/>
        <v>36971.918569616915</v>
      </c>
      <c r="J14" s="166">
        <f t="shared" si="1"/>
        <v>0.13320234417867871</v>
      </c>
      <c r="K14" s="163">
        <f>SUM('2021'!G14:H14)</f>
        <v>202658.2</v>
      </c>
      <c r="L14" s="164">
        <f t="shared" si="7"/>
        <v>111875.78999999998</v>
      </c>
      <c r="M14" s="166">
        <f t="shared" si="2"/>
        <v>0.55204176292891161</v>
      </c>
      <c r="N14" s="163">
        <f>'2022'!H14</f>
        <v>168193.65</v>
      </c>
      <c r="O14" s="163">
        <f>'2022'!H88</f>
        <v>139962.95471971622</v>
      </c>
      <c r="P14" s="164">
        <f t="shared" si="6"/>
        <v>28230.695280283777</v>
      </c>
      <c r="Q14" s="166">
        <f t="shared" si="3"/>
        <v>0.20170119541143827</v>
      </c>
      <c r="R14" s="163">
        <f>'2021'!H14</f>
        <v>87272.18</v>
      </c>
      <c r="S14" s="164">
        <f t="shared" si="4"/>
        <v>80921.47</v>
      </c>
      <c r="T14" s="166">
        <f t="shared" si="5"/>
        <v>0.9272309915943433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'2022'!S15</f>
        <v>104391454.31999999</v>
      </c>
      <c r="H15" s="163">
        <f>SUM('2022'!G89:H89)</f>
        <v>89000280.498519689</v>
      </c>
      <c r="I15" s="164">
        <f t="shared" si="0"/>
        <v>15391173.821480304</v>
      </c>
      <c r="J15" s="166">
        <f t="shared" si="1"/>
        <v>0.17293399228934225</v>
      </c>
      <c r="K15" s="163">
        <f>SUM('2021'!G15:H15)</f>
        <v>80027746.879999995</v>
      </c>
      <c r="L15" s="164">
        <f t="shared" si="7"/>
        <v>24363707.439999998</v>
      </c>
      <c r="M15" s="166">
        <f t="shared" si="2"/>
        <v>0.30444075198734377</v>
      </c>
      <c r="N15" s="163">
        <f>'2022'!H15</f>
        <v>54121445.460000001</v>
      </c>
      <c r="O15" s="163">
        <f>'2022'!H89</f>
        <v>40002470.340359561</v>
      </c>
      <c r="P15" s="164">
        <f t="shared" si="6"/>
        <v>14118975.11964044</v>
      </c>
      <c r="Q15" s="166">
        <f t="shared" si="3"/>
        <v>0.35295258016591613</v>
      </c>
      <c r="R15" s="163">
        <f>'2021'!H15</f>
        <v>35917952.619999997</v>
      </c>
      <c r="S15" s="164">
        <f t="shared" si="4"/>
        <v>18203492.840000004</v>
      </c>
      <c r="T15" s="166">
        <f t="shared" si="5"/>
        <v>0.50680764108653142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'2022'!S16</f>
        <v>37159405.539999999</v>
      </c>
      <c r="H16" s="163">
        <f>SUM('2022'!G90:H90)</f>
        <v>33911082.729333594</v>
      </c>
      <c r="I16" s="164">
        <f t="shared" si="0"/>
        <v>3248322.8106664047</v>
      </c>
      <c r="J16" s="166">
        <f t="shared" si="1"/>
        <v>9.5789416002826533E-2</v>
      </c>
      <c r="K16" s="163">
        <f>SUM('2021'!G16:H16)</f>
        <v>29522355.509999998</v>
      </c>
      <c r="L16" s="164">
        <f t="shared" si="7"/>
        <v>7637050.0300000012</v>
      </c>
      <c r="M16" s="166">
        <f t="shared" si="2"/>
        <v>0.25868701524894022</v>
      </c>
      <c r="N16" s="163">
        <f>'2022'!H16</f>
        <v>16062530.34</v>
      </c>
      <c r="O16" s="163">
        <f>'2022'!H90</f>
        <v>14888833.871354572</v>
      </c>
      <c r="P16" s="164">
        <f t="shared" si="6"/>
        <v>1173696.4686454274</v>
      </c>
      <c r="Q16" s="166">
        <f t="shared" si="3"/>
        <v>7.8830651130009866E-2</v>
      </c>
      <c r="R16" s="163">
        <f>'2021'!H16</f>
        <v>13163287.779999999</v>
      </c>
      <c r="S16" s="164">
        <f t="shared" si="4"/>
        <v>2899242.5600000005</v>
      </c>
      <c r="T16" s="166">
        <f t="shared" si="5"/>
        <v>0.22025215952545252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'2022'!S17</f>
        <v>3838514.43</v>
      </c>
      <c r="H17" s="163">
        <f>SUM('2022'!G91:H91)</f>
        <v>3285090.6081058402</v>
      </c>
      <c r="I17" s="164">
        <f t="shared" si="0"/>
        <v>553423.82189416001</v>
      </c>
      <c r="J17" s="166">
        <f t="shared" si="1"/>
        <v>0.16846531432911083</v>
      </c>
      <c r="K17" s="163">
        <f>SUM('2021'!G17:H17)</f>
        <v>2809692.8600000003</v>
      </c>
      <c r="L17" s="164">
        <f t="shared" si="7"/>
        <v>1028821.5699999998</v>
      </c>
      <c r="M17" s="166">
        <f t="shared" si="2"/>
        <v>0.36616869574847399</v>
      </c>
      <c r="N17" s="163">
        <f>'2022'!H17</f>
        <v>2149003.6</v>
      </c>
      <c r="O17" s="163">
        <f>'2022'!H91</f>
        <v>1703130.706570718</v>
      </c>
      <c r="P17" s="164">
        <f t="shared" si="6"/>
        <v>445872.89342928212</v>
      </c>
      <c r="Q17" s="166">
        <f t="shared" si="3"/>
        <v>0.26179605106589543</v>
      </c>
      <c r="R17" s="163">
        <f>'2021'!H17</f>
        <v>1543418.52</v>
      </c>
      <c r="S17" s="164">
        <f t="shared" si="4"/>
        <v>605585.08000000007</v>
      </c>
      <c r="T17" s="166">
        <f t="shared" si="5"/>
        <v>0.39236608356883007</v>
      </c>
    </row>
    <row r="18" spans="1:20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'2022'!S18</f>
        <v>1689987.18</v>
      </c>
      <c r="H18" s="163">
        <f>SUM('2022'!G92:H92)</f>
        <v>1578645.346928433</v>
      </c>
      <c r="I18" s="164">
        <f t="shared" si="0"/>
        <v>111341.83307156689</v>
      </c>
      <c r="J18" s="166">
        <f t="shared" si="1"/>
        <v>7.052998527389609E-2</v>
      </c>
      <c r="K18" s="163">
        <f>SUM('2021'!G18:H18)</f>
        <v>1550926.34</v>
      </c>
      <c r="L18" s="164">
        <f t="shared" si="7"/>
        <v>139060.83999999985</v>
      </c>
      <c r="M18" s="166">
        <f t="shared" si="2"/>
        <v>8.9663084837413809E-2</v>
      </c>
      <c r="N18" s="163">
        <f>'2022'!H18</f>
        <v>868952.95</v>
      </c>
      <c r="O18" s="163">
        <f>'2022'!H92</f>
        <v>755220.60817287723</v>
      </c>
      <c r="P18" s="164">
        <f t="shared" si="6"/>
        <v>113732.34182712273</v>
      </c>
      <c r="Q18" s="166">
        <f t="shared" si="3"/>
        <v>0.15059486009297074</v>
      </c>
      <c r="R18" s="163">
        <f>'2021'!H18</f>
        <v>745043.91</v>
      </c>
      <c r="S18" s="164">
        <f t="shared" si="4"/>
        <v>123909.03999999992</v>
      </c>
      <c r="T18" s="166">
        <f t="shared" si="5"/>
        <v>0.16631105675368851</v>
      </c>
    </row>
    <row r="19" spans="1:20">
      <c r="A19" s="150">
        <v>712</v>
      </c>
      <c r="B19" s="538" t="str">
        <f>+VLOOKUP($A19,Master!$D$29:$G$225,4,FALSE)</f>
        <v>Doprinosi</v>
      </c>
      <c r="C19" s="539"/>
      <c r="D19" s="539"/>
      <c r="E19" s="539"/>
      <c r="F19" s="539"/>
      <c r="G19" s="169">
        <f>'2022'!S19</f>
        <v>46716096.149999999</v>
      </c>
      <c r="H19" s="169">
        <f>SUM('2022'!G93:H93)</f>
        <v>50316433.119868755</v>
      </c>
      <c r="I19" s="170">
        <f t="shared" si="0"/>
        <v>-3600336.9698687568</v>
      </c>
      <c r="J19" s="172">
        <f t="shared" si="1"/>
        <v>-7.1553898927844917E-2</v>
      </c>
      <c r="K19" s="169">
        <f>SUM('2021'!G19:H19)</f>
        <v>53049105.019999996</v>
      </c>
      <c r="L19" s="170">
        <f t="shared" si="7"/>
        <v>-6333008.8699999973</v>
      </c>
      <c r="M19" s="172">
        <f t="shared" si="2"/>
        <v>-0.11938012653771246</v>
      </c>
      <c r="N19" s="169">
        <f>'2022'!H19</f>
        <v>34984293.990000002</v>
      </c>
      <c r="O19" s="169">
        <f>'2022'!H93</f>
        <v>35577399.162559882</v>
      </c>
      <c r="P19" s="170">
        <f t="shared" si="6"/>
        <v>-593105.17255987972</v>
      </c>
      <c r="Q19" s="172">
        <f t="shared" si="3"/>
        <v>-1.66708412228187E-2</v>
      </c>
      <c r="R19" s="169">
        <f>'2021'!H19</f>
        <v>37116900.719999999</v>
      </c>
      <c r="S19" s="170">
        <f t="shared" si="4"/>
        <v>-2132606.7299999967</v>
      </c>
      <c r="T19" s="172">
        <f t="shared" si="5"/>
        <v>-5.7456487169761594E-2</v>
      </c>
    </row>
    <row r="20" spans="1:20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'2022'!S20</f>
        <v>31917057.960000001</v>
      </c>
      <c r="H20" s="163">
        <f>SUM('2022'!G94:H94)</f>
        <v>41189792.519015968</v>
      </c>
      <c r="I20" s="164">
        <f t="shared" si="0"/>
        <v>-9272734.559015967</v>
      </c>
      <c r="J20" s="166">
        <f t="shared" si="1"/>
        <v>-0.22512214779268558</v>
      </c>
      <c r="K20" s="163">
        <f>SUM('2021'!G20:H20)</f>
        <v>32945073.870000001</v>
      </c>
      <c r="L20" s="164">
        <f t="shared" si="7"/>
        <v>-1028015.9100000001</v>
      </c>
      <c r="M20" s="166">
        <f t="shared" si="2"/>
        <v>-3.1203933979826903E-2</v>
      </c>
      <c r="N20" s="163">
        <f>'2022'!H20</f>
        <v>24366605.109999999</v>
      </c>
      <c r="O20" s="163">
        <f>'2022'!H94</f>
        <v>31694621.356915068</v>
      </c>
      <c r="P20" s="164">
        <f t="shared" si="6"/>
        <v>-7328016.2469150685</v>
      </c>
      <c r="Q20" s="166">
        <f t="shared" si="3"/>
        <v>-0.23120693458974728</v>
      </c>
      <c r="R20" s="163">
        <f>'2021'!H20</f>
        <v>22994578.370000001</v>
      </c>
      <c r="S20" s="164">
        <f t="shared" si="4"/>
        <v>1372026.7399999984</v>
      </c>
      <c r="T20" s="166">
        <f t="shared" si="5"/>
        <v>5.9667401503217921E-2</v>
      </c>
    </row>
    <row r="21" spans="1:20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'2022'!S21</f>
        <v>12433903.09</v>
      </c>
      <c r="H21" s="163">
        <f>SUM('2022'!G95:H95)</f>
        <v>5604429.2328635976</v>
      </c>
      <c r="I21" s="164">
        <f t="shared" si="0"/>
        <v>6829473.8571364023</v>
      </c>
      <c r="J21" s="166">
        <f t="shared" si="1"/>
        <v>1.2185850821506161</v>
      </c>
      <c r="K21" s="163">
        <f>SUM('2021'!G21:H21)</f>
        <v>17267141.350000001</v>
      </c>
      <c r="L21" s="164">
        <f t="shared" si="7"/>
        <v>-4833238.2600000016</v>
      </c>
      <c r="M21" s="166">
        <f t="shared" si="2"/>
        <v>-0.27990957866340749</v>
      </c>
      <c r="N21" s="163">
        <f>'2022'!H21</f>
        <v>8815681.4700000007</v>
      </c>
      <c r="O21" s="163">
        <f>'2022'!H95</f>
        <v>1387272.7272727001</v>
      </c>
      <c r="P21" s="164">
        <f t="shared" si="6"/>
        <v>7428408.7427273002</v>
      </c>
      <c r="Q21" s="166" t="str">
        <f t="shared" si="3"/>
        <v>...</v>
      </c>
      <c r="R21" s="163">
        <f>'2021'!H21</f>
        <v>12116620.91</v>
      </c>
      <c r="S21" s="164">
        <f t="shared" si="4"/>
        <v>-3300939.4399999995</v>
      </c>
      <c r="T21" s="166">
        <f t="shared" si="5"/>
        <v>-0.27243069371557982</v>
      </c>
    </row>
    <row r="22" spans="1:20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'2022'!S22</f>
        <v>1441496.5899999999</v>
      </c>
      <c r="H22" s="163">
        <f>SUM('2022'!G96:H96)</f>
        <v>1947122.161457255</v>
      </c>
      <c r="I22" s="164">
        <f t="shared" si="0"/>
        <v>-505625.57145725517</v>
      </c>
      <c r="J22" s="166">
        <f t="shared" si="1"/>
        <v>-0.25967840203659209</v>
      </c>
      <c r="K22" s="163">
        <f>SUM('2021'!G22:H22)</f>
        <v>1572022</v>
      </c>
      <c r="L22" s="164">
        <f t="shared" si="7"/>
        <v>-130525.41000000015</v>
      </c>
      <c r="M22" s="166">
        <f t="shared" si="2"/>
        <v>-8.3030269296485715E-2</v>
      </c>
      <c r="N22" s="163">
        <f>'2022'!H22</f>
        <v>1107968.99</v>
      </c>
      <c r="O22" s="163">
        <f>'2022'!H96</f>
        <v>1343353.7326137528</v>
      </c>
      <c r="P22" s="164">
        <f t="shared" si="6"/>
        <v>-235384.74261375284</v>
      </c>
      <c r="Q22" s="166">
        <f t="shared" si="3"/>
        <v>-0.17522171331281944</v>
      </c>
      <c r="R22" s="163">
        <f>'2021'!H22</f>
        <v>1105749.08</v>
      </c>
      <c r="S22" s="164">
        <f t="shared" si="4"/>
        <v>2219.9099999999162</v>
      </c>
      <c r="T22" s="166">
        <f t="shared" si="5"/>
        <v>2.0076073678487738E-3</v>
      </c>
    </row>
    <row r="23" spans="1:20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'2022'!S23</f>
        <v>923638.51</v>
      </c>
      <c r="H23" s="163">
        <f>SUM('2022'!G97:H97)</f>
        <v>1575089.2065319321</v>
      </c>
      <c r="I23" s="164">
        <f t="shared" si="0"/>
        <v>-651450.6965319321</v>
      </c>
      <c r="J23" s="166">
        <f t="shared" si="1"/>
        <v>-0.41359606416598549</v>
      </c>
      <c r="K23" s="163">
        <f>SUM('2021'!G23:H23)</f>
        <v>1264867.8</v>
      </c>
      <c r="L23" s="164">
        <f t="shared" si="7"/>
        <v>-341229.29000000004</v>
      </c>
      <c r="M23" s="166">
        <f t="shared" si="2"/>
        <v>-0.26977466736049416</v>
      </c>
      <c r="N23" s="163">
        <f>'2022'!H23</f>
        <v>694038.42</v>
      </c>
      <c r="O23" s="163">
        <f>'2022'!H97</f>
        <v>1152151.3457583643</v>
      </c>
      <c r="P23" s="164">
        <f t="shared" si="6"/>
        <v>-458112.92575836426</v>
      </c>
      <c r="Q23" s="166">
        <f t="shared" si="3"/>
        <v>-0.39761523296822354</v>
      </c>
      <c r="R23" s="163">
        <f>'2021'!H23</f>
        <v>899952.36</v>
      </c>
      <c r="S23" s="164">
        <f t="shared" si="4"/>
        <v>-205913.93999999994</v>
      </c>
      <c r="T23" s="166">
        <f t="shared" si="5"/>
        <v>-0.22880537809801393</v>
      </c>
    </row>
    <row r="24" spans="1:20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'2022'!S24</f>
        <v>1380904.15</v>
      </c>
      <c r="H24" s="175">
        <f>SUM('2022'!G98:H98)</f>
        <v>1592789.9268830759</v>
      </c>
      <c r="I24" s="176">
        <f t="shared" si="0"/>
        <v>-211885.77688307595</v>
      </c>
      <c r="J24" s="178">
        <f t="shared" si="1"/>
        <v>-0.1330280743912754</v>
      </c>
      <c r="K24" s="175">
        <f>SUM('2021'!G24:H24)</f>
        <v>1289430.8900000001</v>
      </c>
      <c r="L24" s="176">
        <f t="shared" si="7"/>
        <v>91473.259999999776</v>
      </c>
      <c r="M24" s="178">
        <f t="shared" si="2"/>
        <v>7.0940800867582476E-2</v>
      </c>
      <c r="N24" s="175">
        <f>'2022'!H24</f>
        <v>773951.60000000009</v>
      </c>
      <c r="O24" s="175">
        <f>'2022'!H98</f>
        <v>875830.28943826968</v>
      </c>
      <c r="P24" s="176">
        <f t="shared" si="6"/>
        <v>-101878.68943826959</v>
      </c>
      <c r="Q24" s="178">
        <f t="shared" si="3"/>
        <v>-0.11632240933755722</v>
      </c>
      <c r="R24" s="175">
        <f>'2021'!H24</f>
        <v>704783.95</v>
      </c>
      <c r="S24" s="176">
        <f t="shared" si="4"/>
        <v>69167.65000000014</v>
      </c>
      <c r="T24" s="178">
        <f t="shared" si="5"/>
        <v>9.8140217296378784E-2</v>
      </c>
    </row>
    <row r="25" spans="1:20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'2022'!S25</f>
        <v>14897549.120000001</v>
      </c>
      <c r="H25" s="175">
        <f>SUM('2022'!G99:H99)</f>
        <v>12623335.860972293</v>
      </c>
      <c r="I25" s="176">
        <f t="shared" si="0"/>
        <v>2274213.2590277083</v>
      </c>
      <c r="J25" s="178">
        <f t="shared" si="1"/>
        <v>0.18015945104169484</v>
      </c>
      <c r="K25" s="175">
        <f>SUM('2021'!G25:H25)</f>
        <v>5258149.49</v>
      </c>
      <c r="L25" s="176">
        <f t="shared" si="7"/>
        <v>9639399.6300000008</v>
      </c>
      <c r="M25" s="178">
        <f t="shared" si="2"/>
        <v>1.8332304260904535</v>
      </c>
      <c r="N25" s="175">
        <f>'2022'!H25</f>
        <v>2358745.7999999998</v>
      </c>
      <c r="O25" s="175">
        <f>'2022'!H99</f>
        <v>2922897.1970708221</v>
      </c>
      <c r="P25" s="176">
        <f t="shared" si="6"/>
        <v>-564151.39707082231</v>
      </c>
      <c r="Q25" s="178">
        <f t="shared" si="3"/>
        <v>-0.19301102947999194</v>
      </c>
      <c r="R25" s="175">
        <f>'2021'!H25</f>
        <v>2375091.2999999998</v>
      </c>
      <c r="S25" s="176">
        <f t="shared" si="4"/>
        <v>-16345.5</v>
      </c>
      <c r="T25" s="178">
        <f t="shared" si="5"/>
        <v>-6.8820512289359259E-3</v>
      </c>
    </row>
    <row r="26" spans="1:20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'2022'!S26</f>
        <v>2846220.76</v>
      </c>
      <c r="H26" s="175">
        <f>SUM('2022'!G100:H100)</f>
        <v>3233054.2714069956</v>
      </c>
      <c r="I26" s="176">
        <f t="shared" si="0"/>
        <v>-386833.51140699582</v>
      </c>
      <c r="J26" s="178">
        <f t="shared" si="1"/>
        <v>-0.11964955702356628</v>
      </c>
      <c r="K26" s="175">
        <f>SUM('2021'!G26:H26)</f>
        <v>3317253.39</v>
      </c>
      <c r="L26" s="176">
        <f t="shared" si="7"/>
        <v>-471032.63000000035</v>
      </c>
      <c r="M26" s="178">
        <f t="shared" si="2"/>
        <v>-0.14199476935345001</v>
      </c>
      <c r="N26" s="175">
        <f>'2022'!H26</f>
        <v>1548574.44</v>
      </c>
      <c r="O26" s="175">
        <f>'2022'!H100</f>
        <v>1901272.8094459367</v>
      </c>
      <c r="P26" s="176">
        <f t="shared" si="6"/>
        <v>-352698.36944593675</v>
      </c>
      <c r="Q26" s="178">
        <f t="shared" si="3"/>
        <v>-0.18550645004423072</v>
      </c>
      <c r="R26" s="175">
        <f>'2021'!H26</f>
        <v>1791757.35</v>
      </c>
      <c r="S26" s="176">
        <f t="shared" si="4"/>
        <v>-243182.91000000015</v>
      </c>
      <c r="T26" s="178">
        <f t="shared" si="5"/>
        <v>-0.13572312679504295</v>
      </c>
    </row>
    <row r="27" spans="1:20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'2022'!S27</f>
        <v>281710.49</v>
      </c>
      <c r="H27" s="175">
        <f>SUM('2022'!G101:H101)</f>
        <v>537683.45672945725</v>
      </c>
      <c r="I27" s="176">
        <f t="shared" si="0"/>
        <v>-255972.96672945726</v>
      </c>
      <c r="J27" s="178">
        <f t="shared" si="1"/>
        <v>-0.47606628681948371</v>
      </c>
      <c r="K27" s="175">
        <f>SUM('2021'!G27:H27)</f>
        <v>931463.15</v>
      </c>
      <c r="L27" s="176">
        <f t="shared" si="7"/>
        <v>-649752.66</v>
      </c>
      <c r="M27" s="178">
        <f t="shared" si="2"/>
        <v>-0.69756131522755349</v>
      </c>
      <c r="N27" s="175">
        <f>'2022'!H27</f>
        <v>157200.54</v>
      </c>
      <c r="O27" s="175">
        <f>'2022'!H101</f>
        <v>454586.60399148142</v>
      </c>
      <c r="P27" s="176">
        <f t="shared" si="6"/>
        <v>-297386.06399148144</v>
      </c>
      <c r="Q27" s="178">
        <f t="shared" si="3"/>
        <v>-0.65419011774718772</v>
      </c>
      <c r="R27" s="175">
        <f>'2021'!H27</f>
        <v>820681.81</v>
      </c>
      <c r="S27" s="176">
        <f t="shared" si="4"/>
        <v>-663481.27</v>
      </c>
      <c r="T27" s="178">
        <f t="shared" si="5"/>
        <v>-0.80845129246863656</v>
      </c>
    </row>
    <row r="28" spans="1:20" ht="15.7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'2022'!S28</f>
        <v>2066003.92</v>
      </c>
      <c r="H28" s="175">
        <f>SUM('2022'!G102:H102)</f>
        <v>2244225.1328901025</v>
      </c>
      <c r="I28" s="176">
        <f t="shared" si="0"/>
        <v>-178221.21289010253</v>
      </c>
      <c r="J28" s="178">
        <f t="shared" si="1"/>
        <v>-7.9413250604047025E-2</v>
      </c>
      <c r="K28" s="175">
        <f>SUM('2021'!G28:H28)</f>
        <v>1555317.79</v>
      </c>
      <c r="L28" s="176">
        <f t="shared" si="7"/>
        <v>510686.12999999989</v>
      </c>
      <c r="M28" s="178">
        <f t="shared" si="2"/>
        <v>0.32834841424915484</v>
      </c>
      <c r="N28" s="175">
        <f>'2022'!H28</f>
        <v>1121297.32</v>
      </c>
      <c r="O28" s="175">
        <f>'2022'!H102</f>
        <v>1918135.2733705833</v>
      </c>
      <c r="P28" s="176">
        <f t="shared" si="6"/>
        <v>-796837.95337058324</v>
      </c>
      <c r="Q28" s="178">
        <f t="shared" si="3"/>
        <v>-0.41542323131901149</v>
      </c>
      <c r="R28" s="175">
        <f>'2021'!H28</f>
        <v>1359247.78</v>
      </c>
      <c r="S28" s="176">
        <f t="shared" si="4"/>
        <v>-237950.45999999996</v>
      </c>
      <c r="T28" s="178">
        <f t="shared" si="5"/>
        <v>-0.17506039995150846</v>
      </c>
    </row>
    <row r="29" spans="1:20" ht="15.7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'2022'!S29</f>
        <v>286355744.23000002</v>
      </c>
      <c r="H29" s="151">
        <f>SUM('2022'!G103:H103)</f>
        <v>337469095.53309524</v>
      </c>
      <c r="I29" s="152">
        <f t="shared" si="0"/>
        <v>-51113351.303095222</v>
      </c>
      <c r="J29" s="154">
        <f t="shared" si="1"/>
        <v>-0.15146083590958803</v>
      </c>
      <c r="K29" s="151">
        <f>SUM('2021'!G29:H29)</f>
        <v>287219991.83000004</v>
      </c>
      <c r="L29" s="152">
        <f t="shared" si="7"/>
        <v>-864247.60000002384</v>
      </c>
      <c r="M29" s="154">
        <f t="shared" si="2"/>
        <v>-3.0090092075191199E-3</v>
      </c>
      <c r="N29" s="151">
        <f>'2022'!H29</f>
        <v>150830698.81999999</v>
      </c>
      <c r="O29" s="151">
        <f>'2022'!H103</f>
        <v>159637648.93654764</v>
      </c>
      <c r="P29" s="152">
        <f t="shared" si="6"/>
        <v>-8806950.1165476441</v>
      </c>
      <c r="Q29" s="154">
        <f t="shared" si="3"/>
        <v>-5.5168377730545282E-2</v>
      </c>
      <c r="R29" s="151">
        <f>'2021'!H29</f>
        <v>159823163.58000001</v>
      </c>
      <c r="S29" s="152">
        <f t="shared" si="4"/>
        <v>-8992464.7600000203</v>
      </c>
      <c r="T29" s="154">
        <f t="shared" si="5"/>
        <v>-5.6265090482324309E-2</v>
      </c>
    </row>
    <row r="30" spans="1:20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313">
        <f>'2022'!S30</f>
        <v>112569248.42</v>
      </c>
      <c r="H30" s="313">
        <f>SUM('2022'!G104:H104)</f>
        <v>126706660.13333333</v>
      </c>
      <c r="I30" s="188">
        <f t="shared" si="0"/>
        <v>-14137411.713333324</v>
      </c>
      <c r="J30" s="190">
        <f t="shared" si="1"/>
        <v>-0.11157591636032815</v>
      </c>
      <c r="K30" s="313">
        <f>SUM('2021'!G30:H30)</f>
        <v>114162807.12</v>
      </c>
      <c r="L30" s="188">
        <f t="shared" si="7"/>
        <v>-1593558.700000003</v>
      </c>
      <c r="M30" s="190">
        <f t="shared" si="2"/>
        <v>-1.3958650283756313E-2</v>
      </c>
      <c r="N30" s="313">
        <f>'2022'!H30</f>
        <v>61670626.060000002</v>
      </c>
      <c r="O30" s="313">
        <f>'2022'!H104</f>
        <v>64156007.386666663</v>
      </c>
      <c r="P30" s="188">
        <f t="shared" si="6"/>
        <v>-2485381.3266666606</v>
      </c>
      <c r="Q30" s="190">
        <f t="shared" si="3"/>
        <v>-3.8739650858996444E-2</v>
      </c>
      <c r="R30" s="313">
        <f>'2021'!H30</f>
        <v>62952522.470000006</v>
      </c>
      <c r="S30" s="188">
        <f t="shared" si="4"/>
        <v>-1281896.4100000039</v>
      </c>
      <c r="T30" s="190">
        <f t="shared" si="5"/>
        <v>-2.0362907786751427E-2</v>
      </c>
    </row>
    <row r="31" spans="1:20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'2022'!S31</f>
        <v>88792317.689999998</v>
      </c>
      <c r="H31" s="163">
        <f>SUM('2022'!G105:H105)</f>
        <v>87615975.173333332</v>
      </c>
      <c r="I31" s="164">
        <f t="shared" si="0"/>
        <v>1176342.5166666657</v>
      </c>
      <c r="J31" s="166">
        <f t="shared" si="1"/>
        <v>1.3426119087751598E-2</v>
      </c>
      <c r="K31" s="163">
        <f>SUM('2021'!G31:H31)</f>
        <v>89911879.530000001</v>
      </c>
      <c r="L31" s="164">
        <f t="shared" si="7"/>
        <v>-1119561.8400000036</v>
      </c>
      <c r="M31" s="166">
        <f t="shared" si="2"/>
        <v>-1.2451767729162566E-2</v>
      </c>
      <c r="N31" s="163">
        <f>'2022'!H31</f>
        <v>44552192.68</v>
      </c>
      <c r="O31" s="163">
        <f>'2022'!H105</f>
        <v>45499255.106666669</v>
      </c>
      <c r="P31" s="164">
        <f>+N31-O31</f>
        <v>-947062.42666666955</v>
      </c>
      <c r="Q31" s="166">
        <f>IF(+IF(ISERROR(N31/O31),"…",N31/O31-1)&gt;200%,"...",IF(ISERROR(N31/O31),"…",N31/O31-1))</f>
        <v>-2.0814899594431058E-2</v>
      </c>
      <c r="R31" s="163">
        <f>'2021'!H31</f>
        <v>49306803.189999998</v>
      </c>
      <c r="S31" s="164">
        <f t="shared" si="4"/>
        <v>-4754610.5099999979</v>
      </c>
      <c r="T31" s="166">
        <f t="shared" si="5"/>
        <v>-9.6429097049315238E-2</v>
      </c>
    </row>
    <row r="32" spans="1:20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'2022'!S32</f>
        <v>1349397.1900000002</v>
      </c>
      <c r="H32" s="163">
        <f>SUM('2022'!G106:H106)</f>
        <v>2302305.63</v>
      </c>
      <c r="I32" s="164">
        <f t="shared" si="0"/>
        <v>-952908.43999999971</v>
      </c>
      <c r="J32" s="166">
        <f t="shared" si="1"/>
        <v>-0.41389311114180782</v>
      </c>
      <c r="K32" s="163">
        <f>SUM('2021'!G32:H32)</f>
        <v>998081.15999999992</v>
      </c>
      <c r="L32" s="164">
        <f t="shared" si="7"/>
        <v>351316.03000000026</v>
      </c>
      <c r="M32" s="166">
        <f t="shared" si="2"/>
        <v>0.35199144526483228</v>
      </c>
      <c r="N32" s="163">
        <f>'2022'!H32</f>
        <v>1212395.8600000001</v>
      </c>
      <c r="O32" s="163">
        <f>'2022'!H106</f>
        <v>1189148.69</v>
      </c>
      <c r="P32" s="164">
        <f t="shared" si="6"/>
        <v>23247.170000000158</v>
      </c>
      <c r="Q32" s="166">
        <f t="shared" si="3"/>
        <v>1.9549422368703162E-2</v>
      </c>
      <c r="R32" s="163">
        <f>'2021'!H32</f>
        <v>889477.21</v>
      </c>
      <c r="S32" s="164">
        <f t="shared" si="4"/>
        <v>322918.65000000014</v>
      </c>
      <c r="T32" s="166">
        <f t="shared" si="5"/>
        <v>0.36304319702581278</v>
      </c>
    </row>
    <row r="33" spans="1:20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'2022'!S33</f>
        <v>3629942.8499999996</v>
      </c>
      <c r="H33" s="163">
        <f>SUM('2022'!G107:H107)</f>
        <v>4884261.459999999</v>
      </c>
      <c r="I33" s="164">
        <f t="shared" si="0"/>
        <v>-1254318.6099999994</v>
      </c>
      <c r="J33" s="166">
        <f t="shared" si="1"/>
        <v>-0.25680824424988902</v>
      </c>
      <c r="K33" s="163">
        <f>SUM('2021'!G33:H33)</f>
        <v>2258387.2000000002</v>
      </c>
      <c r="L33" s="164">
        <f t="shared" si="7"/>
        <v>1371555.6499999994</v>
      </c>
      <c r="M33" s="166">
        <f t="shared" si="2"/>
        <v>0.60731642917565209</v>
      </c>
      <c r="N33" s="163">
        <f>'2022'!H33</f>
        <v>3489117.82</v>
      </c>
      <c r="O33" s="163">
        <f>'2022'!H107</f>
        <v>2874795.7299999991</v>
      </c>
      <c r="P33" s="164">
        <f t="shared" si="6"/>
        <v>614322.09000000078</v>
      </c>
      <c r="Q33" s="166">
        <f t="shared" si="3"/>
        <v>0.21369243163582996</v>
      </c>
      <c r="R33" s="163">
        <f>'2021'!H33</f>
        <v>1661548.94</v>
      </c>
      <c r="S33" s="164">
        <f t="shared" si="4"/>
        <v>1827568.88</v>
      </c>
      <c r="T33" s="166">
        <f t="shared" si="5"/>
        <v>1.0999187781974089</v>
      </c>
    </row>
    <row r="34" spans="1:20">
      <c r="A34" s="150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'2022'!S34</f>
        <v>3995540.5</v>
      </c>
      <c r="H34" s="163">
        <f>SUM('2022'!G108:H108)</f>
        <v>6724516.25</v>
      </c>
      <c r="I34" s="164">
        <f t="shared" si="0"/>
        <v>-2728975.75</v>
      </c>
      <c r="J34" s="166">
        <f t="shared" si="1"/>
        <v>-0.40582484279073605</v>
      </c>
      <c r="K34" s="163">
        <f>SUM('2021'!G34:H34)</f>
        <v>3668742.41</v>
      </c>
      <c r="L34" s="164">
        <f t="shared" si="7"/>
        <v>326798.08999999985</v>
      </c>
      <c r="M34" s="166">
        <f t="shared" si="2"/>
        <v>8.9076324658072581E-2</v>
      </c>
      <c r="N34" s="163">
        <f>'2022'!H34</f>
        <v>2907359.21</v>
      </c>
      <c r="O34" s="163">
        <f>'2022'!H108</f>
        <v>3202572.2000000016</v>
      </c>
      <c r="P34" s="164">
        <f t="shared" si="6"/>
        <v>-295212.99000000162</v>
      </c>
      <c r="Q34" s="166">
        <f t="shared" si="3"/>
        <v>-9.2179963967713663E-2</v>
      </c>
      <c r="R34" s="163">
        <f>'2021'!H34</f>
        <v>2618065.42</v>
      </c>
      <c r="S34" s="164">
        <f t="shared" si="4"/>
        <v>289293.79000000004</v>
      </c>
      <c r="T34" s="166">
        <f t="shared" si="5"/>
        <v>0.11049906843045965</v>
      </c>
    </row>
    <row r="35" spans="1:20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'2022'!S35</f>
        <v>1838112.05</v>
      </c>
      <c r="H35" s="163">
        <f>SUM('2022'!G109:H109)</f>
        <v>2943569.8400000008</v>
      </c>
      <c r="I35" s="164">
        <f t="shared" si="0"/>
        <v>-1105457.7900000007</v>
      </c>
      <c r="J35" s="166">
        <f t="shared" si="1"/>
        <v>-0.37555004640216061</v>
      </c>
      <c r="K35" s="163">
        <f>SUM('2021'!G35:H35)</f>
        <v>1103955.1299999999</v>
      </c>
      <c r="L35" s="164">
        <f t="shared" si="7"/>
        <v>734156.92000000016</v>
      </c>
      <c r="M35" s="166">
        <f t="shared" si="2"/>
        <v>0.66502423880216965</v>
      </c>
      <c r="N35" s="163">
        <f>'2022'!H35</f>
        <v>1786959.03</v>
      </c>
      <c r="O35" s="163">
        <f>'2022'!H109</f>
        <v>1461485.3000000003</v>
      </c>
      <c r="P35" s="164">
        <f t="shared" si="6"/>
        <v>325473.72999999975</v>
      </c>
      <c r="Q35" s="166">
        <f t="shared" si="3"/>
        <v>0.22270065254847227</v>
      </c>
      <c r="R35" s="163">
        <f>'2021'!H35</f>
        <v>914551.09</v>
      </c>
      <c r="S35" s="164">
        <f t="shared" si="4"/>
        <v>872407.94000000006</v>
      </c>
      <c r="T35" s="166">
        <f t="shared" si="5"/>
        <v>0.95391930482527787</v>
      </c>
    </row>
    <row r="36" spans="1:20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'2022'!S36</f>
        <v>5125106.4399999995</v>
      </c>
      <c r="H36" s="163">
        <f>SUM('2022'!G110:H110)</f>
        <v>5268301.0300000012</v>
      </c>
      <c r="I36" s="164">
        <f t="shared" si="0"/>
        <v>-143194.59000000171</v>
      </c>
      <c r="J36" s="166">
        <f t="shared" si="1"/>
        <v>-2.7180411518739955E-2</v>
      </c>
      <c r="K36" s="163">
        <f>SUM('2021'!G36:H36)</f>
        <v>9541675.4499999993</v>
      </c>
      <c r="L36" s="164">
        <f t="shared" si="7"/>
        <v>-4416569.01</v>
      </c>
      <c r="M36" s="166">
        <f t="shared" si="2"/>
        <v>-0.46287143522577057</v>
      </c>
      <c r="N36" s="163">
        <f>'2022'!H36</f>
        <v>1270344.19</v>
      </c>
      <c r="O36" s="163">
        <f>'2022'!H110</f>
        <v>1039259.3500000003</v>
      </c>
      <c r="P36" s="164">
        <f t="shared" si="6"/>
        <v>231084.83999999962</v>
      </c>
      <c r="Q36" s="166">
        <f t="shared" si="3"/>
        <v>0.22235531486918991</v>
      </c>
      <c r="R36" s="163">
        <f>'2021'!H36</f>
        <v>1964190.38</v>
      </c>
      <c r="S36" s="164">
        <f t="shared" si="4"/>
        <v>-693846.19</v>
      </c>
      <c r="T36" s="166">
        <f t="shared" si="5"/>
        <v>-0.35324793210727368</v>
      </c>
    </row>
    <row r="37" spans="1:20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'2022'!S37</f>
        <v>965398.53</v>
      </c>
      <c r="H37" s="163">
        <f>SUM('2022'!G111:H111)</f>
        <v>2077414.4499999997</v>
      </c>
      <c r="I37" s="164">
        <f t="shared" si="0"/>
        <v>-1112015.9199999997</v>
      </c>
      <c r="J37" s="166">
        <f t="shared" si="1"/>
        <v>-0.53528843028891027</v>
      </c>
      <c r="K37" s="163">
        <f>SUM('2021'!G37:H37)</f>
        <v>1005757.6799999999</v>
      </c>
      <c r="L37" s="164">
        <f t="shared" si="7"/>
        <v>-40359.149999999907</v>
      </c>
      <c r="M37" s="166">
        <f t="shared" si="2"/>
        <v>-4.0128105211187592E-2</v>
      </c>
      <c r="N37" s="163">
        <f>'2022'!H37</f>
        <v>743329.49</v>
      </c>
      <c r="O37" s="163">
        <f>'2022'!H111</f>
        <v>962655.17999999982</v>
      </c>
      <c r="P37" s="164">
        <f t="shared" si="6"/>
        <v>-219325.68999999983</v>
      </c>
      <c r="Q37" s="166">
        <f t="shared" si="3"/>
        <v>-0.22783411397630449</v>
      </c>
      <c r="R37" s="163">
        <f>'2021'!H37</f>
        <v>967161.85</v>
      </c>
      <c r="S37" s="164">
        <f t="shared" si="4"/>
        <v>-223832.36</v>
      </c>
      <c r="T37" s="166">
        <f t="shared" si="5"/>
        <v>-0.23143216412020384</v>
      </c>
    </row>
    <row r="38" spans="1:20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'2022'!S38</f>
        <v>3197349.54</v>
      </c>
      <c r="H38" s="163">
        <f>SUM('2022'!G112:H112)</f>
        <v>7564277.6600000001</v>
      </c>
      <c r="I38" s="164">
        <f t="shared" si="0"/>
        <v>-4366928.12</v>
      </c>
      <c r="J38" s="166">
        <f t="shared" si="1"/>
        <v>-0.57730933689708053</v>
      </c>
      <c r="K38" s="163">
        <f>SUM('2021'!G38:H38)</f>
        <v>2570474.2199999997</v>
      </c>
      <c r="L38" s="164">
        <f t="shared" si="7"/>
        <v>626875.3200000003</v>
      </c>
      <c r="M38" s="166">
        <f t="shared" si="2"/>
        <v>0.2438753577540258</v>
      </c>
      <c r="N38" s="163">
        <f>'2022'!H38</f>
        <v>2686343.5</v>
      </c>
      <c r="O38" s="163">
        <f>'2022'!H112</f>
        <v>3917138.83</v>
      </c>
      <c r="P38" s="164">
        <f t="shared" si="6"/>
        <v>-1230795.33</v>
      </c>
      <c r="Q38" s="166">
        <f t="shared" si="3"/>
        <v>-0.31420773769205423</v>
      </c>
      <c r="R38" s="163">
        <f>'2021'!H38</f>
        <v>2319834.88</v>
      </c>
      <c r="S38" s="164">
        <f t="shared" si="4"/>
        <v>366508.62000000011</v>
      </c>
      <c r="T38" s="166">
        <f t="shared" si="5"/>
        <v>0.15798909791372751</v>
      </c>
    </row>
    <row r="39" spans="1:20">
      <c r="A39" s="150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'2022'!S39</f>
        <v>3676083.63</v>
      </c>
      <c r="H39" s="163">
        <f>SUM('2022'!G113:H113)</f>
        <v>7326038.6399999987</v>
      </c>
      <c r="I39" s="164">
        <f t="shared" si="0"/>
        <v>-3649955.0099999988</v>
      </c>
      <c r="J39" s="166">
        <f t="shared" si="1"/>
        <v>-0.49821672930734084</v>
      </c>
      <c r="K39" s="163">
        <f>SUM('2021'!G39:H39)</f>
        <v>3103854.34</v>
      </c>
      <c r="L39" s="164">
        <f t="shared" si="7"/>
        <v>572229.29</v>
      </c>
      <c r="M39" s="166">
        <f t="shared" si="2"/>
        <v>0.18436087113546695</v>
      </c>
      <c r="N39" s="163">
        <f>'2022'!H39</f>
        <v>3022584.28</v>
      </c>
      <c r="O39" s="163">
        <f>'2022'!H113</f>
        <v>4009697</v>
      </c>
      <c r="P39" s="164">
        <f t="shared" si="6"/>
        <v>-987112.7200000002</v>
      </c>
      <c r="Q39" s="166">
        <f t="shared" si="3"/>
        <v>-0.24618137480213598</v>
      </c>
      <c r="R39" s="163">
        <f>'2021'!H39</f>
        <v>2310889.5099999998</v>
      </c>
      <c r="S39" s="164">
        <f t="shared" si="4"/>
        <v>711694.77</v>
      </c>
      <c r="T39" s="166">
        <f t="shared" si="5"/>
        <v>0.30797438255713061</v>
      </c>
    </row>
    <row r="40" spans="1:20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'2022'!S40</f>
        <v>92492524.599999994</v>
      </c>
      <c r="H40" s="193">
        <f>SUM('2022'!G114:H114)</f>
        <v>102499349.34976192</v>
      </c>
      <c r="I40" s="194">
        <f t="shared" si="0"/>
        <v>-10006824.749761924</v>
      </c>
      <c r="J40" s="196">
        <f t="shared" si="1"/>
        <v>-9.7628178259115628E-2</v>
      </c>
      <c r="K40" s="193">
        <f>SUM('2021'!G40:H40)</f>
        <v>89754925.939999998</v>
      </c>
      <c r="L40" s="194">
        <f t="shared" si="7"/>
        <v>2737598.6599999964</v>
      </c>
      <c r="M40" s="196">
        <f t="shared" si="2"/>
        <v>3.0500817992207496E-2</v>
      </c>
      <c r="N40" s="193">
        <f>'2022'!H40</f>
        <v>49030666.979999997</v>
      </c>
      <c r="O40" s="193">
        <f>'2022'!H114</f>
        <v>50843848.149880961</v>
      </c>
      <c r="P40" s="194">
        <f t="shared" si="6"/>
        <v>-1813181.1698809639</v>
      </c>
      <c r="Q40" s="196">
        <f t="shared" si="3"/>
        <v>-3.5661761173858109E-2</v>
      </c>
      <c r="R40" s="193">
        <f>'2021'!H40</f>
        <v>45968964.680000007</v>
      </c>
      <c r="S40" s="194">
        <f t="shared" si="4"/>
        <v>3061702.2999999896</v>
      </c>
      <c r="T40" s="196">
        <f t="shared" si="5"/>
        <v>6.6603681882182242E-2</v>
      </c>
    </row>
    <row r="41" spans="1:20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'2022'!S41</f>
        <v>16372442</v>
      </c>
      <c r="H41" s="163">
        <f>SUM('2022'!G115:H115)</f>
        <v>18398095.264761906</v>
      </c>
      <c r="I41" s="164">
        <f t="shared" si="0"/>
        <v>-2025653.2647619061</v>
      </c>
      <c r="J41" s="166">
        <f t="shared" si="1"/>
        <v>-0.11010124883099526</v>
      </c>
      <c r="K41" s="163">
        <f>SUM('2021'!G41:H41)</f>
        <v>13204389.16</v>
      </c>
      <c r="L41" s="164">
        <f t="shared" si="7"/>
        <v>3168052.84</v>
      </c>
      <c r="M41" s="166">
        <f t="shared" si="2"/>
        <v>0.23992422531721269</v>
      </c>
      <c r="N41" s="163">
        <f>'2022'!H41</f>
        <v>8172331.5999999996</v>
      </c>
      <c r="O41" s="163">
        <f>'2022'!H115</f>
        <v>9199047.6323809531</v>
      </c>
      <c r="P41" s="164">
        <f t="shared" si="6"/>
        <v>-1026716.0323809534</v>
      </c>
      <c r="Q41" s="166">
        <f t="shared" si="3"/>
        <v>-0.11161112252173577</v>
      </c>
      <c r="R41" s="163">
        <f>'2021'!H41</f>
        <v>6750144.4400000004</v>
      </c>
      <c r="S41" s="164">
        <f t="shared" si="4"/>
        <v>1422187.1599999992</v>
      </c>
      <c r="T41" s="166">
        <f t="shared" si="5"/>
        <v>0.21068988562265489</v>
      </c>
    </row>
    <row r="42" spans="1:20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'2022'!S42</f>
        <v>2498429.92</v>
      </c>
      <c r="H42" s="163">
        <f>SUM('2022'!G116:H116)</f>
        <v>5185653.0600000005</v>
      </c>
      <c r="I42" s="164">
        <f t="shared" si="0"/>
        <v>-2687223.1400000006</v>
      </c>
      <c r="J42" s="166">
        <f t="shared" si="1"/>
        <v>-0.51820341795098801</v>
      </c>
      <c r="K42" s="163">
        <f>SUM('2021'!G42:H42)</f>
        <v>1498010</v>
      </c>
      <c r="L42" s="164">
        <f t="shared" si="7"/>
        <v>1000419.9199999999</v>
      </c>
      <c r="M42" s="166">
        <f t="shared" si="2"/>
        <v>0.66783260458875437</v>
      </c>
      <c r="N42" s="163">
        <f>'2022'!H42</f>
        <v>2498429.92</v>
      </c>
      <c r="O42" s="163">
        <f>'2022'!H116</f>
        <v>2291666.67</v>
      </c>
      <c r="P42" s="164">
        <f t="shared" si="6"/>
        <v>206763.25</v>
      </c>
      <c r="Q42" s="166">
        <f t="shared" si="3"/>
        <v>9.0223963505128735E-2</v>
      </c>
      <c r="R42" s="163">
        <f>'2021'!H42</f>
        <v>1490578.4</v>
      </c>
      <c r="S42" s="164">
        <f t="shared" si="4"/>
        <v>1007851.52</v>
      </c>
      <c r="T42" s="166">
        <f t="shared" si="5"/>
        <v>0.67614794364389019</v>
      </c>
    </row>
    <row r="43" spans="1:20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'2022'!S43</f>
        <v>71503944.109999999</v>
      </c>
      <c r="H43" s="163">
        <f>SUM('2022'!G117:H117)</f>
        <v>76058267.695000008</v>
      </c>
      <c r="I43" s="164">
        <f t="shared" si="0"/>
        <v>-4554323.5850000083</v>
      </c>
      <c r="J43" s="166">
        <f t="shared" si="1"/>
        <v>-5.9879401977221303E-2</v>
      </c>
      <c r="K43" s="163">
        <f>SUM('2021'!G43:H43)</f>
        <v>72263344.370000005</v>
      </c>
      <c r="L43" s="164">
        <f t="shared" si="7"/>
        <v>-759400.26000000536</v>
      </c>
      <c r="M43" s="166">
        <f t="shared" si="2"/>
        <v>-1.0508789298648513E-2</v>
      </c>
      <c r="N43" s="163">
        <f>'2022'!H43</f>
        <v>36354430.689999998</v>
      </c>
      <c r="O43" s="163">
        <f>'2022'!H117</f>
        <v>38029133.847500004</v>
      </c>
      <c r="P43" s="164">
        <f t="shared" si="6"/>
        <v>-1674703.1575000063</v>
      </c>
      <c r="Q43" s="166">
        <f t="shared" si="3"/>
        <v>-4.4037373141752489E-2</v>
      </c>
      <c r="R43" s="163">
        <f>'2021'!H43</f>
        <v>36381736.170000002</v>
      </c>
      <c r="S43" s="164">
        <f t="shared" si="4"/>
        <v>-27305.480000004172</v>
      </c>
      <c r="T43" s="166">
        <f t="shared" si="5"/>
        <v>-7.5052712911816144E-4</v>
      </c>
    </row>
    <row r="44" spans="1:20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'2022'!S44</f>
        <v>1173334.71</v>
      </c>
      <c r="H44" s="163">
        <f>SUM('2022'!G118:H118)</f>
        <v>1795333.33</v>
      </c>
      <c r="I44" s="164">
        <f t="shared" si="0"/>
        <v>-621998.62000000011</v>
      </c>
      <c r="J44" s="166">
        <f t="shared" si="1"/>
        <v>-0.34645300101458043</v>
      </c>
      <c r="K44" s="163">
        <f>SUM('2021'!G44:H44)</f>
        <v>1976891.77</v>
      </c>
      <c r="L44" s="164">
        <f t="shared" si="7"/>
        <v>-803557.06</v>
      </c>
      <c r="M44" s="166">
        <f t="shared" si="2"/>
        <v>-0.40647498876481236</v>
      </c>
      <c r="N44" s="163">
        <f>'2022'!H44</f>
        <v>1069904.71</v>
      </c>
      <c r="O44" s="163">
        <f>'2022'!H118</f>
        <v>852000</v>
      </c>
      <c r="P44" s="164">
        <f t="shared" si="6"/>
        <v>217904.70999999996</v>
      </c>
      <c r="Q44" s="166">
        <f t="shared" si="3"/>
        <v>0.25575670187793431</v>
      </c>
      <c r="R44" s="163">
        <f>'2021'!H44</f>
        <v>1147931.58</v>
      </c>
      <c r="S44" s="164">
        <f t="shared" si="4"/>
        <v>-78026.870000000112</v>
      </c>
      <c r="T44" s="166">
        <f t="shared" si="5"/>
        <v>-6.7971707860846609E-2</v>
      </c>
    </row>
    <row r="45" spans="1:20">
      <c r="A45" s="150">
        <v>425</v>
      </c>
      <c r="B45" s="536" t="str">
        <f>+VLOOKUP($A45,Master!$D$29:$G$225,4,FALSE)</f>
        <v>Ostala prava iz zdravstvenog osiguranja</v>
      </c>
      <c r="C45" s="537"/>
      <c r="D45" s="537"/>
      <c r="E45" s="537"/>
      <c r="F45" s="537"/>
      <c r="G45" s="163">
        <f>'2022'!S45</f>
        <v>944373.8600000001</v>
      </c>
      <c r="H45" s="163">
        <f>SUM('2022'!G119:H119)</f>
        <v>1062000</v>
      </c>
      <c r="I45" s="164">
        <f t="shared" si="0"/>
        <v>-117626.1399999999</v>
      </c>
      <c r="J45" s="166">
        <f t="shared" si="1"/>
        <v>-0.11075907721280598</v>
      </c>
      <c r="K45" s="163">
        <f>SUM('2021'!G45:H45)</f>
        <v>812290.64</v>
      </c>
      <c r="L45" s="164">
        <f t="shared" si="7"/>
        <v>132083.22000000009</v>
      </c>
      <c r="M45" s="166">
        <f t="shared" si="2"/>
        <v>0.16260586235488339</v>
      </c>
      <c r="N45" s="163">
        <f>'2022'!H45</f>
        <v>935570.06</v>
      </c>
      <c r="O45" s="163">
        <f>'2022'!H119</f>
        <v>472000</v>
      </c>
      <c r="P45" s="164">
        <f t="shared" si="6"/>
        <v>463570.06000000006</v>
      </c>
      <c r="Q45" s="166">
        <f t="shared" si="3"/>
        <v>0.98213995762711881</v>
      </c>
      <c r="R45" s="163">
        <f>'2021'!H45</f>
        <v>198574.09</v>
      </c>
      <c r="S45" s="164">
        <f t="shared" si="4"/>
        <v>736995.97000000009</v>
      </c>
      <c r="T45" s="166" t="str">
        <f t="shared" si="5"/>
        <v>...</v>
      </c>
    </row>
    <row r="46" spans="1:20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'2022'!S46</f>
        <v>31139698.040000003</v>
      </c>
      <c r="H46" s="175">
        <f>SUM('2022'!G120:H120)</f>
        <v>46386557.130000003</v>
      </c>
      <c r="I46" s="176">
        <f t="shared" si="0"/>
        <v>-15246859.09</v>
      </c>
      <c r="J46" s="178">
        <f t="shared" si="1"/>
        <v>-0.3286913285517209</v>
      </c>
      <c r="K46" s="175">
        <f>SUM('2021'!G46:H46)</f>
        <v>33421474.809999999</v>
      </c>
      <c r="L46" s="176">
        <f t="shared" si="7"/>
        <v>-2281776.7699999958</v>
      </c>
      <c r="M46" s="178">
        <f t="shared" si="2"/>
        <v>-6.8272773208597815E-2</v>
      </c>
      <c r="N46" s="175">
        <f>'2022'!H46</f>
        <v>23788257.170000002</v>
      </c>
      <c r="O46" s="175">
        <f>'2022'!H120</f>
        <v>23941685.57</v>
      </c>
      <c r="P46" s="176">
        <f t="shared" si="6"/>
        <v>-153428.39999999851</v>
      </c>
      <c r="Q46" s="178">
        <f t="shared" si="3"/>
        <v>-6.4084209756831712E-3</v>
      </c>
      <c r="R46" s="175">
        <f>'2021'!H46</f>
        <v>21028699.079999998</v>
      </c>
      <c r="S46" s="176">
        <f t="shared" si="4"/>
        <v>2759558.0900000036</v>
      </c>
      <c r="T46" s="178">
        <f t="shared" si="5"/>
        <v>0.13122818865312347</v>
      </c>
    </row>
    <row r="47" spans="1:20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'2022'!S47</f>
        <v>27667013.050000001</v>
      </c>
      <c r="H47" s="175">
        <f>SUM('2022'!G121:H121)</f>
        <v>35092858.420000002</v>
      </c>
      <c r="I47" s="176">
        <f t="shared" si="0"/>
        <v>-7425845.370000001</v>
      </c>
      <c r="J47" s="178">
        <f t="shared" si="1"/>
        <v>-0.2116056002371095</v>
      </c>
      <c r="K47" s="175">
        <f>SUM('2021'!G47:H47)</f>
        <v>18846045.75</v>
      </c>
      <c r="L47" s="176">
        <f t="shared" si="7"/>
        <v>8820967.3000000007</v>
      </c>
      <c r="M47" s="178">
        <f t="shared" si="2"/>
        <v>0.46805401074652497</v>
      </c>
      <c r="N47" s="175">
        <f>'2022'!H47</f>
        <v>11650538.710000001</v>
      </c>
      <c r="O47" s="175">
        <f>'2022'!H121</f>
        <v>15424249.750000004</v>
      </c>
      <c r="P47" s="176">
        <f t="shared" si="6"/>
        <v>-3773711.0400000028</v>
      </c>
      <c r="Q47" s="178">
        <f t="shared" si="3"/>
        <v>-0.24466091389631461</v>
      </c>
      <c r="R47" s="175">
        <f>'2021'!H47</f>
        <v>7242535.6200000001</v>
      </c>
      <c r="S47" s="176">
        <f t="shared" si="4"/>
        <v>4408003.0900000008</v>
      </c>
      <c r="T47" s="178">
        <f t="shared" si="5"/>
        <v>0.60862705014904717</v>
      </c>
    </row>
    <row r="48" spans="1:20">
      <c r="A48" s="150">
        <v>451</v>
      </c>
      <c r="B48" s="504" t="str">
        <f>+VLOOKUP($A48,Master!$D$29:$G$225,4,FALSE)</f>
        <v>Pozajmice i krediti</v>
      </c>
      <c r="C48" s="505"/>
      <c r="D48" s="505"/>
      <c r="E48" s="505"/>
      <c r="F48" s="505"/>
      <c r="G48" s="163">
        <f>'2022'!S48</f>
        <v>248510</v>
      </c>
      <c r="H48" s="163">
        <f>SUM('2022'!G122:H122)</f>
        <v>245666.81999999998</v>
      </c>
      <c r="I48" s="164">
        <f>G48-H48</f>
        <v>2843.1800000000221</v>
      </c>
      <c r="J48" s="282">
        <f t="shared" si="1"/>
        <v>1.1573317064144106E-2</v>
      </c>
      <c r="K48" s="163">
        <f>SUM('2021'!G48:H48)</f>
        <v>259894</v>
      </c>
      <c r="L48" s="279">
        <f t="shared" si="7"/>
        <v>-11384</v>
      </c>
      <c r="M48" s="282">
        <f t="shared" si="2"/>
        <v>-4.3802473316044255E-2</v>
      </c>
      <c r="N48" s="163">
        <f>'2022'!H48</f>
        <v>248510</v>
      </c>
      <c r="O48" s="163">
        <f>'2022'!H122</f>
        <v>243666.74</v>
      </c>
      <c r="P48" s="164">
        <f t="shared" si="6"/>
        <v>4843.2600000000093</v>
      </c>
      <c r="Q48" s="282">
        <f t="shared" si="3"/>
        <v>1.9876574045353923E-2</v>
      </c>
      <c r="R48" s="163">
        <f>'2021'!H48</f>
        <v>259894</v>
      </c>
      <c r="S48" s="279">
        <f>+N48-R48-S58</f>
        <v>-11384</v>
      </c>
      <c r="T48" s="282">
        <f t="shared" si="5"/>
        <v>-4.3802473316044255E-2</v>
      </c>
    </row>
    <row r="49" spans="1:23">
      <c r="A49" s="150">
        <v>47</v>
      </c>
      <c r="B49" s="504" t="str">
        <f>+VLOOKUP($A49,Master!$D$29:$G$225,4,FALSE)</f>
        <v>Rezerve</v>
      </c>
      <c r="C49" s="505"/>
      <c r="D49" s="505"/>
      <c r="E49" s="505"/>
      <c r="F49" s="505"/>
      <c r="G49" s="163">
        <f>'2022'!S49</f>
        <v>761510</v>
      </c>
      <c r="H49" s="163">
        <f>SUM('2022'!G123:H123)</f>
        <v>6744235.3600000003</v>
      </c>
      <c r="I49" s="164">
        <f t="shared" ref="I49:I50" si="8">G49-H49</f>
        <v>-5982725.3600000003</v>
      </c>
      <c r="J49" s="283">
        <f t="shared" si="1"/>
        <v>-0.88708727389371533</v>
      </c>
      <c r="K49" s="163">
        <f>SUM('2021'!G49:H49)</f>
        <v>24282119.879999999</v>
      </c>
      <c r="L49" s="280">
        <f t="shared" si="7"/>
        <v>-23520609.879999999</v>
      </c>
      <c r="M49" s="283">
        <f t="shared" si="2"/>
        <v>-0.96863906430891078</v>
      </c>
      <c r="N49" s="163">
        <f>'2022'!H49</f>
        <v>495710</v>
      </c>
      <c r="O49" s="163">
        <f>'2022'!H123</f>
        <v>3372117.68</v>
      </c>
      <c r="P49" s="164">
        <f t="shared" si="6"/>
        <v>-2876407.68</v>
      </c>
      <c r="Q49" s="283">
        <f t="shared" si="3"/>
        <v>-0.85299741971045329</v>
      </c>
      <c r="R49" s="163">
        <f>'2021'!H49</f>
        <v>20728264.5</v>
      </c>
      <c r="S49" s="280">
        <f t="shared" si="4"/>
        <v>-20232554.5</v>
      </c>
      <c r="T49" s="283">
        <f t="shared" si="5"/>
        <v>-0.97608531095307083</v>
      </c>
      <c r="W49" s="344"/>
    </row>
    <row r="50" spans="1:23" ht="15.7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f>'2022'!S50</f>
        <v>0</v>
      </c>
      <c r="H50" s="163">
        <f>SUM('2022'!G124:H124)</f>
        <v>0</v>
      </c>
      <c r="I50" s="164">
        <f t="shared" si="8"/>
        <v>0</v>
      </c>
      <c r="J50" s="284" t="str">
        <f t="shared" si="1"/>
        <v>...</v>
      </c>
      <c r="K50" s="163">
        <f>SUM('2021'!G50:H50)</f>
        <v>3831496.4</v>
      </c>
      <c r="L50" s="280">
        <f t="shared" si="7"/>
        <v>-3831496.4</v>
      </c>
      <c r="M50" s="284">
        <f t="shared" si="2"/>
        <v>-1</v>
      </c>
      <c r="N50" s="163">
        <f>'2022'!H50</f>
        <v>0</v>
      </c>
      <c r="O50" s="163">
        <f>'2022'!H124</f>
        <v>0</v>
      </c>
      <c r="P50" s="164">
        <f t="shared" si="6"/>
        <v>0</v>
      </c>
      <c r="Q50" s="284" t="str">
        <f t="shared" si="3"/>
        <v>...</v>
      </c>
      <c r="R50" s="163">
        <f>'2021'!H50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Otplata obaveza iz prethodnog perioda</v>
      </c>
      <c r="C51" s="523"/>
      <c r="D51" s="523"/>
      <c r="E51" s="523"/>
      <c r="F51" s="523"/>
      <c r="G51" s="314">
        <f>'2022'!S51</f>
        <v>21477240.119999997</v>
      </c>
      <c r="H51" s="314">
        <f>SUM('2022'!G125:H125)</f>
        <v>19793768.320000004</v>
      </c>
      <c r="I51" s="281">
        <f>G51-H51</f>
        <v>1683471.7999999933</v>
      </c>
      <c r="J51" s="285">
        <f t="shared" si="1"/>
        <v>8.50505963687056E-2</v>
      </c>
      <c r="K51" s="314">
        <f>SUM('2021'!G51:H51)</f>
        <v>2661227.9299999997</v>
      </c>
      <c r="L51" s="287">
        <f t="shared" si="7"/>
        <v>18816012.189999998</v>
      </c>
      <c r="M51" s="285" t="str">
        <f t="shared" si="2"/>
        <v>...</v>
      </c>
      <c r="N51" s="314">
        <f>'2022'!H51</f>
        <v>3946389.9</v>
      </c>
      <c r="O51" s="314">
        <f>'2022'!H125</f>
        <v>1656073.6600000036</v>
      </c>
      <c r="P51" s="281">
        <f>N51-O51</f>
        <v>2290316.2399999965</v>
      </c>
      <c r="Q51" s="285">
        <f t="shared" si="3"/>
        <v>1.3829796918574209</v>
      </c>
      <c r="R51" s="314">
        <f>'2021'!H51</f>
        <v>1642283.23</v>
      </c>
      <c r="S51" s="287">
        <f>+N51-R51</f>
        <v>2304106.67</v>
      </c>
      <c r="T51" s="285">
        <f t="shared" si="5"/>
        <v>1.4029898302012134</v>
      </c>
    </row>
    <row r="52" spans="1:23" ht="15.75" thickBot="1">
      <c r="A52" s="144">
        <v>1005</v>
      </c>
      <c r="B52" s="522" t="str">
        <f>+VLOOKUP($A52,Master!$D$29:$G$227,4,FALSE)</f>
        <v>Neto povećanje obaveza</v>
      </c>
      <c r="C52" s="523"/>
      <c r="D52" s="523"/>
      <c r="E52" s="523"/>
      <c r="F52" s="523"/>
      <c r="G52" s="163">
        <f>'2022'!S52</f>
        <v>0</v>
      </c>
      <c r="H52" s="163">
        <f>SUM('2022'!G126:H126)</f>
        <v>0</v>
      </c>
      <c r="I52" s="281">
        <f>G52-H52</f>
        <v>0</v>
      </c>
      <c r="J52" s="285" t="str">
        <f t="shared" si="1"/>
        <v>...</v>
      </c>
      <c r="K52" s="163">
        <f>SUM('2021'!G52:H52)</f>
        <v>0</v>
      </c>
      <c r="L52" s="287">
        <f t="shared" si="7"/>
        <v>0</v>
      </c>
      <c r="M52" s="285" t="str">
        <f t="shared" si="2"/>
        <v>...</v>
      </c>
      <c r="N52" s="163">
        <f>'2022'!H52</f>
        <v>0</v>
      </c>
      <c r="O52" s="163">
        <f>'2022'!H126</f>
        <v>0</v>
      </c>
      <c r="P52" s="281">
        <f>N52-O52</f>
        <v>0</v>
      </c>
      <c r="Q52" s="285" t="str">
        <f t="shared" si="3"/>
        <v>...</v>
      </c>
      <c r="R52" s="163">
        <f>'2021'!H52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'2022'!S53</f>
        <v>-54391779.00999999</v>
      </c>
      <c r="H53" s="151">
        <f>SUM('2022'!G127:H127)</f>
        <v>-121196065.45637453</v>
      </c>
      <c r="I53" s="320">
        <f>+G53-H53</f>
        <v>66804286.446374536</v>
      </c>
      <c r="J53" s="286">
        <f t="shared" si="1"/>
        <v>-0.55120837623578844</v>
      </c>
      <c r="K53" s="151">
        <f>SUM('2021'!G53:H53)</f>
        <v>-92972785.24000001</v>
      </c>
      <c r="L53" s="288">
        <f t="shared" si="7"/>
        <v>38581006.230000019</v>
      </c>
      <c r="M53" s="286">
        <f t="shared" si="2"/>
        <v>-0.41497096306630998</v>
      </c>
      <c r="N53" s="151">
        <f>'2022'!H53</f>
        <v>-26670650.029999986</v>
      </c>
      <c r="O53" s="151">
        <f>'2022'!H127</f>
        <v>-47248211.594009668</v>
      </c>
      <c r="P53" s="320">
        <f>N53-O53</f>
        <v>20577561.564009681</v>
      </c>
      <c r="Q53" s="286">
        <f t="shared" si="3"/>
        <v>-0.4355204328330301</v>
      </c>
      <c r="R53" s="151">
        <f>'2021'!H53</f>
        <v>-54221110.310000017</v>
      </c>
      <c r="S53" s="288">
        <f t="shared" si="4"/>
        <v>27550460.280000031</v>
      </c>
      <c r="T53" s="286">
        <f t="shared" si="5"/>
        <v>-0.50811317072787587</v>
      </c>
    </row>
    <row r="54" spans="1:23" ht="15.7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'2022'!S54</f>
        <v>-49266672.569999993</v>
      </c>
      <c r="H54" s="151">
        <f>SUM('2022'!G128:H128)</f>
        <v>-115927764.42637452</v>
      </c>
      <c r="I54" s="206">
        <f t="shared" si="0"/>
        <v>66661091.856374532</v>
      </c>
      <c r="J54" s="208">
        <f t="shared" si="1"/>
        <v>-0.57502266334749219</v>
      </c>
      <c r="K54" s="151">
        <f>SUM('2021'!G54:H54)</f>
        <v>-83431109.790000007</v>
      </c>
      <c r="L54" s="206">
        <f t="shared" si="7"/>
        <v>34164437.220000014</v>
      </c>
      <c r="M54" s="208">
        <f t="shared" si="2"/>
        <v>-0.40949278160141334</v>
      </c>
      <c r="N54" s="151">
        <f>'2022'!H54</f>
        <v>-25400305.839999985</v>
      </c>
      <c r="O54" s="151">
        <f>'2022'!H128</f>
        <v>-46208952.244009666</v>
      </c>
      <c r="P54" s="206">
        <f t="shared" si="6"/>
        <v>20808646.404009681</v>
      </c>
      <c r="Q54" s="208">
        <f t="shared" si="3"/>
        <v>-0.45031634333815107</v>
      </c>
      <c r="R54" s="151">
        <f>'2021'!H54</f>
        <v>-52256919.930000015</v>
      </c>
      <c r="S54" s="206">
        <f t="shared" si="4"/>
        <v>26856614.09000003</v>
      </c>
      <c r="T54" s="208">
        <f t="shared" si="5"/>
        <v>-0.51393411869615369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1">
        <f>'2022'!S55</f>
        <v>42640260.100000001</v>
      </c>
      <c r="H55" s="491">
        <f>SUM('2022'!G129:H129)</f>
        <v>32089902.16</v>
      </c>
      <c r="I55" s="492">
        <f t="shared" si="0"/>
        <v>10550357.940000001</v>
      </c>
      <c r="J55" s="493">
        <f t="shared" si="1"/>
        <v>0.32877501113577723</v>
      </c>
      <c r="K55" s="491">
        <f>SUM('2021'!G55:H55)</f>
        <v>47585790.170000002</v>
      </c>
      <c r="L55" s="492">
        <f t="shared" si="7"/>
        <v>-4945530.07</v>
      </c>
      <c r="M55" s="493">
        <f t="shared" si="2"/>
        <v>-0.10392871595348352</v>
      </c>
      <c r="N55" s="491">
        <f>'2022'!H55</f>
        <v>14209001.130000001</v>
      </c>
      <c r="O55" s="491">
        <f>'2022'!H129</f>
        <v>6751953.7100000009</v>
      </c>
      <c r="P55" s="492">
        <f t="shared" si="6"/>
        <v>7457047.4199999999</v>
      </c>
      <c r="Q55" s="493">
        <f t="shared" si="3"/>
        <v>1.1044281018923039</v>
      </c>
      <c r="R55" s="491">
        <f>'2021'!H55</f>
        <v>24255021.350000001</v>
      </c>
      <c r="S55" s="492">
        <f t="shared" si="4"/>
        <v>-10046020.220000001</v>
      </c>
      <c r="T55" s="493">
        <f t="shared" si="5"/>
        <v>-0.41418311181985412</v>
      </c>
    </row>
    <row r="56" spans="1:23">
      <c r="A56" s="144">
        <v>4611</v>
      </c>
      <c r="B56" s="504" t="str">
        <f>+VLOOKUP($A56,Master!$D$29:$G$225,4,FALSE)</f>
        <v>Otplata hartija od vrijednosti i kredita rezidentima</v>
      </c>
      <c r="C56" s="505"/>
      <c r="D56" s="505"/>
      <c r="E56" s="505"/>
      <c r="F56" s="505"/>
      <c r="G56" s="163">
        <f>'2022'!S56</f>
        <v>5478165.3000000007</v>
      </c>
      <c r="H56" s="163">
        <f>SUM('2022'!G130:H130)</f>
        <v>3694294.7600000002</v>
      </c>
      <c r="I56" s="212">
        <f t="shared" si="0"/>
        <v>1783870.5400000005</v>
      </c>
      <c r="J56" s="214">
        <f t="shared" si="1"/>
        <v>0.48287174031559954</v>
      </c>
      <c r="K56" s="163">
        <f>SUM('2021'!G56:H56)</f>
        <v>35434429.810000002</v>
      </c>
      <c r="L56" s="212">
        <f t="shared" si="7"/>
        <v>-29956264.510000002</v>
      </c>
      <c r="M56" s="214">
        <f t="shared" si="2"/>
        <v>-0.84539993081943143</v>
      </c>
      <c r="N56" s="163">
        <f>'2022'!H56</f>
        <v>3087670.22</v>
      </c>
      <c r="O56" s="163">
        <f>'2022'!H130</f>
        <v>3087670.22</v>
      </c>
      <c r="P56" s="212">
        <f t="shared" si="6"/>
        <v>0</v>
      </c>
      <c r="Q56" s="214">
        <f t="shared" si="3"/>
        <v>0</v>
      </c>
      <c r="R56" s="163">
        <f>'2021'!H56</f>
        <v>13534429.810000001</v>
      </c>
      <c r="S56" s="212">
        <f t="shared" si="4"/>
        <v>-10446759.59</v>
      </c>
      <c r="T56" s="214">
        <f t="shared" si="5"/>
        <v>-0.77186551163620831</v>
      </c>
    </row>
    <row r="57" spans="1:23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163">
        <f>'2022'!S57</f>
        <v>37162094.799999997</v>
      </c>
      <c r="H57" s="163">
        <f>SUM('2022'!G131:H131)</f>
        <v>28395607.399999999</v>
      </c>
      <c r="I57" s="212">
        <f t="shared" si="0"/>
        <v>8766487.3999999985</v>
      </c>
      <c r="J57" s="214">
        <f t="shared" si="1"/>
        <v>0.30872688428563078</v>
      </c>
      <c r="K57" s="163">
        <f>SUM('2021'!G57:H57)</f>
        <v>12151360.359999999</v>
      </c>
      <c r="L57" s="212">
        <f t="shared" si="7"/>
        <v>25010734.439999998</v>
      </c>
      <c r="M57" s="214" t="str">
        <f t="shared" si="2"/>
        <v>...</v>
      </c>
      <c r="N57" s="163">
        <f>'2022'!H57</f>
        <v>11121330.91</v>
      </c>
      <c r="O57" s="163">
        <f>'2022'!H131</f>
        <v>3664283.49</v>
      </c>
      <c r="P57" s="212">
        <f t="shared" si="6"/>
        <v>7457047.4199999999</v>
      </c>
      <c r="Q57" s="214" t="str">
        <f t="shared" si="3"/>
        <v>...</v>
      </c>
      <c r="R57" s="163">
        <f>'2021'!H57</f>
        <v>10720591.539999999</v>
      </c>
      <c r="S57" s="212">
        <f t="shared" si="4"/>
        <v>400739.37000000104</v>
      </c>
      <c r="T57" s="214">
        <f t="shared" si="5"/>
        <v>3.7380341234416692E-2</v>
      </c>
    </row>
    <row r="58" spans="1:23" ht="15.75" thickBot="1">
      <c r="A58" s="144">
        <v>4418</v>
      </c>
      <c r="B58" s="532" t="str">
        <f>+VLOOKUP($A58,Master!$D$29:$G$225,4,FALSE)</f>
        <v>Izdaci za kupovinu hartija od vrijednosti</v>
      </c>
      <c r="C58" s="533"/>
      <c r="D58" s="533"/>
      <c r="E58" s="533"/>
      <c r="F58" s="533"/>
      <c r="G58" s="335">
        <f>'2022'!S58</f>
        <v>0</v>
      </c>
      <c r="H58" s="335">
        <f>SUM('2022'!G132:H132)</f>
        <v>93073.34</v>
      </c>
      <c r="I58" s="336">
        <f t="shared" ref="I58:I64" si="9">+G58-H58</f>
        <v>-93073.34</v>
      </c>
      <c r="J58" s="337">
        <f t="shared" si="1"/>
        <v>-1</v>
      </c>
      <c r="K58" s="335">
        <f>SUM('2021'!G58:H58)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'2022'!H58</f>
        <v>0</v>
      </c>
      <c r="O58" s="335">
        <f>'2022'!H132</f>
        <v>46536.67</v>
      </c>
      <c r="P58" s="336">
        <f t="shared" ref="P58:P64" si="11">+N58-O58</f>
        <v>-46536.67</v>
      </c>
      <c r="Q58" s="337">
        <f t="shared" si="3"/>
        <v>-1</v>
      </c>
      <c r="R58" s="335">
        <f>'2021'!H58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319">
        <f>'2022'!S59</f>
        <v>-97032039.109999985</v>
      </c>
      <c r="H59" s="319">
        <f>SUM('2022'!G133:H133)</f>
        <v>-153379040.95637453</v>
      </c>
      <c r="I59" s="321">
        <f t="shared" si="9"/>
        <v>56347001.846374542</v>
      </c>
      <c r="J59" s="322">
        <f t="shared" si="1"/>
        <v>-0.3673709360485653</v>
      </c>
      <c r="K59" s="319">
        <f>SUM('2021'!G59:H59)</f>
        <v>-140558575.41000003</v>
      </c>
      <c r="L59" s="321">
        <f t="shared" si="10"/>
        <v>43526536.300000042</v>
      </c>
      <c r="M59" s="322">
        <f t="shared" si="2"/>
        <v>-0.30966830855418126</v>
      </c>
      <c r="N59" s="319">
        <f>'2022'!H59</f>
        <v>-40879651.159999989</v>
      </c>
      <c r="O59" s="319">
        <f>'2022'!H133</f>
        <v>-54046701.97400967</v>
      </c>
      <c r="P59" s="321">
        <f t="shared" si="11"/>
        <v>13167050.814009681</v>
      </c>
      <c r="Q59" s="322">
        <f t="shared" si="3"/>
        <v>-0.24362357614978136</v>
      </c>
      <c r="R59" s="319">
        <f>'2021'!H59</f>
        <v>-78476131.660000026</v>
      </c>
      <c r="S59" s="321">
        <f t="shared" si="12"/>
        <v>37596480.500000037</v>
      </c>
      <c r="T59" s="322">
        <f t="shared" si="5"/>
        <v>-0.47908172465594778</v>
      </c>
    </row>
    <row r="60" spans="1:23" ht="15.7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'2022'!S60</f>
        <v>97032039.109999985</v>
      </c>
      <c r="H60" s="151">
        <f>SUM('2022'!G134:H134)</f>
        <v>153379040.95637453</v>
      </c>
      <c r="I60" s="320">
        <f t="shared" si="9"/>
        <v>-56347001.846374542</v>
      </c>
      <c r="J60" s="323">
        <f t="shared" si="1"/>
        <v>-0.3673709360485653</v>
      </c>
      <c r="K60" s="151">
        <f>SUM('2021'!G60:H60)</f>
        <v>140558575.41000003</v>
      </c>
      <c r="L60" s="320">
        <f t="shared" si="10"/>
        <v>-43526536.300000042</v>
      </c>
      <c r="M60" s="323">
        <f t="shared" si="2"/>
        <v>-0.30966830855418126</v>
      </c>
      <c r="N60" s="151">
        <f>'2022'!H60</f>
        <v>40879651.159999989</v>
      </c>
      <c r="O60" s="151">
        <f>'2022'!H134</f>
        <v>54046701.974009678</v>
      </c>
      <c r="P60" s="320">
        <f t="shared" si="11"/>
        <v>-13167050.814009689</v>
      </c>
      <c r="Q60" s="323">
        <f t="shared" si="3"/>
        <v>-0.24362357614978147</v>
      </c>
      <c r="R60" s="151">
        <f>'2021'!H60</f>
        <v>78476131.660000026</v>
      </c>
      <c r="S60" s="320">
        <f t="shared" si="12"/>
        <v>-37596480.500000037</v>
      </c>
      <c r="T60" s="323">
        <f t="shared" si="5"/>
        <v>-0.47908172465594778</v>
      </c>
    </row>
    <row r="61" spans="1:23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483">
        <f>'2022'!S61</f>
        <v>0</v>
      </c>
      <c r="H61" s="483">
        <f>SUM('2022'!G135:H135)</f>
        <v>0</v>
      </c>
      <c r="I61" s="212">
        <f t="shared" si="9"/>
        <v>0</v>
      </c>
      <c r="J61" s="214" t="str">
        <f t="shared" si="1"/>
        <v>...</v>
      </c>
      <c r="K61" s="483">
        <f>SUM('2021'!G61:H61)</f>
        <v>0</v>
      </c>
      <c r="L61" s="212">
        <f t="shared" si="10"/>
        <v>0</v>
      </c>
      <c r="M61" s="214" t="str">
        <f t="shared" si="2"/>
        <v>...</v>
      </c>
      <c r="N61" s="163">
        <f>'2022'!H61</f>
        <v>0</v>
      </c>
      <c r="O61" s="163">
        <f>'2022'!H135</f>
        <v>0</v>
      </c>
      <c r="P61" s="212">
        <f t="shared" si="11"/>
        <v>0</v>
      </c>
      <c r="Q61" s="214" t="str">
        <f t="shared" si="3"/>
        <v>...</v>
      </c>
      <c r="R61" s="163">
        <f>'2021'!H61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163">
        <f>'2022'!S62</f>
        <v>17674755.449999999</v>
      </c>
      <c r="H62" s="163">
        <f>SUM('2022'!G136:H136)</f>
        <v>25937108.943999998</v>
      </c>
      <c r="I62" s="212">
        <f t="shared" si="9"/>
        <v>-8262353.493999999</v>
      </c>
      <c r="J62" s="214">
        <f t="shared" si="1"/>
        <v>-0.31855337122726313</v>
      </c>
      <c r="K62" s="163">
        <f>SUM('2021'!G62:H62)</f>
        <v>12245420.16</v>
      </c>
      <c r="L62" s="212">
        <f t="shared" si="10"/>
        <v>5429335.2899999991</v>
      </c>
      <c r="M62" s="214">
        <f t="shared" si="2"/>
        <v>0.44337680692534098</v>
      </c>
      <c r="N62" s="163">
        <f>'2022'!H62</f>
        <v>4884760.53</v>
      </c>
      <c r="O62" s="163">
        <f>'2022'!H136</f>
        <v>9994404.4719999991</v>
      </c>
      <c r="P62" s="212">
        <f t="shared" si="11"/>
        <v>-5109643.9419999989</v>
      </c>
      <c r="Q62" s="214">
        <f t="shared" si="3"/>
        <v>-0.51125046582965616</v>
      </c>
      <c r="R62" s="163">
        <f>'2021'!H62</f>
        <v>4169340.21</v>
      </c>
      <c r="S62" s="212">
        <f t="shared" si="12"/>
        <v>715420.3200000003</v>
      </c>
      <c r="T62" s="214">
        <f t="shared" si="5"/>
        <v>0.1715907755102577</v>
      </c>
    </row>
    <row r="63" spans="1:23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163">
        <f>'2022'!S63</f>
        <v>763698.80999999994</v>
      </c>
      <c r="H63" s="163">
        <f>SUM('2022'!G137:H137)</f>
        <v>1000000</v>
      </c>
      <c r="I63" s="212">
        <f t="shared" si="9"/>
        <v>-236301.19000000006</v>
      </c>
      <c r="J63" s="214">
        <f t="shared" si="1"/>
        <v>-0.23630119000000005</v>
      </c>
      <c r="K63" s="163">
        <f>SUM('2021'!G63:H63)</f>
        <v>64316.94</v>
      </c>
      <c r="L63" s="212">
        <f t="shared" si="10"/>
        <v>699381.86999999988</v>
      </c>
      <c r="M63" s="214" t="str">
        <f t="shared" si="2"/>
        <v>...</v>
      </c>
      <c r="N63" s="163">
        <f>'2022'!H63</f>
        <v>70539.22</v>
      </c>
      <c r="O63" s="163">
        <f>'2022'!H137</f>
        <v>500000</v>
      </c>
      <c r="P63" s="212">
        <f t="shared" si="11"/>
        <v>-429460.78</v>
      </c>
      <c r="Q63" s="214">
        <f t="shared" si="3"/>
        <v>-0.85892155999999997</v>
      </c>
      <c r="R63" s="163">
        <f>'2021'!H63</f>
        <v>29568.33</v>
      </c>
      <c r="S63" s="212">
        <f t="shared" si="12"/>
        <v>40970.89</v>
      </c>
      <c r="T63" s="214">
        <f t="shared" si="5"/>
        <v>1.3856342241851332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78593584.849999994</v>
      </c>
      <c r="H64" s="317">
        <f>SUM('2022'!G138:H138)</f>
        <v>126441932.01237454</v>
      </c>
      <c r="I64" s="226">
        <f t="shared" si="9"/>
        <v>-47848347.162374541</v>
      </c>
      <c r="J64" s="228">
        <f t="shared" si="1"/>
        <v>-0.37842151255401368</v>
      </c>
      <c r="K64" s="317">
        <f>SUM('2021'!G64:H64)</f>
        <v>128248838.31</v>
      </c>
      <c r="L64" s="226">
        <f t="shared" si="10"/>
        <v>-49655253.460000008</v>
      </c>
      <c r="M64" s="228">
        <f t="shared" si="2"/>
        <v>-0.38717897264671142</v>
      </c>
      <c r="N64" s="317">
        <f>'2022'!H64</f>
        <v>35924351.409999989</v>
      </c>
      <c r="O64" s="317">
        <f>'2022'!H138</f>
        <v>43552297.502009675</v>
      </c>
      <c r="P64" s="226">
        <f t="shared" si="11"/>
        <v>-7627946.0920096859</v>
      </c>
      <c r="Q64" s="228">
        <f t="shared" si="3"/>
        <v>-0.17514451658164998</v>
      </c>
      <c r="R64" s="317">
        <f>'2021'!H64</f>
        <v>74277223.12000002</v>
      </c>
      <c r="S64" s="226">
        <f t="shared" si="12"/>
        <v>-38352871.710000031</v>
      </c>
      <c r="T64" s="228">
        <f t="shared" si="5"/>
        <v>-0.51634767831907635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90VcCYihkEAnCDXcFgwTK6kKbD18nC9OBsQvqiAkUZ56uW1+rNFpv5bkQoL9AQYD1qT3CgeZ0W7Kj1m4eOqSXg==" saltValue="sAANYeGPkAeAghxRzJItaA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2022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5306400000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107803916.42999999</v>
      </c>
      <c r="H10" s="151">
        <f t="shared" ref="H10:R10" si="1">+H11+H19+SUM(H24:H28)</f>
        <v>124160048.79000001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231963965.22</v>
      </c>
      <c r="T10" s="462">
        <f>+S10/$T$7*100</f>
        <v>4.3713999174581639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163775480.63</v>
      </c>
      <c r="T11" s="463">
        <f t="shared" ref="T11:T64" si="3">+S11/$T$7*100</f>
        <v>3.0863764629503998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6139790.5700000003</v>
      </c>
      <c r="H12" s="163">
        <v>7672775.8099999996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13812566.379999999</v>
      </c>
      <c r="T12" s="464">
        <f t="shared" si="3"/>
        <v>0.26030013530830692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395935.5</v>
      </c>
      <c r="H13" s="163">
        <v>2173083.29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2569018.79</v>
      </c>
      <c r="T13" s="464">
        <f t="shared" si="3"/>
        <v>4.8413590946781243E-2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146340.34</v>
      </c>
      <c r="H14" s="163">
        <v>168193.65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314533.99</v>
      </c>
      <c r="T14" s="464">
        <f t="shared" si="3"/>
        <v>5.9274459143675564E-3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50270008.859999999</v>
      </c>
      <c r="H15" s="163">
        <v>54121445.460000001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104391454.31999999</v>
      </c>
      <c r="T15" s="464">
        <f t="shared" si="3"/>
        <v>1.9672745047489824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21096875.199999999</v>
      </c>
      <c r="H16" s="163">
        <v>16062530.34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37159405.539999999</v>
      </c>
      <c r="T16" s="464">
        <f t="shared" si="3"/>
        <v>0.7002752438564751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1689510.83</v>
      </c>
      <c r="H17" s="163">
        <v>2149003.6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3838514.43</v>
      </c>
      <c r="T17" s="464">
        <f t="shared" si="3"/>
        <v>7.2337449683401181E-2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821034.23</v>
      </c>
      <c r="H18" s="163">
        <v>868952.95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1689987.18</v>
      </c>
      <c r="T18" s="464">
        <f t="shared" si="3"/>
        <v>3.1848092492085034E-2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46716096.149999999</v>
      </c>
      <c r="T19" s="465">
        <f t="shared" si="3"/>
        <v>0.88037268487109899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7550452.8499999996</v>
      </c>
      <c r="H20" s="163">
        <v>24366605.109999999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31917057.960000001</v>
      </c>
      <c r="T20" s="464">
        <f t="shared" si="3"/>
        <v>0.60148232247851652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3618221.62</v>
      </c>
      <c r="H21" s="163">
        <v>8815681.4700000007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12433903.09</v>
      </c>
      <c r="T21" s="464">
        <f t="shared" si="3"/>
        <v>0.23431899385647517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333527.59999999998</v>
      </c>
      <c r="H22" s="163">
        <v>1107968.99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1441496.5899999999</v>
      </c>
      <c r="T22" s="464">
        <f t="shared" si="3"/>
        <v>2.7165245552540324E-2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229600.09</v>
      </c>
      <c r="H23" s="163">
        <v>694038.42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923638.51</v>
      </c>
      <c r="T23" s="464">
        <f t="shared" si="3"/>
        <v>1.7406122983567016E-2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606952.54999999993</v>
      </c>
      <c r="H24" s="175">
        <v>773951.60000000009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1380904.15</v>
      </c>
      <c r="T24" s="465">
        <f t="shared" si="3"/>
        <v>2.6023370835217847E-2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12538803.32</v>
      </c>
      <c r="H25" s="175">
        <v>2358745.7999999998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14897549.120000001</v>
      </c>
      <c r="T25" s="465">
        <f t="shared" si="3"/>
        <v>0.28074681742801144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1297646.32</v>
      </c>
      <c r="H26" s="175">
        <v>1548574.44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2846220.76</v>
      </c>
      <c r="T26" s="465">
        <f t="shared" si="3"/>
        <v>5.3637508668777326E-2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124509.95</v>
      </c>
      <c r="H27" s="175">
        <v>157200.54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281710.49</v>
      </c>
      <c r="T27" s="465">
        <f t="shared" si="3"/>
        <v>5.3088815392733305E-3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944706.6</v>
      </c>
      <c r="H28" s="175">
        <v>1121297.32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2066003.92</v>
      </c>
      <c r="T28" s="466">
        <f t="shared" si="3"/>
        <v>3.8934191165385192E-2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135525045.41</v>
      </c>
      <c r="H29" s="151">
        <f t="shared" ref="H29:R29" si="6">+H30+H40+H46+SUM(H47:H51)</f>
        <v>150830698.81999999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286355744.23000002</v>
      </c>
      <c r="T29" s="467">
        <f t="shared" si="3"/>
        <v>5.3964221360998046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50898622.359999999</v>
      </c>
      <c r="H30" s="187">
        <f t="shared" si="7"/>
        <v>61670626.060000002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112569248.42</v>
      </c>
      <c r="T30" s="463">
        <f t="shared" si="3"/>
        <v>2.1213864092416705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44240125.009999998</v>
      </c>
      <c r="H31" s="163">
        <v>44552192.68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88792317.689999998</v>
      </c>
      <c r="T31" s="464">
        <f t="shared" si="3"/>
        <v>1.6733061527589328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137001.32999999999</v>
      </c>
      <c r="H32" s="163">
        <v>1212395.8600000001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1349397.1900000002</v>
      </c>
      <c r="T32" s="464">
        <f t="shared" si="3"/>
        <v>2.5429616877732555E-2</v>
      </c>
      <c r="U32" s="457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140825.03</v>
      </c>
      <c r="H33" s="163">
        <v>3489117.82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3629942.8499999996</v>
      </c>
      <c r="T33" s="464">
        <f t="shared" si="3"/>
        <v>6.8406883197648108E-2</v>
      </c>
      <c r="U33" s="457"/>
    </row>
    <row r="34" spans="1:21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1088181.29</v>
      </c>
      <c r="H34" s="163">
        <v>2907359.21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3995540.5</v>
      </c>
      <c r="T34" s="464">
        <f t="shared" si="3"/>
        <v>7.5296632368460736E-2</v>
      </c>
      <c r="U34" s="457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51153.02</v>
      </c>
      <c r="H35" s="163">
        <v>1786959.03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1838112.05</v>
      </c>
      <c r="T35" s="464">
        <f t="shared" si="3"/>
        <v>3.4639530566862656E-2</v>
      </c>
      <c r="U35" s="457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3854762.25</v>
      </c>
      <c r="H36" s="163">
        <v>1270344.19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5125106.4399999995</v>
      </c>
      <c r="T36" s="464">
        <f t="shared" si="3"/>
        <v>9.6583492386552075E-2</v>
      </c>
      <c r="U36" s="457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222069.04</v>
      </c>
      <c r="H37" s="163">
        <v>743329.49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965398.53</v>
      </c>
      <c r="T37" s="464">
        <f t="shared" si="3"/>
        <v>1.8193097580280416E-2</v>
      </c>
      <c r="U37" s="457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511006.04</v>
      </c>
      <c r="H38" s="163">
        <v>2686343.5</v>
      </c>
      <c r="I38" s="163">
        <v>0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3197349.54</v>
      </c>
      <c r="T38" s="464">
        <f t="shared" si="3"/>
        <v>6.0254589552238801E-2</v>
      </c>
      <c r="U38" s="457"/>
    </row>
    <row r="39" spans="1:21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653499.35</v>
      </c>
      <c r="H39" s="163">
        <v>3022584.28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3676083.63</v>
      </c>
      <c r="T39" s="464">
        <f t="shared" si="3"/>
        <v>6.9276413952962468E-2</v>
      </c>
      <c r="U39" s="457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43461857.619999997</v>
      </c>
      <c r="H40" s="193">
        <f t="shared" ref="H40:R40" si="8">+SUM(H41:H45)</f>
        <v>49030666.979999997</v>
      </c>
      <c r="I40" s="193">
        <f t="shared" si="8"/>
        <v>0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92492524.599999994</v>
      </c>
      <c r="T40" s="490">
        <f t="shared" si="3"/>
        <v>1.7430371739785917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8200110.4000000004</v>
      </c>
      <c r="H41" s="163">
        <v>8172331.5999999996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16372442</v>
      </c>
      <c r="T41" s="464">
        <f t="shared" si="3"/>
        <v>0.3085414216794814</v>
      </c>
      <c r="U41" s="457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0</v>
      </c>
      <c r="H42" s="163">
        <v>2498429.92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2498429.92</v>
      </c>
      <c r="T42" s="464">
        <f t="shared" si="3"/>
        <v>4.7083331825719887E-2</v>
      </c>
      <c r="U42" s="457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35149513.420000002</v>
      </c>
      <c r="H43" s="163">
        <v>36354430.689999998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71503944.109999999</v>
      </c>
      <c r="T43" s="464">
        <f t="shared" si="3"/>
        <v>1.3475038464872608</v>
      </c>
      <c r="U43" s="457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103430</v>
      </c>
      <c r="H44" s="163">
        <v>1069904.71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1173334.71</v>
      </c>
      <c r="T44" s="464">
        <f t="shared" si="3"/>
        <v>2.2111689846223428E-2</v>
      </c>
      <c r="U44" s="457"/>
    </row>
    <row r="45" spans="1:21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8803.7999999999993</v>
      </c>
      <c r="H45" s="163">
        <v>935570.06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944373.8600000001</v>
      </c>
      <c r="T45" s="464">
        <f t="shared" si="3"/>
        <v>1.779688413990653E-2</v>
      </c>
      <c r="U45" s="457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7351440.8700000001</v>
      </c>
      <c r="H46" s="175">
        <v>23788257.170000002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31139698.040000003</v>
      </c>
      <c r="T46" s="465">
        <f t="shared" si="3"/>
        <v>0.58683284411276948</v>
      </c>
      <c r="U46" s="481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16016474.34</v>
      </c>
      <c r="H47" s="175">
        <v>11650538.710000001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27667013.050000001</v>
      </c>
      <c r="T47" s="465">
        <f t="shared" si="3"/>
        <v>0.52138951172169457</v>
      </c>
      <c r="U47" s="481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248510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248510</v>
      </c>
      <c r="T48" s="464">
        <f t="shared" si="3"/>
        <v>4.6832127242575003E-3</v>
      </c>
      <c r="U48" s="481"/>
    </row>
    <row r="49" spans="1:21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265800</v>
      </c>
      <c r="H49" s="163">
        <v>495710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761510</v>
      </c>
      <c r="T49" s="464">
        <f t="shared" si="3"/>
        <v>1.4350783958992915E-2</v>
      </c>
      <c r="U49" s="481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0</v>
      </c>
      <c r="T50" s="464">
        <f t="shared" si="3"/>
        <v>0</v>
      </c>
      <c r="U50" s="481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8">
        <v>17530850.219999999</v>
      </c>
      <c r="H51" s="458">
        <v>3946389.9</v>
      </c>
      <c r="I51" s="458">
        <v>0</v>
      </c>
      <c r="J51" s="458">
        <v>0</v>
      </c>
      <c r="K51" s="458">
        <v>0</v>
      </c>
      <c r="L51" s="458">
        <v>0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21477240.119999997</v>
      </c>
      <c r="T51" s="468">
        <f t="shared" si="3"/>
        <v>0.40474220036182718</v>
      </c>
      <c r="U51" s="481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-27721128.980000004</v>
      </c>
      <c r="H53" s="151">
        <f t="shared" si="9"/>
        <v>-26670650.029999986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-54391779.00999999</v>
      </c>
      <c r="T53" s="470">
        <f t="shared" si="3"/>
        <v>-1.0250222186416402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-23866366.730000004</v>
      </c>
      <c r="H54" s="205">
        <f t="shared" si="10"/>
        <v>-25400305.839999985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-49266672.569999993</v>
      </c>
      <c r="T54" s="470">
        <f t="shared" si="3"/>
        <v>-0.92843872625508805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42640260.100000001</v>
      </c>
      <c r="T55" s="471">
        <f t="shared" si="3"/>
        <v>0.80356286936529475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2390495.08</v>
      </c>
      <c r="H56" s="211">
        <v>3087670.22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5478165.3000000007</v>
      </c>
      <c r="T56" s="472">
        <f t="shared" si="3"/>
        <v>0.10323694595205792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26040763.890000001</v>
      </c>
      <c r="H57" s="211">
        <v>11121330.91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37162094.799999997</v>
      </c>
      <c r="T57" s="472">
        <f t="shared" si="3"/>
        <v>0.70032592341323674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-56152387.950000003</v>
      </c>
      <c r="H59" s="217">
        <f t="shared" ref="H59:R59" si="12">+H53-H55-H58</f>
        <v>-40879651.159999989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-97032039.109999985</v>
      </c>
      <c r="T59" s="474">
        <f t="shared" si="3"/>
        <v>-1.8285850880069348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56152387.950000003</v>
      </c>
      <c r="H60" s="151">
        <f t="shared" ref="H60:R60" si="13">+SUM(H61:H64)</f>
        <v>40879651.159999989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97032039.109999985</v>
      </c>
      <c r="T60" s="475">
        <f t="shared" si="3"/>
        <v>1.8285850880069348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12789994.92</v>
      </c>
      <c r="H62" s="211">
        <v>4884760.53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17674755.449999999</v>
      </c>
      <c r="T62" s="472">
        <f t="shared" si="3"/>
        <v>0.33308373756218906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693159.59</v>
      </c>
      <c r="H63" s="211">
        <v>70539.22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763698.80999999994</v>
      </c>
      <c r="T63" s="472">
        <f t="shared" si="3"/>
        <v>1.4392032451379466E-2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42669233.440000005</v>
      </c>
      <c r="H64" s="225">
        <f t="shared" ref="H64:R64" si="14">-H59-SUM(H61:H63)</f>
        <v>35924351.409999989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78593584.849999994</v>
      </c>
      <c r="T64" s="476">
        <f t="shared" si="3"/>
        <v>1.4811093179933665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2022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5306400000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177831446.59654763</v>
      </c>
      <c r="H103" s="93">
        <f t="shared" si="23"/>
        <v>159637648.93654764</v>
      </c>
      <c r="I103" s="93">
        <f t="shared" si="23"/>
        <v>165757927.57454765</v>
      </c>
      <c r="J103" s="93">
        <f t="shared" si="23"/>
        <v>181656276.27454761</v>
      </c>
      <c r="K103" s="93">
        <f t="shared" si="23"/>
        <v>176553533.49454764</v>
      </c>
      <c r="L103" s="93">
        <f t="shared" si="23"/>
        <v>176451567.45454761</v>
      </c>
      <c r="M103" s="93">
        <f t="shared" si="23"/>
        <v>175218266.98454764</v>
      </c>
      <c r="N103" s="93">
        <f t="shared" si="23"/>
        <v>168803890.89883336</v>
      </c>
      <c r="O103" s="93">
        <f t="shared" si="23"/>
        <v>183880560.57883337</v>
      </c>
      <c r="P103" s="93">
        <f t="shared" si="23"/>
        <v>204140909.79883331</v>
      </c>
      <c r="Q103" s="93">
        <f t="shared" si="23"/>
        <v>199230681.58883333</v>
      </c>
      <c r="R103" s="9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62550652.746666655</v>
      </c>
      <c r="H104" s="85">
        <f t="shared" si="24"/>
        <v>64156007.386666663</v>
      </c>
      <c r="I104" s="85">
        <f t="shared" si="24"/>
        <v>63034205.774666667</v>
      </c>
      <c r="J104" s="85">
        <f t="shared" si="24"/>
        <v>84860701.324666679</v>
      </c>
      <c r="K104" s="85">
        <f t="shared" si="24"/>
        <v>68218729.554666668</v>
      </c>
      <c r="L104" s="85">
        <f t="shared" si="24"/>
        <v>67573285.934666663</v>
      </c>
      <c r="M104" s="85">
        <f t="shared" si="24"/>
        <v>77752915.334666669</v>
      </c>
      <c r="N104" s="85">
        <f t="shared" si="24"/>
        <v>64588135.274666667</v>
      </c>
      <c r="O104" s="85">
        <f t="shared" si="24"/>
        <v>73749748.834666669</v>
      </c>
      <c r="P104" s="85">
        <f t="shared" si="24"/>
        <v>94904927.814666644</v>
      </c>
      <c r="Q104" s="85">
        <f t="shared" si="24"/>
        <v>86693469.254666656</v>
      </c>
      <c r="R104" s="86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42116720.066666663</v>
      </c>
      <c r="H105" s="87">
        <v>45499255.106666669</v>
      </c>
      <c r="I105" s="87">
        <v>45488297.416666664</v>
      </c>
      <c r="J105" s="87">
        <v>45488827.916666664</v>
      </c>
      <c r="K105" s="87">
        <v>45489920.406666666</v>
      </c>
      <c r="L105" s="87">
        <v>45490305.276666664</v>
      </c>
      <c r="M105" s="87">
        <v>45491132.876666665</v>
      </c>
      <c r="N105" s="87">
        <v>45491395.996666662</v>
      </c>
      <c r="O105" s="87">
        <v>45493143.776666671</v>
      </c>
      <c r="P105" s="87">
        <v>45484722.336666659</v>
      </c>
      <c r="Q105" s="87">
        <v>45482593.13666667</v>
      </c>
      <c r="R105" s="87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1113156.94</v>
      </c>
      <c r="H106" s="87">
        <v>1189148.69</v>
      </c>
      <c r="I106" s="87">
        <v>1150630.3799999999</v>
      </c>
      <c r="J106" s="87">
        <v>1115859.3500000001</v>
      </c>
      <c r="K106" s="87">
        <v>1113157.98</v>
      </c>
      <c r="L106" s="87">
        <v>1112991.68</v>
      </c>
      <c r="M106" s="87">
        <v>1113353.42</v>
      </c>
      <c r="N106" s="87">
        <v>1112760.3500000001</v>
      </c>
      <c r="O106" s="87">
        <v>1144213.94</v>
      </c>
      <c r="P106" s="87">
        <v>1112009.69</v>
      </c>
      <c r="Q106" s="87">
        <v>1111152.95</v>
      </c>
      <c r="R106" s="87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2009465.7299999995</v>
      </c>
      <c r="H107" s="87">
        <v>2874795.7299999991</v>
      </c>
      <c r="I107" s="87">
        <v>1986301.3299999996</v>
      </c>
      <c r="J107" s="87">
        <v>1956746.52</v>
      </c>
      <c r="K107" s="87">
        <v>1959377.06</v>
      </c>
      <c r="L107" s="87">
        <v>1959339.96</v>
      </c>
      <c r="M107" s="87">
        <v>4223114</v>
      </c>
      <c r="N107" s="87">
        <v>2325347.7000000002</v>
      </c>
      <c r="O107" s="87">
        <v>4227180.45</v>
      </c>
      <c r="P107" s="87">
        <v>5830846.0499999989</v>
      </c>
      <c r="Q107" s="87">
        <v>5816682.6699999999</v>
      </c>
      <c r="R107" s="87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3521944.0499999989</v>
      </c>
      <c r="H108" s="87">
        <v>3202572.2000000016</v>
      </c>
      <c r="I108" s="87">
        <v>3202153.21</v>
      </c>
      <c r="J108" s="87">
        <v>3981055.8700000015</v>
      </c>
      <c r="K108" s="87">
        <v>3966204.5600000015</v>
      </c>
      <c r="L108" s="87">
        <v>4355673.6900000004</v>
      </c>
      <c r="M108" s="87">
        <v>7092836.1399999987</v>
      </c>
      <c r="N108" s="87">
        <v>4331849.03</v>
      </c>
      <c r="O108" s="87">
        <v>6165776.4499999974</v>
      </c>
      <c r="P108" s="87">
        <v>7804737.9599999953</v>
      </c>
      <c r="Q108" s="87">
        <v>7600289.8199999947</v>
      </c>
      <c r="R108" s="87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1482084.5400000005</v>
      </c>
      <c r="H109" s="87">
        <v>1461485.3000000003</v>
      </c>
      <c r="I109" s="87">
        <v>1646265.1700000002</v>
      </c>
      <c r="J109" s="87">
        <v>1750230.6700000004</v>
      </c>
      <c r="K109" s="87">
        <v>1756101.9100000004</v>
      </c>
      <c r="L109" s="87">
        <v>1756101.9100000004</v>
      </c>
      <c r="M109" s="87">
        <v>2627886.0200000009</v>
      </c>
      <c r="N109" s="87">
        <v>1747230.6700000004</v>
      </c>
      <c r="O109" s="87">
        <v>2627886.0200000009</v>
      </c>
      <c r="P109" s="87">
        <v>3499649.6000000006</v>
      </c>
      <c r="Q109" s="87">
        <v>3488586.12</v>
      </c>
      <c r="R109" s="87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4229041.6800000006</v>
      </c>
      <c r="H110" s="87">
        <v>1039259.3500000003</v>
      </c>
      <c r="I110" s="87">
        <v>1331158.92</v>
      </c>
      <c r="J110" s="87">
        <v>22646995.380000003</v>
      </c>
      <c r="K110" s="87">
        <v>6067854.2499999991</v>
      </c>
      <c r="L110" s="87">
        <v>5081336.79</v>
      </c>
      <c r="M110" s="87">
        <v>4060077.8100000005</v>
      </c>
      <c r="N110" s="87">
        <v>1150681.1799999997</v>
      </c>
      <c r="O110" s="87">
        <v>1101986.1700000002</v>
      </c>
      <c r="P110" s="87">
        <v>13628170.610000001</v>
      </c>
      <c r="Q110" s="87">
        <v>5965119.169999999</v>
      </c>
      <c r="R110" s="87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1114759.2699999998</v>
      </c>
      <c r="H111" s="87">
        <v>962655.17999999982</v>
      </c>
      <c r="I111" s="87">
        <v>962640.17999999982</v>
      </c>
      <c r="J111" s="87">
        <v>962640.17999999982</v>
      </c>
      <c r="K111" s="87">
        <v>962625.18999999983</v>
      </c>
      <c r="L111" s="87">
        <v>962625.17999999982</v>
      </c>
      <c r="M111" s="87">
        <v>962625.18999999983</v>
      </c>
      <c r="N111" s="87">
        <v>962625.17999999982</v>
      </c>
      <c r="O111" s="87">
        <v>962625.17999999982</v>
      </c>
      <c r="P111" s="87">
        <v>961836.57999999984</v>
      </c>
      <c r="Q111" s="87">
        <v>789373.07</v>
      </c>
      <c r="R111" s="87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3647138.83</v>
      </c>
      <c r="H112" s="87">
        <v>3917138.83</v>
      </c>
      <c r="I112" s="87">
        <v>3632138.83</v>
      </c>
      <c r="J112" s="87">
        <v>3632138.83</v>
      </c>
      <c r="K112" s="87">
        <v>3444638.83</v>
      </c>
      <c r="L112" s="87">
        <v>3444638.83</v>
      </c>
      <c r="M112" s="87">
        <v>6055944.3200000003</v>
      </c>
      <c r="N112" s="87">
        <v>3444638.83</v>
      </c>
      <c r="O112" s="87">
        <v>6055944.3200000003</v>
      </c>
      <c r="P112" s="87">
        <v>8667249.7999999989</v>
      </c>
      <c r="Q112" s="87">
        <v>8667249.7999999989</v>
      </c>
      <c r="R112" s="87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3316341.6399999992</v>
      </c>
      <c r="H113" s="87">
        <v>4009697</v>
      </c>
      <c r="I113" s="87">
        <v>3634620.3380000009</v>
      </c>
      <c r="J113" s="87">
        <v>3326206.6079999981</v>
      </c>
      <c r="K113" s="87">
        <v>3458849.3679999984</v>
      </c>
      <c r="L113" s="87">
        <v>3410272.6179999989</v>
      </c>
      <c r="M113" s="87">
        <v>6125945.5580000011</v>
      </c>
      <c r="N113" s="87">
        <v>4021606.3380000009</v>
      </c>
      <c r="O113" s="87">
        <v>5970992.5280000009</v>
      </c>
      <c r="P113" s="87">
        <v>7915705.1879999992</v>
      </c>
      <c r="Q113" s="87">
        <v>7772422.5180000002</v>
      </c>
      <c r="R113" s="87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51655501.199880958</v>
      </c>
      <c r="H114" s="84">
        <f t="shared" si="25"/>
        <v>50843848.149880961</v>
      </c>
      <c r="I114" s="84">
        <f t="shared" si="25"/>
        <v>52476514.839880966</v>
      </c>
      <c r="J114" s="84">
        <f t="shared" si="25"/>
        <v>51481848.149880961</v>
      </c>
      <c r="K114" s="84">
        <f t="shared" si="25"/>
        <v>55008848.149880961</v>
      </c>
      <c r="L114" s="84">
        <f t="shared" si="25"/>
        <v>55102848.149880961</v>
      </c>
      <c r="M114" s="84">
        <f t="shared" si="25"/>
        <v>54796848.149880961</v>
      </c>
      <c r="N114" s="84">
        <f t="shared" si="25"/>
        <v>55319453.584166676</v>
      </c>
      <c r="O114" s="84">
        <f t="shared" si="25"/>
        <v>54859133.86416667</v>
      </c>
      <c r="P114" s="84">
        <f t="shared" si="25"/>
        <v>55191133.86416667</v>
      </c>
      <c r="Q114" s="84">
        <f t="shared" si="25"/>
        <v>56919133.86416667</v>
      </c>
      <c r="R114" s="84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9199047.6323809531</v>
      </c>
      <c r="H115" s="87">
        <v>9199047.6323809531</v>
      </c>
      <c r="I115" s="87">
        <v>9199047.6323809531</v>
      </c>
      <c r="J115" s="87">
        <v>9199047.6323809531</v>
      </c>
      <c r="K115" s="87">
        <v>12324047.632380953</v>
      </c>
      <c r="L115" s="87">
        <v>12324047.632380953</v>
      </c>
      <c r="M115" s="87">
        <v>12324047.632380953</v>
      </c>
      <c r="N115" s="87">
        <v>11938333.346666668</v>
      </c>
      <c r="O115" s="87">
        <v>11938333.346666668</v>
      </c>
      <c r="P115" s="87">
        <v>11938333.346666668</v>
      </c>
      <c r="Q115" s="87">
        <v>14138333.346666666</v>
      </c>
      <c r="R115" s="87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2893986.39</v>
      </c>
      <c r="H116" s="87">
        <v>2291666.67</v>
      </c>
      <c r="I116" s="87">
        <v>2291666.67</v>
      </c>
      <c r="J116" s="87">
        <v>2291666.67</v>
      </c>
      <c r="K116" s="87">
        <v>2291666.67</v>
      </c>
      <c r="L116" s="87">
        <v>2291666.67</v>
      </c>
      <c r="M116" s="87">
        <v>2291666.67</v>
      </c>
      <c r="N116" s="87">
        <v>2893986.39</v>
      </c>
      <c r="O116" s="87">
        <v>2291666.67</v>
      </c>
      <c r="P116" s="87">
        <v>2291666.67</v>
      </c>
      <c r="Q116" s="87">
        <v>2291666.67</v>
      </c>
      <c r="R116" s="87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38029133.847500004</v>
      </c>
      <c r="H117" s="87">
        <v>38029133.847500004</v>
      </c>
      <c r="I117" s="87">
        <v>38029133.847500004</v>
      </c>
      <c r="J117" s="87">
        <v>38029133.847500004</v>
      </c>
      <c r="K117" s="87">
        <v>38029133.847500004</v>
      </c>
      <c r="L117" s="87">
        <v>38029133.847500004</v>
      </c>
      <c r="M117" s="87">
        <v>38029133.847500004</v>
      </c>
      <c r="N117" s="87">
        <v>38029133.847500004</v>
      </c>
      <c r="O117" s="87">
        <v>38029133.847500004</v>
      </c>
      <c r="P117" s="87">
        <v>38929133.847500004</v>
      </c>
      <c r="Q117" s="87">
        <v>38929133.847500004</v>
      </c>
      <c r="R117" s="87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943333.33</v>
      </c>
      <c r="H118" s="87">
        <v>852000</v>
      </c>
      <c r="I118" s="87">
        <v>1186666.67</v>
      </c>
      <c r="J118" s="87">
        <v>1136000</v>
      </c>
      <c r="K118" s="87">
        <v>1420000</v>
      </c>
      <c r="L118" s="87">
        <v>1278000</v>
      </c>
      <c r="M118" s="87">
        <v>1562000</v>
      </c>
      <c r="N118" s="87">
        <v>1278000</v>
      </c>
      <c r="O118" s="87">
        <v>1420000</v>
      </c>
      <c r="P118" s="87">
        <v>852000</v>
      </c>
      <c r="Q118" s="87">
        <v>852000</v>
      </c>
      <c r="R118" s="87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590000</v>
      </c>
      <c r="H119" s="87">
        <v>472000</v>
      </c>
      <c r="I119" s="87">
        <v>1770000.02</v>
      </c>
      <c r="J119" s="87">
        <v>826000</v>
      </c>
      <c r="K119" s="87">
        <v>944000</v>
      </c>
      <c r="L119" s="87">
        <v>1180000</v>
      </c>
      <c r="M119" s="87">
        <v>590000</v>
      </c>
      <c r="N119" s="87">
        <v>1180000</v>
      </c>
      <c r="O119" s="87">
        <v>1180000</v>
      </c>
      <c r="P119" s="87">
        <v>1180000</v>
      </c>
      <c r="Q119" s="87">
        <v>708000</v>
      </c>
      <c r="R119" s="87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22444871.560000002</v>
      </c>
      <c r="H120" s="83">
        <v>23941685.57</v>
      </c>
      <c r="I120" s="83">
        <v>26995988.960000001</v>
      </c>
      <c r="J120" s="83">
        <v>20625695.450000003</v>
      </c>
      <c r="K120" s="83">
        <v>20912992.140000004</v>
      </c>
      <c r="L120" s="83">
        <v>21015003.09</v>
      </c>
      <c r="M120" s="83">
        <v>20912172.160000004</v>
      </c>
      <c r="N120" s="83">
        <v>22653446.830000002</v>
      </c>
      <c r="O120" s="83">
        <v>24411188.830000002</v>
      </c>
      <c r="P120" s="83">
        <v>21012710.830000002</v>
      </c>
      <c r="Q120" s="83">
        <v>20910855.890000001</v>
      </c>
      <c r="R120" s="83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19668608.670000002</v>
      </c>
      <c r="H121" s="83">
        <v>15424249.750000004</v>
      </c>
      <c r="I121" s="83">
        <v>18221026.579999998</v>
      </c>
      <c r="J121" s="83">
        <v>19416173.270000003</v>
      </c>
      <c r="K121" s="83">
        <v>27382772.230000004</v>
      </c>
      <c r="L121" s="83">
        <v>27488572.200000007</v>
      </c>
      <c r="M121" s="83">
        <v>20098257.600000001</v>
      </c>
      <c r="N121" s="83">
        <v>17598879.450000007</v>
      </c>
      <c r="O121" s="83">
        <v>22458179.949999999</v>
      </c>
      <c r="P121" s="83">
        <v>24388161.529999994</v>
      </c>
      <c r="Q121" s="83">
        <v>22932795.809999995</v>
      </c>
      <c r="R121" s="83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2000.08</v>
      </c>
      <c r="H122" s="87">
        <v>243666.74</v>
      </c>
      <c r="I122" s="87">
        <v>2000.08</v>
      </c>
      <c r="J122" s="87">
        <v>243666.74</v>
      </c>
      <c r="K122" s="87">
        <v>2000.08</v>
      </c>
      <c r="L122" s="87">
        <v>243666.74</v>
      </c>
      <c r="M122" s="87">
        <v>2000.08</v>
      </c>
      <c r="N122" s="87">
        <v>243666.74</v>
      </c>
      <c r="O122" s="87">
        <v>2000.08</v>
      </c>
      <c r="P122" s="87">
        <v>243666.74</v>
      </c>
      <c r="Q122" s="87">
        <v>2000.08</v>
      </c>
      <c r="R122" s="87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3372117.68</v>
      </c>
      <c r="H123" s="87">
        <v>3372117.68</v>
      </c>
      <c r="I123" s="87">
        <v>3372117.68</v>
      </c>
      <c r="J123" s="87">
        <v>3372117.68</v>
      </c>
      <c r="K123" s="87">
        <v>3372117.68</v>
      </c>
      <c r="L123" s="87">
        <v>3372117.68</v>
      </c>
      <c r="M123" s="87">
        <v>0</v>
      </c>
      <c r="N123" s="87">
        <v>6744235.3600000003</v>
      </c>
      <c r="O123" s="87">
        <v>6744235.3600000003</v>
      </c>
      <c r="P123" s="87">
        <v>6744235.3600000003</v>
      </c>
      <c r="Q123" s="87">
        <v>10116353.029999999</v>
      </c>
      <c r="R123" s="87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87">
        <v>18137694.66</v>
      </c>
      <c r="H125" s="87">
        <v>1656073.6600000036</v>
      </c>
      <c r="I125" s="87">
        <v>1656073.6600000036</v>
      </c>
      <c r="J125" s="87">
        <v>1656073.6600000036</v>
      </c>
      <c r="K125" s="87">
        <v>1656073.6600000036</v>
      </c>
      <c r="L125" s="87">
        <v>1656073.6600000036</v>
      </c>
      <c r="M125" s="87">
        <v>1656073.6600000036</v>
      </c>
      <c r="N125" s="87">
        <v>1656073.6600000036</v>
      </c>
      <c r="O125" s="87">
        <v>1656073.6600000036</v>
      </c>
      <c r="P125" s="87">
        <v>1656073.6600000036</v>
      </c>
      <c r="Q125" s="87">
        <v>1656073.6600000036</v>
      </c>
      <c r="R125" s="87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qUBFCQ7DQkDbQxk2hgNS1FZYjaH6DKnfdoqSrdz5w3OYLyp7BFURKgCpLfk/A8I68EKSbeygbAUKr3sM4ELWOw==" saltValue="86m3Sqz9Cpw3OvBk7QKuNA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S29" sqref="S29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>
        <f>+G10/('2020'!G10+'2020'!H10)*100</f>
        <v>44.039708602045813</v>
      </c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 ostvarenja budžeta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Prihodi budžeta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Porezi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Porez na dohodak fizičkih lica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Porez na dobit pravnih lica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>Porez na promet nepokretnosti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Porez na dodatu vrijednost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Akcize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Porez na međunarodnu trgovinu i transakcije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Ostali državni porezi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Doprinosi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Doprinosi za penzijsko i invalidsko osiguranje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Doprinosi za zdravstveno osiguranje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Doprinosi za osiguranje od nezaposlenosti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Ostali doprinosi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Takse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Naknade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Ostali prihodi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Primici od otplate kredita i sredstva prenesena iz prethodne godine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Donacije i transferi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Izdaci budžeta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Bruto zarade i doprinosi na teret poslodavca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Ostala lična primanja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Rashodi za materijal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Rashodi za usluge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Rashodi za tekuće održavanje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Kamate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Renta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Subvencije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Ostali izdaci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Transferi za socijalnu zaštitu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Prava iz oblasti socijalne zaštite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Sredstva za tehnološke viškove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Prava iz oblasti penzijskog i invalidskog osiguranja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Ostala prava iz oblasti zdravstvene zaštite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Ostala prava iz zdravstvenog osiguranja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Transferi institucijama, pojedincima, nevladinom i javnom sektoru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Kapitalni izdaci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Pozajmice i krediti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Rezerve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Otplata garancija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Otplata obaveza iz prethodnog perioda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Neto povećanje obaveza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Suficit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Primarni suficit/deficit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Otplata dugova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Otplata hartija od vrijednosti i kredita rezidentima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Otplata hartija od vrijednosti i kredita nerezidentima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Izdaci za kupovinu hartija od vrijednosti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Nedostajuća sredstva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Finansiranje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Pozajmice i krediti od domaćih izvora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Pozajmice i krediti od inostranih izvora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Primici od prodaje imovine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topLeftCell="D1"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2022-03-03T07:18:34Z</cp:lastPrinted>
  <dcterms:created xsi:type="dcterms:W3CDTF">2014-09-15T13:41:17Z</dcterms:created>
  <dcterms:modified xsi:type="dcterms:W3CDTF">2022-04-01T08:21:17Z</dcterms:modified>
</cp:coreProperties>
</file>